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广源二期" sheetId="78" r:id="rId23"/>
    <sheet name="收益法 (元)" sheetId="67" r:id="rId24"/>
    <sheet name="收益法-酒店模型" sheetId="77" state="hidden"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2" hidden="1">广源二期!#REF!</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8" l="1"/>
  <c r="K41" i="6" l="1"/>
  <c r="K39" i="6"/>
  <c r="K40" i="6"/>
  <c r="K38" i="6"/>
  <c r="F39" i="6"/>
  <c r="G39" i="6"/>
  <c r="E41" i="6"/>
  <c r="G40" i="6"/>
  <c r="G38" i="6"/>
  <c r="F40" i="6"/>
  <c r="F38" i="6"/>
  <c r="E40" i="6"/>
  <c r="E39" i="6"/>
  <c r="E38" i="6"/>
  <c r="F41" i="6" l="1"/>
  <c r="F42" i="6" s="1"/>
  <c r="N6" i="1"/>
  <c r="N21" i="1"/>
  <c r="G41" i="6" l="1"/>
  <c r="D239" i="78"/>
  <c r="D238" i="78"/>
  <c r="G238" i="78"/>
  <c r="H238" i="78"/>
  <c r="H251" i="78"/>
  <c r="H262" i="78"/>
  <c r="AH18" i="1"/>
  <c r="G15" i="73" l="1"/>
  <c r="F15" i="73"/>
  <c r="E15" i="73"/>
  <c r="G14" i="73"/>
  <c r="F14" i="73"/>
  <c r="E14" i="73"/>
  <c r="G13" i="73"/>
  <c r="F13" i="73"/>
  <c r="E13" i="73"/>
  <c r="C1" i="73"/>
  <c r="F38" i="11"/>
  <c r="E37" i="11"/>
  <c r="F36" i="11"/>
  <c r="F35" i="11"/>
  <c r="F21" i="11"/>
  <c r="C40" i="11" s="1"/>
  <c r="C21" i="11"/>
  <c r="F20" i="11"/>
  <c r="E10" i="11"/>
  <c r="E9" i="11"/>
  <c r="C8" i="11"/>
  <c r="F7" i="11"/>
  <c r="C7"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A13" i="70"/>
  <c r="E13" i="70" s="1"/>
  <c r="A12" i="70"/>
  <c r="E12" i="70" s="1"/>
  <c r="A11" i="70"/>
  <c r="E11" i="70" s="1"/>
  <c r="A10" i="70"/>
  <c r="E10" i="70" s="1"/>
  <c r="A9" i="70"/>
  <c r="E9" i="70" s="1"/>
  <c r="A8" i="70"/>
  <c r="E8" i="70" s="1"/>
  <c r="A7" i="70"/>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M47" i="67"/>
  <c r="D46" i="67"/>
  <c r="F33" i="67"/>
  <c r="F61" i="67" s="1"/>
  <c r="F31" i="67"/>
  <c r="F23" i="67"/>
  <c r="D24" i="67" s="1"/>
  <c r="D23" i="67"/>
  <c r="D22" i="67"/>
  <c r="F21" i="67"/>
  <c r="F20" i="67"/>
  <c r="M19" i="67"/>
  <c r="F18" i="67"/>
  <c r="M17" i="67"/>
  <c r="F17" i="67"/>
  <c r="F15" i="67"/>
  <c r="H258" i="78"/>
  <c r="H257" i="78"/>
  <c r="H256" i="78"/>
  <c r="H255" i="78"/>
  <c r="H254" i="78"/>
  <c r="H260" i="78" s="1"/>
  <c r="D251" i="78"/>
  <c r="H250" i="78"/>
  <c r="H249" i="78"/>
  <c r="H248" i="78"/>
  <c r="H247" i="78"/>
  <c r="H246" i="78"/>
  <c r="H245" i="78"/>
  <c r="H244" i="78"/>
  <c r="H243" i="78"/>
  <c r="H242" i="78"/>
  <c r="H241" i="78"/>
  <c r="H235" i="78"/>
  <c r="H234" i="78"/>
  <c r="H233" i="78"/>
  <c r="H232" i="78"/>
  <c r="H231" i="78"/>
  <c r="H230" i="78"/>
  <c r="H229" i="78"/>
  <c r="H228" i="78"/>
  <c r="H227" i="78"/>
  <c r="H226" i="78"/>
  <c r="H225" i="78"/>
  <c r="H224" i="78"/>
  <c r="H223" i="78"/>
  <c r="H222" i="78"/>
  <c r="H221" i="78"/>
  <c r="H220" i="78"/>
  <c r="H219" i="78"/>
  <c r="H218" i="78"/>
  <c r="H217" i="78"/>
  <c r="H216" i="78"/>
  <c r="H215" i="78"/>
  <c r="H214" i="78"/>
  <c r="H213" i="78"/>
  <c r="H212" i="78"/>
  <c r="D211" i="78"/>
  <c r="H210" i="78"/>
  <c r="H209" i="78"/>
  <c r="H208" i="78"/>
  <c r="H207" i="78"/>
  <c r="H206" i="78"/>
  <c r="H205" i="78"/>
  <c r="H204" i="78"/>
  <c r="H203" i="78"/>
  <c r="H202" i="78"/>
  <c r="H201" i="78"/>
  <c r="H200" i="78"/>
  <c r="H199" i="78"/>
  <c r="H198" i="78"/>
  <c r="H197" i="78"/>
  <c r="H196" i="78"/>
  <c r="D193" i="78"/>
  <c r="H192" i="78"/>
  <c r="H191" i="78"/>
  <c r="H190" i="78"/>
  <c r="H189" i="78"/>
  <c r="H188" i="78"/>
  <c r="H187" i="78"/>
  <c r="H186" i="78"/>
  <c r="H185" i="78"/>
  <c r="H184" i="78"/>
  <c r="H183" i="78"/>
  <c r="H182" i="78"/>
  <c r="H181" i="78"/>
  <c r="H180" i="78"/>
  <c r="H179" i="78"/>
  <c r="H178" i="78"/>
  <c r="H177" i="78"/>
  <c r="H176" i="78"/>
  <c r="H175" i="78"/>
  <c r="G174" i="78"/>
  <c r="H174" i="78" s="1"/>
  <c r="H173" i="78"/>
  <c r="H172" i="78"/>
  <c r="H171" i="78"/>
  <c r="H170" i="78"/>
  <c r="H169" i="78"/>
  <c r="H168" i="78"/>
  <c r="H167" i="78"/>
  <c r="H166" i="78"/>
  <c r="H165" i="78"/>
  <c r="H164" i="78"/>
  <c r="H163" i="78"/>
  <c r="H162" i="78"/>
  <c r="H161" i="78"/>
  <c r="H160" i="78"/>
  <c r="H159" i="78"/>
  <c r="H158" i="78"/>
  <c r="H157" i="78"/>
  <c r="H156" i="78"/>
  <c r="H155" i="78"/>
  <c r="H154" i="78"/>
  <c r="H153" i="78"/>
  <c r="H152" i="78"/>
  <c r="H151" i="78"/>
  <c r="H150" i="78"/>
  <c r="H149" i="78"/>
  <c r="H148" i="78"/>
  <c r="H147" i="78"/>
  <c r="H146" i="78"/>
  <c r="H145" i="78"/>
  <c r="H144" i="78"/>
  <c r="H143" i="78"/>
  <c r="H142" i="78"/>
  <c r="H141" i="78"/>
  <c r="H140" i="78"/>
  <c r="H139" i="78"/>
  <c r="H138" i="78"/>
  <c r="H137" i="78"/>
  <c r="H136" i="78"/>
  <c r="H134" i="78"/>
  <c r="H133" i="78"/>
  <c r="H132" i="78"/>
  <c r="H131" i="78"/>
  <c r="H130" i="78"/>
  <c r="H129" i="78"/>
  <c r="H128" i="78"/>
  <c r="H127" i="78"/>
  <c r="H126" i="78"/>
  <c r="H125" i="78"/>
  <c r="H124" i="78"/>
  <c r="H123" i="78"/>
  <c r="H122" i="78"/>
  <c r="H121" i="78"/>
  <c r="H120" i="78"/>
  <c r="H119" i="78"/>
  <c r="H118" i="78"/>
  <c r="H117" i="78"/>
  <c r="H116" i="78"/>
  <c r="H115" i="78"/>
  <c r="H114" i="78"/>
  <c r="H113" i="78"/>
  <c r="H112" i="78"/>
  <c r="H111" i="78"/>
  <c r="H110" i="78"/>
  <c r="H109" i="78"/>
  <c r="H108" i="78"/>
  <c r="H107" i="78"/>
  <c r="H106" i="78"/>
  <c r="H105" i="78"/>
  <c r="H104" i="78"/>
  <c r="H103" i="78"/>
  <c r="H102" i="78"/>
  <c r="H101" i="78"/>
  <c r="H100" i="78"/>
  <c r="H99" i="78"/>
  <c r="H98" i="78"/>
  <c r="H97" i="78"/>
  <c r="H96" i="78"/>
  <c r="H95" i="78"/>
  <c r="H94" i="78"/>
  <c r="H93" i="78"/>
  <c r="H92" i="78"/>
  <c r="H91" i="78"/>
  <c r="H90" i="78"/>
  <c r="H89" i="78"/>
  <c r="H88" i="78"/>
  <c r="H87" i="78"/>
  <c r="H86" i="78"/>
  <c r="H85" i="78"/>
  <c r="H84" i="78"/>
  <c r="H83" i="78"/>
  <c r="H82" i="78"/>
  <c r="H81" i="78"/>
  <c r="H80" i="78"/>
  <c r="H79" i="78"/>
  <c r="H78" i="78"/>
  <c r="H77" i="78"/>
  <c r="H76" i="78"/>
  <c r="H75" i="78"/>
  <c r="H74" i="78"/>
  <c r="H73" i="78"/>
  <c r="H72" i="78"/>
  <c r="H71" i="78"/>
  <c r="H70" i="78"/>
  <c r="H69" i="78"/>
  <c r="H68" i="78"/>
  <c r="H67" i="78"/>
  <c r="H66" i="78"/>
  <c r="H65" i="78"/>
  <c r="H64" i="78"/>
  <c r="H63" i="78"/>
  <c r="H62" i="78"/>
  <c r="H61" i="78"/>
  <c r="H60" i="78"/>
  <c r="H59" i="78"/>
  <c r="H58" i="78"/>
  <c r="H57" i="78"/>
  <c r="H56" i="78"/>
  <c r="H55" i="78"/>
  <c r="H54" i="78"/>
  <c r="H53" i="78"/>
  <c r="H52" i="78"/>
  <c r="H51" i="78"/>
  <c r="H50" i="78"/>
  <c r="H49" i="78"/>
  <c r="H48" i="78"/>
  <c r="H47" i="78"/>
  <c r="H46" i="78"/>
  <c r="H45" i="78"/>
  <c r="H44" i="78"/>
  <c r="H43" i="78"/>
  <c r="H42" i="78"/>
  <c r="H41" i="78"/>
  <c r="H40" i="78"/>
  <c r="H39" i="78"/>
  <c r="H38" i="78"/>
  <c r="H37" i="78"/>
  <c r="H36" i="78"/>
  <c r="H35" i="78"/>
  <c r="H34" i="78"/>
  <c r="H33" i="78"/>
  <c r="H32" i="78"/>
  <c r="H31" i="78"/>
  <c r="H30" i="78"/>
  <c r="H29" i="78"/>
  <c r="H28" i="78"/>
  <c r="H27" i="78"/>
  <c r="H25" i="78"/>
  <c r="H24" i="78"/>
  <c r="H22" i="78"/>
  <c r="H21" i="78"/>
  <c r="H20" i="78"/>
  <c r="H19" i="78"/>
  <c r="H18" i="78"/>
  <c r="H17" i="78"/>
  <c r="H16" i="78"/>
  <c r="H15" i="78"/>
  <c r="H14" i="78"/>
  <c r="H13" i="78"/>
  <c r="H12" i="78"/>
  <c r="H11" i="78"/>
  <c r="H10" i="78"/>
  <c r="H9" i="78"/>
  <c r="H8" i="78"/>
  <c r="H7" i="78"/>
  <c r="H6" i="78"/>
  <c r="H5" i="78"/>
  <c r="H4" i="78"/>
  <c r="H193" i="78" s="1"/>
  <c r="Q72" i="15"/>
  <c r="Q59" i="15"/>
  <c r="K59" i="15"/>
  <c r="F59" i="15"/>
  <c r="Q58" i="15"/>
  <c r="Q51" i="15"/>
  <c r="J50" i="15"/>
  <c r="J49" i="15"/>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D7" i="12"/>
  <c r="C7" i="12"/>
  <c r="C4" i="12"/>
  <c r="F38" i="69"/>
  <c r="E37" i="69"/>
  <c r="F36" i="69"/>
  <c r="F35" i="69"/>
  <c r="F21" i="69"/>
  <c r="C21" i="69"/>
  <c r="F20" i="69"/>
  <c r="F39" i="69" s="1"/>
  <c r="E10" i="69"/>
  <c r="E9" i="69"/>
  <c r="F7" i="69"/>
  <c r="C7" i="69"/>
  <c r="H1" i="69"/>
  <c r="F38" i="68"/>
  <c r="E37" i="68"/>
  <c r="F36" i="68"/>
  <c r="F35" i="68"/>
  <c r="F21" i="68"/>
  <c r="C21" i="68"/>
  <c r="F20" i="68"/>
  <c r="F39" i="68" s="1"/>
  <c r="C19" i="68"/>
  <c r="E10" i="68"/>
  <c r="E9" i="68"/>
  <c r="F7" i="68"/>
  <c r="C7" i="68"/>
  <c r="A120" i="9"/>
  <c r="E111" i="9"/>
  <c r="A126" i="9" s="1"/>
  <c r="E109" i="9"/>
  <c r="E107" i="9"/>
  <c r="A122" i="9" s="1"/>
  <c r="H106" i="9"/>
  <c r="H105" i="9"/>
  <c r="H104" i="9"/>
  <c r="H103" i="9"/>
  <c r="D120" i="9" s="1"/>
  <c r="D101" i="9"/>
  <c r="C101" i="9"/>
  <c r="C91" i="9"/>
  <c r="E90" i="9"/>
  <c r="D89" i="9"/>
  <c r="C89" i="9"/>
  <c r="C87" i="9"/>
  <c r="H77" i="9"/>
  <c r="D77" i="9"/>
  <c r="C77" i="9"/>
  <c r="C76" i="9"/>
  <c r="C74" i="9"/>
  <c r="F59" i="9"/>
  <c r="E59" i="9"/>
  <c r="F56" i="9"/>
  <c r="O55" i="9"/>
  <c r="N55" i="9"/>
  <c r="K55" i="9"/>
  <c r="J55" i="9"/>
  <c r="I55" i="9"/>
  <c r="F55" i="9"/>
  <c r="O54"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B41" i="1"/>
  <c r="B31" i="1"/>
  <c r="B24" i="1"/>
  <c r="B23" i="1"/>
  <c r="B22" i="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AG10" i="1"/>
  <c r="AE10" i="1"/>
  <c r="P10" i="1"/>
  <c r="O10" i="1"/>
  <c r="F10" i="1"/>
  <c r="D10" i="1"/>
  <c r="G10" i="1" s="1"/>
  <c r="A10" i="1"/>
  <c r="AP9" i="1"/>
  <c r="AG9" i="1"/>
  <c r="AE9" i="1"/>
  <c r="P9" i="1"/>
  <c r="O9" i="1"/>
  <c r="F9" i="1"/>
  <c r="D9" i="1"/>
  <c r="G9" i="1" s="1"/>
  <c r="A9" i="1"/>
  <c r="AP8" i="1"/>
  <c r="AG8" i="1"/>
  <c r="AE8" i="1"/>
  <c r="P8" i="1"/>
  <c r="O8" i="1"/>
  <c r="F8" i="1"/>
  <c r="D8" i="1"/>
  <c r="G8" i="1" s="1"/>
  <c r="A8" i="1"/>
  <c r="AP7" i="1"/>
  <c r="AG7" i="1"/>
  <c r="P7" i="1"/>
  <c r="O7" i="1"/>
  <c r="J7" i="1"/>
  <c r="I7" i="1"/>
  <c r="H7" i="1"/>
  <c r="D7" i="1"/>
  <c r="A7" i="1"/>
  <c r="AP6" i="1"/>
  <c r="C36" i="69" s="1"/>
  <c r="AG6" i="1"/>
  <c r="P6" i="1"/>
  <c r="P16" i="1" s="1"/>
  <c r="C11" i="12" s="1"/>
  <c r="O6" i="1"/>
  <c r="O16" i="1" s="1"/>
  <c r="D6" i="1"/>
  <c r="A6" i="1"/>
  <c r="T4" i="1"/>
  <c r="B2" i="1"/>
  <c r="E32" i="6"/>
  <c r="O27" i="6"/>
  <c r="N27" i="6"/>
  <c r="P26" i="6"/>
  <c r="L26" i="6"/>
  <c r="E26" i="6"/>
  <c r="P25" i="6"/>
  <c r="L25" i="6"/>
  <c r="E25" i="6"/>
  <c r="P24" i="6"/>
  <c r="L24" i="6"/>
  <c r="E24" i="6"/>
  <c r="P23" i="6"/>
  <c r="L23" i="6"/>
  <c r="E23" i="6"/>
  <c r="P22" i="6"/>
  <c r="L22" i="6"/>
  <c r="E22" i="6"/>
  <c r="P21" i="6"/>
  <c r="L21" i="6"/>
  <c r="E21" i="6"/>
  <c r="P20" i="6"/>
  <c r="L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AX13" i="3"/>
  <c r="AW13" i="3"/>
  <c r="AV13" i="3"/>
  <c r="AC13" i="3"/>
  <c r="K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E8" i="6" s="1"/>
  <c r="AT6" i="3"/>
  <c r="BT5" i="3"/>
  <c r="BS5" i="3"/>
  <c r="BR5" i="3"/>
  <c r="G28" i="6" s="1"/>
  <c r="BQ5" i="3"/>
  <c r="F28" i="6" s="1"/>
  <c r="BP5" i="3"/>
  <c r="BO5" i="3"/>
  <c r="BN5" i="3"/>
  <c r="G29" i="6" s="1"/>
  <c r="BM5" i="3"/>
  <c r="F29" i="6" s="1"/>
  <c r="E29" i="6" s="1"/>
  <c r="K15" i="1" s="1"/>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R35" i="4"/>
  <c r="Q35" i="4"/>
  <c r="P35" i="4"/>
  <c r="O35" i="4"/>
  <c r="N35" i="4"/>
  <c r="M35" i="4"/>
  <c r="L35" i="4"/>
  <c r="F35" i="4"/>
  <c r="K34" i="4"/>
  <c r="T34" i="4" s="1"/>
  <c r="T35" i="4" s="1"/>
  <c r="C33" i="4"/>
  <c r="C32" i="4"/>
  <c r="C31" i="4"/>
  <c r="L22" i="4"/>
  <c r="L21" i="4"/>
  <c r="L20" i="4"/>
  <c r="F19" i="4"/>
  <c r="I15" i="4"/>
  <c r="H15" i="4"/>
  <c r="G15" i="4"/>
  <c r="F7" i="1" s="1"/>
  <c r="F15" i="4"/>
  <c r="E15" i="4"/>
  <c r="F6" i="1" s="1"/>
  <c r="D15" i="4"/>
  <c r="K6" i="4"/>
  <c r="I4" i="4"/>
  <c r="G4" i="4"/>
  <c r="K5" i="4" s="1"/>
  <c r="B47" i="48" s="1"/>
  <c r="E4" i="4"/>
  <c r="C4" i="4"/>
  <c r="K4" i="4" s="1"/>
  <c r="B46" i="48" s="1"/>
  <c r="B4" i="72" s="1"/>
  <c r="S2" i="4"/>
  <c r="S1" i="4"/>
  <c r="B1" i="4"/>
  <c r="C53" i="10"/>
  <c r="C51" i="10"/>
  <c r="B51" i="10"/>
  <c r="H16" i="49"/>
  <c r="D16" i="49"/>
  <c r="D15" i="49"/>
  <c r="B2" i="49"/>
  <c r="B13" i="49" s="1"/>
  <c r="D13" i="49" s="1"/>
  <c r="A21" i="62"/>
  <c r="A20" i="62"/>
  <c r="A19" i="62"/>
  <c r="A15" i="62"/>
  <c r="A14" i="62"/>
  <c r="A13" i="62"/>
  <c r="A12" i="62"/>
  <c r="B5" i="62"/>
  <c r="B73" i="72" s="1"/>
  <c r="A5" i="62"/>
  <c r="B4" i="62"/>
  <c r="B71" i="72" s="1"/>
  <c r="A4" i="62"/>
  <c r="A12" i="52"/>
  <c r="A8" i="5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0" i="48"/>
  <c r="B37" i="48"/>
  <c r="B74" i="72"/>
  <c r="B72" i="72"/>
  <c r="B70" i="72"/>
  <c r="B69" i="72"/>
  <c r="B68" i="72"/>
  <c r="B67" i="72"/>
  <c r="B66" i="72"/>
  <c r="B65" i="72"/>
  <c r="B63" i="72"/>
  <c r="B62" i="72"/>
  <c r="B61" i="72"/>
  <c r="B60" i="72"/>
  <c r="B59" i="72"/>
  <c r="B58" i="72"/>
  <c r="B57" i="72"/>
  <c r="B56" i="72"/>
  <c r="B54"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E11" i="76"/>
  <c r="B10" i="76"/>
  <c r="AO12" i="1"/>
  <c r="E13" i="76"/>
  <c r="E8" i="76"/>
  <c r="D2" i="35"/>
  <c r="B12" i="76"/>
  <c r="AO10" i="1"/>
  <c r="D2" i="37"/>
  <c r="E2" i="68"/>
  <c r="B11" i="76"/>
  <c r="AO13" i="1"/>
  <c r="E9" i="76"/>
  <c r="B13" i="76"/>
  <c r="B7" i="76"/>
  <c r="AO11" i="1"/>
  <c r="E12" i="76"/>
  <c r="D2" i="33"/>
  <c r="E2" i="69"/>
  <c r="E10" i="76"/>
  <c r="B8" i="76"/>
  <c r="D2" i="36"/>
  <c r="F20" i="31"/>
  <c r="AO8" i="1"/>
  <c r="E7" i="76"/>
  <c r="B9" i="76"/>
  <c r="D2" i="21"/>
  <c r="D2" i="34"/>
  <c r="AO9" i="1"/>
  <c r="C18" i="9" l="1"/>
  <c r="D18" i="9" s="1"/>
  <c r="AB5" i="71"/>
  <c r="AA5" i="71"/>
  <c r="Y5" i="71"/>
  <c r="Z5" i="71" s="1"/>
  <c r="X5" i="71"/>
  <c r="A118" i="9"/>
  <c r="A2" i="9"/>
  <c r="N56" i="9"/>
  <c r="M56" i="9"/>
  <c r="K56" i="9"/>
  <c r="J56" i="9"/>
  <c r="J50" i="40"/>
  <c r="J55" i="39"/>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I6" i="3"/>
  <c r="J6" i="3"/>
  <c r="K6" i="3"/>
  <c r="L6" i="3"/>
  <c r="M6" i="3"/>
  <c r="N6" i="3"/>
  <c r="O6" i="3"/>
  <c r="P6" i="3"/>
  <c r="Q6" i="3"/>
  <c r="R6" i="3"/>
  <c r="S6" i="3"/>
  <c r="T6" i="3"/>
  <c r="U6" i="3"/>
  <c r="V6" i="3"/>
  <c r="W6" i="3"/>
  <c r="X6" i="3"/>
  <c r="Y6" i="3"/>
  <c r="Z6" i="3"/>
  <c r="AA6" i="3"/>
  <c r="AB6" i="3"/>
  <c r="I4" i="6"/>
  <c r="G3" i="43" s="1"/>
  <c r="AD6" i="3"/>
  <c r="AE6" i="3"/>
  <c r="AF6" i="3"/>
  <c r="AG6" i="3"/>
  <c r="AH6" i="3"/>
  <c r="AI6" i="3"/>
  <c r="AJ6" i="3"/>
  <c r="AK6" i="3"/>
  <c r="AL6" i="3"/>
  <c r="AM6" i="3"/>
  <c r="AN6" i="3"/>
  <c r="AO6" i="3"/>
  <c r="AP6" i="3"/>
  <c r="AQ6" i="3"/>
  <c r="AR6" i="3"/>
  <c r="AS6" i="3"/>
  <c r="F30" i="6"/>
  <c r="E28" i="6"/>
  <c r="G30" i="6"/>
  <c r="E51" i="40"/>
  <c r="E56" i="39"/>
  <c r="F27" i="6"/>
  <c r="F31" i="6" s="1"/>
  <c r="D9" i="11"/>
  <c r="C9" i="11" s="1"/>
  <c r="D19" i="12"/>
  <c r="C19" i="12" s="1"/>
  <c r="D9" i="69"/>
  <c r="C9" i="69" s="1"/>
  <c r="G19" i="6"/>
  <c r="BB13" i="3"/>
  <c r="G20" i="6"/>
  <c r="E20" i="6" s="1"/>
  <c r="BC13" i="3"/>
  <c r="BC5" i="3" s="1"/>
  <c r="G19" i="43"/>
  <c r="C7" i="40"/>
  <c r="C63" i="40" s="1"/>
  <c r="C7" i="39"/>
  <c r="C67" i="39" s="1"/>
  <c r="C7" i="36"/>
  <c r="C46" i="36" s="1"/>
  <c r="C7" i="35"/>
  <c r="C48" i="35" s="1"/>
  <c r="C7" i="37"/>
  <c r="C52" i="37" s="1"/>
  <c r="C7" i="34"/>
  <c r="C59" i="34" s="1"/>
  <c r="C7" i="33"/>
  <c r="C58" i="33" s="1"/>
  <c r="C7" i="21"/>
  <c r="C58" i="21" s="1"/>
  <c r="M47" i="9"/>
  <c r="C42" i="1"/>
  <c r="F3" i="35"/>
  <c r="G1" i="67"/>
  <c r="G1" i="15"/>
  <c r="K1" i="12"/>
  <c r="G1" i="69"/>
  <c r="G1" i="68"/>
  <c r="B6" i="1"/>
  <c r="E6" i="1" s="1"/>
  <c r="G6" i="1"/>
  <c r="N7" i="1"/>
  <c r="Y6" i="1"/>
  <c r="Y7" i="1" s="1"/>
  <c r="K7" i="1"/>
  <c r="M7" i="1" s="1"/>
  <c r="B7" i="1"/>
  <c r="E7" i="1" s="1"/>
  <c r="G7" i="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E1" i="73"/>
  <c r="K1" i="73" s="1"/>
  <c r="G41" i="11"/>
  <c r="G22" i="11"/>
  <c r="G27" i="12"/>
  <c r="G26" i="12"/>
  <c r="G25" i="12"/>
  <c r="G41" i="69"/>
  <c r="G22" i="69"/>
  <c r="G41" i="68"/>
  <c r="G22" i="68"/>
  <c r="F34" i="11"/>
  <c r="F11" i="12"/>
  <c r="C23" i="12" s="1"/>
  <c r="F34" i="68"/>
  <c r="E19" i="11"/>
  <c r="E19" i="69"/>
  <c r="E19" i="68"/>
  <c r="F30" i="11"/>
  <c r="F32" i="67"/>
  <c r="F60" i="67" s="1"/>
  <c r="F28" i="67"/>
  <c r="C28" i="67" s="1"/>
  <c r="M18" i="67"/>
  <c r="F32" i="15"/>
  <c r="F60" i="15" s="1"/>
  <c r="F28" i="15"/>
  <c r="C28" i="15" s="1"/>
  <c r="M18" i="15"/>
  <c r="F31" i="12"/>
  <c r="F30" i="69"/>
  <c r="F30" i="68"/>
  <c r="D68" i="9"/>
  <c r="F54" i="9"/>
  <c r="F53" i="9"/>
  <c r="F52" i="9"/>
  <c r="F48" i="9"/>
  <c r="O52" i="9" s="1"/>
  <c r="D93" i="9"/>
  <c r="D78" i="9"/>
  <c r="F34" i="67"/>
  <c r="F62" i="67" s="1"/>
  <c r="M20" i="67"/>
  <c r="F34" i="15"/>
  <c r="F62" i="15" s="1"/>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J57" i="9"/>
  <c r="J59" i="9" s="1"/>
  <c r="J61" i="9" s="1"/>
  <c r="C94" i="9"/>
  <c r="D121" i="9"/>
  <c r="D7" i="52" s="1"/>
  <c r="K120" i="9"/>
  <c r="A18" i="62" s="1"/>
  <c r="B64" i="72" s="1"/>
  <c r="A124" i="9"/>
  <c r="A10" i="52" s="1"/>
  <c r="B55" i="72" s="1"/>
  <c r="H109" i="9"/>
  <c r="F40" i="68"/>
  <c r="C40" i="68"/>
  <c r="F40" i="69"/>
  <c r="C40" i="69"/>
  <c r="C31" i="12"/>
  <c r="J51" i="15"/>
  <c r="P74" i="15"/>
  <c r="P61" i="15"/>
  <c r="G193" i="78"/>
  <c r="D236" i="78"/>
  <c r="H211" i="78"/>
  <c r="H236" i="78" s="1"/>
  <c r="J51" i="67"/>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C5" i="11"/>
  <c r="L1" i="73"/>
  <c r="J1" i="73"/>
  <c r="B4" i="49"/>
  <c r="D4" i="49" s="1"/>
  <c r="B6" i="49"/>
  <c r="D6" i="49" s="1"/>
  <c r="B9" i="49"/>
  <c r="D9" i="49" s="1"/>
  <c r="F15" i="49"/>
  <c r="H15" i="49" s="1"/>
  <c r="B14" i="49"/>
  <c r="D14" i="49" s="1"/>
  <c r="B12" i="49"/>
  <c r="D12" i="49" s="1"/>
  <c r="B10" i="49"/>
  <c r="D10" i="49" s="1"/>
  <c r="B8" i="49"/>
  <c r="D8" i="49" s="1"/>
  <c r="B5" i="49"/>
  <c r="D5" i="49" s="1"/>
  <c r="B7" i="49"/>
  <c r="D7" i="49" s="1"/>
  <c r="B11" i="49"/>
  <c r="D11" i="49" s="1"/>
  <c r="F4" i="49"/>
  <c r="H4" i="49" s="1"/>
  <c r="F5" i="49"/>
  <c r="H5" i="49" s="1"/>
  <c r="F6" i="49"/>
  <c r="H6" i="49" s="1"/>
  <c r="F7" i="49"/>
  <c r="H7" i="49" s="1"/>
  <c r="F8" i="49"/>
  <c r="H8" i="49" s="1"/>
  <c r="F9" i="49"/>
  <c r="H9" i="49" s="1"/>
  <c r="F10" i="49"/>
  <c r="H10" i="49" s="1"/>
  <c r="F11" i="49"/>
  <c r="H11" i="49" s="1"/>
  <c r="F12" i="49"/>
  <c r="H12" i="49" s="1"/>
  <c r="F13" i="49"/>
  <c r="H13" i="49" s="1"/>
  <c r="F14" i="49"/>
  <c r="H14" i="49" s="1"/>
  <c r="B8" i="70"/>
  <c r="B10" i="70"/>
  <c r="B12" i="70"/>
  <c r="B9" i="70"/>
  <c r="B11" i="70"/>
  <c r="B13" i="70"/>
  <c r="B20" i="31"/>
  <c r="B21" i="31" s="1"/>
  <c r="C92" i="9"/>
  <c r="H110" i="9"/>
  <c r="D18" i="53" s="1"/>
  <c r="B35" i="72" s="1"/>
  <c r="C15" i="12"/>
  <c r="C12" i="12"/>
  <c r="C61" i="71" l="1"/>
  <c r="D60" i="71"/>
  <c r="C57" i="71"/>
  <c r="D56" i="71"/>
  <c r="C53" i="71"/>
  <c r="D52" i="71"/>
  <c r="C49" i="71"/>
  <c r="D48" i="71"/>
  <c r="C41" i="71"/>
  <c r="D40" i="71"/>
  <c r="C36" i="71"/>
  <c r="D35" i="71"/>
  <c r="C32" i="71"/>
  <c r="D31" i="71"/>
  <c r="C28" i="71"/>
  <c r="D27" i="71"/>
  <c r="C16" i="43"/>
  <c r="AA30" i="40"/>
  <c r="S30" i="40"/>
  <c r="AB30" i="40"/>
  <c r="U30" i="40"/>
  <c r="AC30" i="40"/>
  <c r="W30" i="40"/>
  <c r="AA26" i="35"/>
  <c r="S26" i="35"/>
  <c r="AB26" i="35"/>
  <c r="U26" i="35"/>
  <c r="AC26" i="35"/>
  <c r="W26" i="35"/>
  <c r="D38" i="77"/>
  <c r="D39" i="77" s="1"/>
  <c r="D29" i="77"/>
  <c r="D26" i="77"/>
  <c r="D32" i="77" s="1"/>
  <c r="E23" i="77"/>
  <c r="G236" i="78"/>
  <c r="D124" i="9"/>
  <c r="D16" i="53"/>
  <c r="F48" i="68"/>
  <c r="C48" i="68"/>
  <c r="C30" i="68"/>
  <c r="F48" i="69"/>
  <c r="C48" i="69"/>
  <c r="C30" i="69"/>
  <c r="C48" i="11"/>
  <c r="C30" i="11"/>
  <c r="C36" i="11"/>
  <c r="AR13" i="1"/>
  <c r="AQ13" i="1"/>
  <c r="T13" i="1"/>
  <c r="AR12" i="1"/>
  <c r="AQ12" i="1"/>
  <c r="T12" i="1"/>
  <c r="AR11" i="1"/>
  <c r="AQ11" i="1"/>
  <c r="T11" i="1"/>
  <c r="AR10" i="1"/>
  <c r="AQ10" i="1"/>
  <c r="T10" i="1"/>
  <c r="AR9" i="1"/>
  <c r="AQ9" i="1"/>
  <c r="T9" i="1"/>
  <c r="AR8" i="1"/>
  <c r="AQ8" i="1"/>
  <c r="T8" i="1"/>
  <c r="C24" i="12"/>
  <c r="C13" i="12"/>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5" i="40"/>
  <c r="D63" i="40"/>
  <c r="P25" i="43"/>
  <c r="P24" i="43"/>
  <c r="B66" i="40" s="1"/>
  <c r="P23" i="43"/>
  <c r="B70" i="39" s="1"/>
  <c r="P22" i="43"/>
  <c r="P21" i="43"/>
  <c r="O19" i="43"/>
  <c r="C19" i="43" s="1"/>
  <c r="E7" i="12"/>
  <c r="BA13" i="3"/>
  <c r="BB5" i="3"/>
  <c r="G27" i="6"/>
  <c r="G31" i="6" s="1"/>
  <c r="E19" i="6"/>
  <c r="K14" i="1"/>
  <c r="M14" i="1" s="1"/>
  <c r="E30" i="6"/>
  <c r="AC6" i="3"/>
  <c r="N104" i="46"/>
  <c r="B113" i="43"/>
  <c r="N101" i="43"/>
  <c r="M101" i="43"/>
  <c r="L101" i="43"/>
  <c r="K101" i="43"/>
  <c r="J101" i="43"/>
  <c r="I101" i="43"/>
  <c r="H101" i="43"/>
  <c r="G101" i="43"/>
  <c r="F101" i="43"/>
  <c r="E101" i="43"/>
  <c r="D101" i="43"/>
  <c r="C101" i="43"/>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H6" i="3"/>
  <c r="E6" i="3" s="1"/>
  <c r="F40" i="67"/>
  <c r="M29" i="67"/>
  <c r="M24" i="67"/>
  <c r="F26" i="67"/>
  <c r="F27" i="68"/>
  <c r="M24" i="15"/>
  <c r="C76" i="67"/>
  <c r="J15" i="67"/>
  <c r="M28" i="15"/>
  <c r="F36" i="67"/>
  <c r="F16" i="67"/>
  <c r="F4" i="73"/>
  <c r="F40" i="15"/>
  <c r="F37" i="67"/>
  <c r="M9" i="67"/>
  <c r="D9" i="68"/>
  <c r="F13" i="15"/>
  <c r="F7" i="67"/>
  <c r="F43" i="67"/>
  <c r="F6" i="73"/>
  <c r="L47" i="15"/>
  <c r="M28" i="67"/>
  <c r="M6" i="67"/>
  <c r="C76" i="15"/>
  <c r="F8" i="15"/>
  <c r="M27" i="67"/>
  <c r="D3" i="73"/>
  <c r="F9" i="15"/>
  <c r="F42" i="67"/>
  <c r="F3" i="73"/>
  <c r="M9" i="15"/>
  <c r="J15" i="15"/>
  <c r="C36" i="68"/>
  <c r="F37" i="15"/>
  <c r="M22" i="15"/>
  <c r="D5" i="73"/>
  <c r="G1" i="73" s="1"/>
  <c r="M26" i="15"/>
  <c r="F16" i="15"/>
  <c r="F8" i="67"/>
  <c r="D4" i="73"/>
  <c r="M27" i="15"/>
  <c r="M6" i="15"/>
  <c r="F9" i="67"/>
  <c r="D7" i="73"/>
  <c r="F36" i="15"/>
  <c r="M8" i="15"/>
  <c r="M22" i="67"/>
  <c r="F7" i="73"/>
  <c r="F26" i="15"/>
  <c r="F38" i="67"/>
  <c r="M23" i="67"/>
  <c r="F6" i="67"/>
  <c r="F38" i="15"/>
  <c r="L47" i="67"/>
  <c r="M26" i="67"/>
  <c r="F5" i="73"/>
  <c r="L48" i="15"/>
  <c r="L48" i="67"/>
  <c r="M8" i="67"/>
  <c r="M23" i="15"/>
  <c r="F6" i="15"/>
  <c r="D6" i="73"/>
  <c r="F42" i="15"/>
  <c r="F13" i="67"/>
  <c r="C6" i="67" l="1"/>
  <c r="C27" i="67"/>
  <c r="F68" i="67"/>
  <c r="F64" i="67"/>
  <c r="F66" i="67"/>
  <c r="F51" i="15"/>
  <c r="C27" i="15"/>
  <c r="F65" i="15"/>
  <c r="Q71" i="15"/>
  <c r="B40" i="1"/>
  <c r="F51" i="67"/>
  <c r="F70" i="67"/>
  <c r="Q71" i="67"/>
  <c r="F65" i="67"/>
  <c r="F68" i="15"/>
  <c r="F64" i="15"/>
  <c r="F66" i="15"/>
  <c r="I1" i="73"/>
  <c r="B39" i="1" s="1"/>
  <c r="C107" i="43"/>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K6" i="1"/>
  <c r="AZ13" i="3"/>
  <c r="AZ5" i="3" s="1"/>
  <c r="BA5" i="3"/>
  <c r="E27" i="6" s="1"/>
  <c r="D65" i="40"/>
  <c r="E63"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AA7" i="21"/>
  <c r="R48" i="21" s="1"/>
  <c r="S7" i="21"/>
  <c r="AB7" i="21"/>
  <c r="T48" i="21" s="1"/>
  <c r="G48" i="21" s="1"/>
  <c r="U7" i="21"/>
  <c r="AC7" i="21"/>
  <c r="V48" i="21" s="1"/>
  <c r="I48" i="21" s="1"/>
  <c r="W7" i="21"/>
  <c r="F50" i="67"/>
  <c r="M7" i="67"/>
  <c r="J6" i="67" s="1"/>
  <c r="C49" i="67"/>
  <c r="F71" i="67"/>
  <c r="N59" i="67"/>
  <c r="L59" i="67"/>
  <c r="L58" i="67"/>
  <c r="M59" i="67"/>
  <c r="J60" i="67"/>
  <c r="Q48" i="67" s="1"/>
  <c r="J59" i="67"/>
  <c r="L57" i="67"/>
  <c r="L56" i="67"/>
  <c r="L60" i="67"/>
  <c r="J57" i="67"/>
  <c r="J55" i="67" s="1"/>
  <c r="J58" i="67" s="1"/>
  <c r="Q50" i="67" s="1"/>
  <c r="I54" i="67"/>
  <c r="J53" i="67"/>
  <c r="N59" i="15"/>
  <c r="L59" i="15"/>
  <c r="L58" i="15"/>
  <c r="M59" i="15"/>
  <c r="J60" i="15"/>
  <c r="Q48" i="15" s="1"/>
  <c r="J59" i="15"/>
  <c r="L57" i="15"/>
  <c r="L56" i="15"/>
  <c r="L46" i="15"/>
  <c r="L60" i="15"/>
  <c r="J57" i="15"/>
  <c r="J55" i="15" s="1"/>
  <c r="J58" i="15" s="1"/>
  <c r="Q50" i="15" s="1"/>
  <c r="I54" i="15"/>
  <c r="J53" i="15"/>
  <c r="C9" i="68"/>
  <c r="C29" i="68"/>
  <c r="D27" i="68" s="1"/>
  <c r="C47" i="68"/>
  <c r="D45" i="68" s="1"/>
  <c r="F45" i="68"/>
  <c r="D17" i="53"/>
  <c r="B36" i="72" s="1"/>
  <c r="B34" i="72"/>
  <c r="D125" i="9"/>
  <c r="D11" i="52" s="1"/>
  <c r="H14" i="74"/>
  <c r="B7" i="74" s="1"/>
  <c r="D10" i="52"/>
  <c r="G239" i="78"/>
  <c r="E38" i="77"/>
  <c r="E39" i="77" s="1"/>
  <c r="C40" i="77" s="1"/>
  <c r="E29" i="77"/>
  <c r="E26" i="77"/>
  <c r="E32" i="77" s="1"/>
  <c r="D5" i="43"/>
  <c r="C5" i="43"/>
  <c r="C29" i="71"/>
  <c r="D28" i="71"/>
  <c r="C33" i="71"/>
  <c r="D32" i="71"/>
  <c r="C37" i="71"/>
  <c r="D36" i="71"/>
  <c r="T41" i="71"/>
  <c r="D41" i="71"/>
  <c r="T49" i="71"/>
  <c r="D49" i="71"/>
  <c r="T53" i="71"/>
  <c r="D53" i="71"/>
  <c r="T57" i="71"/>
  <c r="D57" i="71"/>
  <c r="T61" i="71"/>
  <c r="D61" i="71"/>
  <c r="C16" i="67"/>
  <c r="L46" i="67" l="1"/>
  <c r="M11" i="67"/>
  <c r="J10" i="67" s="1"/>
  <c r="J5" i="67" s="1"/>
  <c r="M11" i="15"/>
  <c r="F11" i="67"/>
  <c r="F11" i="15"/>
  <c r="C53" i="15" s="1"/>
  <c r="F24" i="67"/>
  <c r="C24" i="67" s="1"/>
  <c r="F25" i="12"/>
  <c r="C26" i="12" s="1"/>
  <c r="D25" i="12" s="1"/>
  <c r="F22" i="68"/>
  <c r="F22" i="11"/>
  <c r="F24" i="15"/>
  <c r="C24" i="15" s="1"/>
  <c r="F22" i="69"/>
  <c r="C32" i="67"/>
  <c r="C33" i="67"/>
  <c r="T37" i="71"/>
  <c r="D37" i="71"/>
  <c r="T33" i="71"/>
  <c r="D33" i="71"/>
  <c r="T29" i="71"/>
  <c r="D29" i="71"/>
  <c r="M20" i="43" s="1"/>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41" i="77"/>
  <c r="B2" i="77"/>
  <c r="B3" i="77" s="1"/>
  <c r="Q52" i="15"/>
  <c r="F1" i="15"/>
  <c r="Q66" i="15"/>
  <c r="Q57" i="15"/>
  <c r="Q60" i="15"/>
  <c r="Q73" i="15"/>
  <c r="Q61" i="15"/>
  <c r="Q74" i="15"/>
  <c r="Q52" i="67"/>
  <c r="F1" i="67"/>
  <c r="Q66" i="67"/>
  <c r="Q57" i="67"/>
  <c r="Q73" i="67"/>
  <c r="Q60" i="67"/>
  <c r="Q74" i="67"/>
  <c r="Q61" i="67"/>
  <c r="J18" i="67"/>
  <c r="I52" i="21"/>
  <c r="J52" i="21" s="1"/>
  <c r="G53" i="21"/>
  <c r="H53" i="21" s="1"/>
  <c r="G52" i="21"/>
  <c r="H52" i="21" s="1"/>
  <c r="R49" i="21"/>
  <c r="E48"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5" i="40"/>
  <c r="F63" i="40"/>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K19" i="6"/>
  <c r="E3" i="6"/>
  <c r="AY6" i="3"/>
  <c r="K16" i="1"/>
  <c r="M6" i="1"/>
  <c r="AE7" i="1"/>
  <c r="AE6" i="1"/>
  <c r="M29" i="15"/>
  <c r="F7" i="15"/>
  <c r="F43" i="15"/>
  <c r="C44" i="69" l="1"/>
  <c r="D41" i="69" s="1"/>
  <c r="F41" i="69"/>
  <c r="C26" i="69"/>
  <c r="D22" i="69" s="1"/>
  <c r="C44" i="11"/>
  <c r="D41" i="11" s="1"/>
  <c r="C23" i="11"/>
  <c r="C26" i="11"/>
  <c r="D22" i="11" s="1"/>
  <c r="F41" i="68"/>
  <c r="C24" i="68"/>
  <c r="C44" i="68"/>
  <c r="D41" i="68" s="1"/>
  <c r="C26" i="68"/>
  <c r="D22" i="68" s="1"/>
  <c r="C53" i="67"/>
  <c r="C48" i="67" s="1"/>
  <c r="C10" i="67"/>
  <c r="C5" i="67" s="1"/>
  <c r="F50" i="15"/>
  <c r="C49" i="15" s="1"/>
  <c r="C48" i="15" s="1"/>
  <c r="M7" i="15"/>
  <c r="J6" i="15" s="1"/>
  <c r="C6" i="15"/>
  <c r="F71" i="15"/>
  <c r="M16" i="1"/>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D3" i="34"/>
  <c r="D3" i="33"/>
  <c r="D3" i="21"/>
  <c r="D14" i="12"/>
  <c r="M18" i="9"/>
  <c r="B118" i="9" s="1"/>
  <c r="B14" i="74" s="1"/>
  <c r="B1" i="74" s="1"/>
  <c r="C7" i="74" s="1"/>
  <c r="L18" i="9"/>
  <c r="E6" i="6"/>
  <c r="C17" i="4"/>
  <c r="B4" i="52" s="1"/>
  <c r="B43" i="72" s="1"/>
  <c r="K27" i="6"/>
  <c r="M19" i="6"/>
  <c r="S6" i="1"/>
  <c r="M20" i="6"/>
  <c r="I20" i="6" s="1"/>
  <c r="S20" i="6" s="1"/>
  <c r="S7" i="1"/>
  <c r="F65" i="40"/>
  <c r="G63" i="40"/>
  <c r="F69" i="39"/>
  <c r="G67" i="39"/>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B2" i="37" s="1"/>
  <c r="B3" i="37" s="1"/>
  <c r="C42" i="37"/>
  <c r="E54" i="34"/>
  <c r="F54" i="34" s="1"/>
  <c r="E53" i="34"/>
  <c r="F53" i="34" s="1"/>
  <c r="I54" i="34"/>
  <c r="J54" i="34" s="1"/>
  <c r="C50" i="34"/>
  <c r="B2" i="34" s="1"/>
  <c r="B3" i="34" s="1"/>
  <c r="C49" i="34"/>
  <c r="E53" i="33"/>
  <c r="F53" i="33" s="1"/>
  <c r="E52" i="33"/>
  <c r="F52" i="33" s="1"/>
  <c r="I53" i="33"/>
  <c r="J53" i="33" s="1"/>
  <c r="C49" i="33"/>
  <c r="B2" i="33" s="1"/>
  <c r="B3" i="33" s="1"/>
  <c r="C48" i="33"/>
  <c r="E53" i="21"/>
  <c r="F53" i="21" s="1"/>
  <c r="E52" i="21"/>
  <c r="F52" i="21" s="1"/>
  <c r="I53" i="21"/>
  <c r="J53" i="21" s="1"/>
  <c r="C49" i="21"/>
  <c r="B2" i="21" s="1"/>
  <c r="B3" i="21" s="1"/>
  <c r="C48" i="21"/>
  <c r="J26" i="67"/>
  <c r="J24" i="67"/>
  <c r="G33" i="43"/>
  <c r="I33" i="43" s="1"/>
  <c r="E33" i="43"/>
  <c r="G34" i="43"/>
  <c r="I34" i="43" s="1"/>
  <c r="E34" i="43"/>
  <c r="G35" i="43"/>
  <c r="I35" i="43" s="1"/>
  <c r="E35" i="43"/>
  <c r="G36" i="43"/>
  <c r="I36" i="43" s="1"/>
  <c r="E36" i="43"/>
  <c r="G37" i="43"/>
  <c r="I37" i="43" s="1"/>
  <c r="E37" i="43"/>
  <c r="G38" i="43"/>
  <c r="I38" i="43" s="1"/>
  <c r="E38" i="43"/>
  <c r="G39" i="43"/>
  <c r="I39" i="43" s="1"/>
  <c r="E39" i="43"/>
  <c r="F41" i="15"/>
  <c r="F41" i="67"/>
  <c r="C16" i="15"/>
  <c r="C38" i="67" l="1"/>
  <c r="I7" i="70"/>
  <c r="F69" i="15"/>
  <c r="F69" i="67"/>
  <c r="J29" i="67"/>
  <c r="C66" i="67"/>
  <c r="C60" i="67"/>
  <c r="G69" i="39"/>
  <c r="H67" i="39"/>
  <c r="G65" i="40"/>
  <c r="H63" i="40"/>
  <c r="AR7" i="1"/>
  <c r="AQ7" i="1"/>
  <c r="T7" i="1"/>
  <c r="E7" i="70"/>
  <c r="S16" i="1"/>
  <c r="AR6" i="1"/>
  <c r="AQ6" i="1"/>
  <c r="T6" i="1"/>
  <c r="E6" i="70"/>
  <c r="E2" i="70" s="1"/>
  <c r="M27" i="6"/>
  <c r="I19" i="6"/>
  <c r="D10" i="11"/>
  <c r="C10" i="11" s="1"/>
  <c r="D20" i="12"/>
  <c r="C20" i="12" s="1"/>
  <c r="D10" i="69"/>
  <c r="D17" i="12"/>
  <c r="C17" i="12" s="1"/>
  <c r="C14" i="12"/>
  <c r="C16" i="12" s="1"/>
  <c r="C20" i="11"/>
  <c r="C25" i="11" s="1"/>
  <c r="C24" i="11"/>
  <c r="E61" i="40"/>
  <c r="M19" i="9"/>
  <c r="C118" i="9" s="1"/>
  <c r="C14" i="74" s="1"/>
  <c r="B2" i="74" s="1"/>
  <c r="D7" i="74"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R7" i="1" s="1"/>
  <c r="H19" i="6"/>
  <c r="H27" i="6" s="1"/>
  <c r="D19" i="6"/>
  <c r="D9" i="6"/>
  <c r="D8" i="6"/>
  <c r="D6" i="6"/>
  <c r="D5" i="6"/>
  <c r="C18" i="4"/>
  <c r="L16" i="1"/>
  <c r="C34" i="11"/>
  <c r="C33" i="15"/>
  <c r="C32" i="15"/>
  <c r="C10" i="15"/>
  <c r="C5" i="15" s="1"/>
  <c r="J18" i="15"/>
  <c r="J10" i="15"/>
  <c r="J5" i="15" s="1"/>
  <c r="C66" i="15"/>
  <c r="C60" i="15"/>
  <c r="D10" i="68"/>
  <c r="C17" i="67"/>
  <c r="C14" i="67"/>
  <c r="C17" i="15"/>
  <c r="C38" i="15" l="1"/>
  <c r="I6" i="70"/>
  <c r="I5" i="70" s="1"/>
  <c r="C22" i="11"/>
  <c r="J24" i="15"/>
  <c r="J26" i="15"/>
  <c r="J29" i="15" s="1"/>
  <c r="C38" i="11"/>
  <c r="C35" i="11"/>
  <c r="C33" i="11" s="1"/>
  <c r="C4" i="52"/>
  <c r="B45" i="72" s="1"/>
  <c r="A10" i="51"/>
  <c r="B9" i="72" s="1"/>
  <c r="A7" i="51"/>
  <c r="B7" i="72" s="1"/>
  <c r="D27" i="6"/>
  <c r="D31" i="6" s="1"/>
  <c r="R19" i="6"/>
  <c r="C10" i="69"/>
  <c r="C8" i="69" s="1"/>
  <c r="C5" i="69" s="1"/>
  <c r="D19" i="69"/>
  <c r="I27" i="6"/>
  <c r="S19" i="6"/>
  <c r="S27" i="6" s="1"/>
  <c r="C10" i="68"/>
  <c r="D19" i="68"/>
  <c r="D37" i="68" s="1"/>
  <c r="C37" i="68" s="1"/>
  <c r="T16" i="1"/>
  <c r="C18" i="67"/>
  <c r="C15" i="67"/>
  <c r="H65" i="40"/>
  <c r="I63" i="40"/>
  <c r="H69" i="39"/>
  <c r="I67" i="39"/>
  <c r="M21" i="67"/>
  <c r="F35" i="67"/>
  <c r="C34" i="68"/>
  <c r="C14" i="15"/>
  <c r="C19" i="67" l="1"/>
  <c r="J20" i="67"/>
  <c r="I69" i="39"/>
  <c r="J67" i="39"/>
  <c r="I65" i="40"/>
  <c r="J63" i="40"/>
  <c r="C20" i="67"/>
  <c r="C26" i="67" s="1"/>
  <c r="C18" i="15"/>
  <c r="C15" i="15"/>
  <c r="C38" i="68"/>
  <c r="C35" i="68"/>
  <c r="B29" i="1"/>
  <c r="C18" i="12" s="1"/>
  <c r="C21" i="12" s="1"/>
  <c r="C8" i="68"/>
  <c r="C5" i="68" s="1"/>
  <c r="D37" i="69"/>
  <c r="C37" i="69" s="1"/>
  <c r="C19" i="69"/>
  <c r="C24" i="69" s="1"/>
  <c r="C23" i="69"/>
  <c r="F63" i="67"/>
  <c r="C62" i="67" s="1"/>
  <c r="C34" i="67"/>
  <c r="C31" i="67" s="1"/>
  <c r="R27" i="6"/>
  <c r="R6" i="1"/>
  <c r="I6" i="6"/>
  <c r="I5" i="6"/>
  <c r="C39" i="11"/>
  <c r="C42" i="11"/>
  <c r="C33" i="68" l="1"/>
  <c r="C39" i="68" s="1"/>
  <c r="C43" i="68" s="1"/>
  <c r="C19" i="15"/>
  <c r="C23" i="67"/>
  <c r="C29" i="67" s="1"/>
  <c r="C57" i="67" s="1"/>
  <c r="C20" i="69"/>
  <c r="C25" i="69" s="1"/>
  <c r="C22" i="69" s="1"/>
  <c r="C43" i="11"/>
  <c r="C41" i="11" s="1"/>
  <c r="R16" i="1"/>
  <c r="C23" i="68"/>
  <c r="C20" i="68"/>
  <c r="C25" i="68" s="1"/>
  <c r="C22" i="12"/>
  <c r="C27" i="12" s="1"/>
  <c r="C25" i="12" s="1"/>
  <c r="C20" i="15"/>
  <c r="C23" i="15" s="1"/>
  <c r="J65" i="40"/>
  <c r="K63" i="40"/>
  <c r="J69" i="39"/>
  <c r="K67" i="39"/>
  <c r="F35" i="15"/>
  <c r="M21" i="15"/>
  <c r="J14" i="67" l="1"/>
  <c r="J13" i="67" s="1"/>
  <c r="J23" i="67" s="1"/>
  <c r="C13" i="67"/>
  <c r="C37" i="67" s="1"/>
  <c r="Q49" i="67"/>
  <c r="C42" i="68"/>
  <c r="C41" i="68" s="1"/>
  <c r="J19" i="67"/>
  <c r="J17" i="67" s="1"/>
  <c r="C36" i="67"/>
  <c r="C46" i="68"/>
  <c r="C45" i="68" s="1"/>
  <c r="C28" i="68"/>
  <c r="C27" i="68" s="1"/>
  <c r="J20" i="15"/>
  <c r="C26" i="15"/>
  <c r="C29" i="15" s="1"/>
  <c r="K69" i="39"/>
  <c r="L67" i="39"/>
  <c r="K65" i="40"/>
  <c r="L63" i="40"/>
  <c r="J22" i="67"/>
  <c r="C64" i="67"/>
  <c r="C61" i="67"/>
  <c r="C59" i="67" s="1"/>
  <c r="C22" i="68"/>
  <c r="F63" i="15"/>
  <c r="C62" i="15" s="1"/>
  <c r="C34" i="15"/>
  <c r="C31" i="15" s="1"/>
  <c r="Q70" i="67" l="1"/>
  <c r="C30" i="67"/>
  <c r="C39" i="67" s="1"/>
  <c r="C40" i="67" s="1"/>
  <c r="C75" i="67"/>
  <c r="C56" i="67"/>
  <c r="C65" i="67" s="1"/>
  <c r="C58" i="67" s="1"/>
  <c r="C67" i="67" s="1"/>
  <c r="C68" i="67" s="1"/>
  <c r="C31" i="68"/>
  <c r="C49" i="68"/>
  <c r="C57" i="15"/>
  <c r="C61" i="15" s="1"/>
  <c r="C59" i="15" s="1"/>
  <c r="C36" i="15"/>
  <c r="J19" i="15"/>
  <c r="J17" i="15" s="1"/>
  <c r="Q49" i="15"/>
  <c r="J14" i="15"/>
  <c r="J22" i="15" s="1"/>
  <c r="C13" i="15"/>
  <c r="C75" i="15" s="1"/>
  <c r="J16" i="67"/>
  <c r="J25" i="67" s="1"/>
  <c r="Q69" i="67"/>
  <c r="L65" i="40"/>
  <c r="M63" i="40"/>
  <c r="L69" i="39"/>
  <c r="M67" i="39"/>
  <c r="L51" i="67"/>
  <c r="C80" i="67" l="1"/>
  <c r="C79" i="67" s="1"/>
  <c r="C56" i="15"/>
  <c r="C65" i="15" s="1"/>
  <c r="Q68" i="67"/>
  <c r="J13" i="15"/>
  <c r="J23" i="15" s="1"/>
  <c r="J16" i="15" s="1"/>
  <c r="J25" i="15" s="1"/>
  <c r="C37" i="15"/>
  <c r="C30" i="15" s="1"/>
  <c r="C39" i="15" s="1"/>
  <c r="C40" i="15" s="1"/>
  <c r="Q70" i="15"/>
  <c r="C64" i="15"/>
  <c r="Q67" i="67"/>
  <c r="M69" i="39"/>
  <c r="N67" i="39"/>
  <c r="M65" i="40"/>
  <c r="N63" i="40"/>
  <c r="Q47" i="67"/>
  <c r="Q53" i="67" s="1"/>
  <c r="C43" i="67"/>
  <c r="Q65" i="67"/>
  <c r="Q75" i="67" s="1"/>
  <c r="Q56" i="67"/>
  <c r="Q62" i="67" s="1"/>
  <c r="D2" i="67"/>
  <c r="C83" i="67"/>
  <c r="C82" i="67" s="1"/>
  <c r="C71" i="67"/>
  <c r="C45" i="67"/>
  <c r="C46" i="67" s="1"/>
  <c r="L51" i="15"/>
  <c r="C58" i="15" l="1"/>
  <c r="C67" i="15" s="1"/>
  <c r="C68" i="15" s="1"/>
  <c r="C46" i="15" s="1"/>
  <c r="Q69" i="15"/>
  <c r="Q68" i="15" s="1"/>
  <c r="C80" i="15"/>
  <c r="C79" i="15" s="1"/>
  <c r="Q67" i="15"/>
  <c r="C43" i="15"/>
  <c r="Q65" i="15"/>
  <c r="Q75" i="15" s="1"/>
  <c r="Q56" i="15"/>
  <c r="Q62" i="15" s="1"/>
  <c r="Q47" i="15"/>
  <c r="Q53" i="15" s="1"/>
  <c r="B2" i="15"/>
  <c r="C83" i="15"/>
  <c r="C82" i="15" s="1"/>
  <c r="B3" i="67"/>
  <c r="B2" i="67"/>
  <c r="N65" i="40"/>
  <c r="O63" i="40"/>
  <c r="O65" i="40" s="1"/>
  <c r="J7" i="40"/>
  <c r="H7" i="40"/>
  <c r="F7" i="40"/>
  <c r="N69" i="39"/>
  <c r="O67" i="39"/>
  <c r="O69" i="39" s="1"/>
  <c r="J7" i="39"/>
  <c r="H7" i="39"/>
  <c r="F7" i="39"/>
  <c r="AO7" i="1"/>
  <c r="C71" i="15" l="1"/>
  <c r="B7" i="70"/>
  <c r="AA7" i="39"/>
  <c r="R47" i="39" s="1"/>
  <c r="S7" i="39"/>
  <c r="AB7" i="39"/>
  <c r="T47" i="39" s="1"/>
  <c r="G47" i="39" s="1"/>
  <c r="U7" i="39"/>
  <c r="AC7" i="39"/>
  <c r="V47" i="39" s="1"/>
  <c r="I47" i="39" s="1"/>
  <c r="W7" i="39"/>
  <c r="AA7" i="40"/>
  <c r="R42" i="40" s="1"/>
  <c r="S7" i="40"/>
  <c r="AB7" i="40"/>
  <c r="T42" i="40" s="1"/>
  <c r="G42" i="40" s="1"/>
  <c r="U7" i="40"/>
  <c r="AC7" i="40"/>
  <c r="V42" i="40" s="1"/>
  <c r="I42" i="40" s="1"/>
  <c r="W7" i="40"/>
  <c r="B3" i="15"/>
  <c r="AO6" i="1"/>
  <c r="B6" i="70" l="1"/>
  <c r="B2" i="70" s="1"/>
  <c r="B3" i="70" s="1"/>
  <c r="I46" i="40"/>
  <c r="J46" i="40" s="1"/>
  <c r="G47" i="40"/>
  <c r="H47" i="40" s="1"/>
  <c r="G46" i="40"/>
  <c r="H46" i="40" s="1"/>
  <c r="R43" i="40"/>
  <c r="E42" i="40"/>
  <c r="I51" i="39"/>
  <c r="J51" i="39" s="1"/>
  <c r="G52" i="39"/>
  <c r="H52" i="39" s="1"/>
  <c r="G51" i="39"/>
  <c r="H51" i="39" s="1"/>
  <c r="R48" i="39"/>
  <c r="E47" i="39"/>
  <c r="C19" i="9"/>
  <c r="C20" i="9"/>
  <c r="E52" i="39" l="1"/>
  <c r="F52" i="39" s="1"/>
  <c r="E51" i="39"/>
  <c r="F51" i="39" s="1"/>
  <c r="I52" i="39"/>
  <c r="J52" i="39" s="1"/>
  <c r="C48" i="39"/>
  <c r="C47" i="39"/>
  <c r="E47" i="40"/>
  <c r="F47" i="40" s="1"/>
  <c r="E46" i="40"/>
  <c r="F46" i="40" s="1"/>
  <c r="I47" i="40"/>
  <c r="J47" i="40" s="1"/>
  <c r="C43" i="40"/>
  <c r="C42" i="40"/>
  <c r="C103" i="9"/>
  <c r="C21" i="9"/>
  <c r="C102" i="9"/>
  <c r="F61" i="40" l="1"/>
  <c r="B2" i="40" s="1"/>
  <c r="B3" i="40" s="1"/>
  <c r="B60" i="40"/>
  <c r="B59" i="40"/>
  <c r="B58" i="40"/>
  <c r="B57" i="40"/>
  <c r="B56" i="40"/>
  <c r="B54" i="40"/>
  <c r="F54" i="40" s="1"/>
  <c r="B53" i="40"/>
  <c r="F53" i="40" s="1"/>
  <c r="B52" i="40"/>
  <c r="F52" i="40" s="1"/>
  <c r="B51" i="40"/>
  <c r="F51" i="40" s="1"/>
  <c r="B64" i="39"/>
  <c r="B63" i="39"/>
  <c r="B62" i="39"/>
  <c r="B61" i="39"/>
  <c r="B60" i="39"/>
  <c r="B59" i="39"/>
  <c r="F59" i="39" s="1"/>
  <c r="B58" i="39"/>
  <c r="F58" i="39" s="1"/>
  <c r="B57" i="39"/>
  <c r="F57" i="39" s="1"/>
  <c r="B56" i="39"/>
  <c r="F56" i="39" s="1"/>
  <c r="F65" i="39" s="1"/>
  <c r="B2" i="39" s="1"/>
  <c r="B3" i="39" s="1"/>
  <c r="C34" i="69"/>
  <c r="C38" i="69" s="1"/>
  <c r="Q16" i="1"/>
  <c r="F27" i="69"/>
  <c r="C47" i="69" s="1"/>
  <c r="D45" i="69" s="1"/>
  <c r="F28" i="12"/>
  <c r="C29" i="12" s="1"/>
  <c r="D28" i="12" s="1"/>
  <c r="F27" i="11"/>
  <c r="N16" i="1"/>
  <c r="F50" i="11" s="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E65" i="39"/>
  <c r="E16" i="6"/>
  <c r="D113" i="43"/>
  <c r="C29" i="11"/>
  <c r="D27" i="11"/>
  <c r="C47" i="11"/>
  <c r="D45" i="11"/>
  <c r="C23" i="43"/>
  <c r="C21" i="43"/>
  <c r="S7" i="43"/>
  <c r="S6" i="43"/>
  <c r="S5" i="43"/>
  <c r="S4" i="43"/>
  <c r="S3" i="43"/>
  <c r="S2" i="43"/>
  <c r="C29" i="43"/>
  <c r="E29" i="43"/>
  <c r="C30" i="43"/>
  <c r="E30" i="43"/>
  <c r="C27" i="43"/>
  <c r="T7" i="43"/>
  <c r="V7" i="43"/>
  <c r="T6" i="43"/>
  <c r="V6" i="43"/>
  <c r="T5" i="43"/>
  <c r="V5" i="43"/>
  <c r="T4" i="43"/>
  <c r="V4" i="43"/>
  <c r="T3" i="43"/>
  <c r="V3" i="43"/>
  <c r="T2" i="43"/>
  <c r="V2" i="43"/>
  <c r="C26" i="43"/>
  <c r="B2" i="43"/>
  <c r="B3" i="43"/>
  <c r="C28" i="11"/>
  <c r="C27" i="11"/>
  <c r="C31" i="11"/>
  <c r="C46" i="11"/>
  <c r="C45" i="11" s="1"/>
  <c r="C49" i="11" s="1"/>
  <c r="C51" i="11" s="1"/>
  <c r="D15" i="6"/>
  <c r="D14" i="6"/>
  <c r="D13" i="6"/>
  <c r="D12" i="6"/>
  <c r="D11" i="6"/>
  <c r="D10" i="6"/>
  <c r="D16" i="6"/>
  <c r="F60" i="40"/>
  <c r="F59" i="40"/>
  <c r="F58" i="40"/>
  <c r="F57" i="40"/>
  <c r="F56" i="40"/>
  <c r="F64" i="39"/>
  <c r="F63" i="39"/>
  <c r="F62" i="39"/>
  <c r="F61" i="39"/>
  <c r="F60" i="39"/>
  <c r="E6" i="76"/>
  <c r="B6" i="76"/>
  <c r="F50" i="69" l="1"/>
  <c r="F50" i="68"/>
  <c r="C51" i="68" s="1"/>
  <c r="C52" i="68" s="1"/>
  <c r="B2" i="68" s="1"/>
  <c r="C30" i="12"/>
  <c r="C28" i="12" s="1"/>
  <c r="C32" i="12" s="1"/>
  <c r="B2" i="12" s="1"/>
  <c r="B3" i="12" s="1"/>
  <c r="C28" i="69"/>
  <c r="C27" i="69" s="1"/>
  <c r="C35" i="69"/>
  <c r="C33" i="69" s="1"/>
  <c r="C52" i="11"/>
  <c r="B2" i="11" s="1"/>
  <c r="B3" i="11" s="1"/>
  <c r="E2" i="76"/>
  <c r="B2" i="76"/>
  <c r="F45" i="69"/>
  <c r="C29" i="69"/>
  <c r="D27" i="69" s="1"/>
  <c r="D19" i="9"/>
  <c r="C31" i="69" l="1"/>
  <c r="C57" i="68"/>
  <c r="C56" i="68" s="1"/>
  <c r="C39" i="69"/>
  <c r="C43" i="69" s="1"/>
  <c r="C42" i="69"/>
  <c r="C56" i="11"/>
  <c r="C57" i="11" s="1"/>
  <c r="D102" i="9"/>
  <c r="G19" i="9"/>
  <c r="D21" i="9"/>
  <c r="D22" i="9"/>
  <c r="B3" i="76"/>
  <c r="B3" i="68"/>
  <c r="D20" i="9"/>
  <c r="D35" i="9"/>
  <c r="D34" i="9"/>
  <c r="C41" i="69" l="1"/>
  <c r="C46" i="69"/>
  <c r="C45" i="69" s="1"/>
  <c r="D103" i="9"/>
  <c r="G20" i="9"/>
  <c r="C32" i="9"/>
  <c r="G21" i="9"/>
  <c r="C49" i="69" l="1"/>
  <c r="C51" i="69" s="1"/>
  <c r="C52" i="69" s="1"/>
  <c r="B2" i="69" s="1"/>
  <c r="B3" i="69" s="1"/>
  <c r="C35" i="9"/>
  <c r="F118" i="9" s="1"/>
  <c r="H118" i="9"/>
  <c r="C57" i="69" l="1"/>
  <c r="C56" i="69" s="1"/>
  <c r="C34" i="9"/>
  <c r="D118" i="9" s="1"/>
  <c r="C104" i="9"/>
  <c r="H4" i="52"/>
  <c r="I118" i="9"/>
  <c r="D14" i="74"/>
  <c r="H101" i="9"/>
  <c r="H119" i="9"/>
  <c r="H5" i="52" s="1"/>
  <c r="F119" i="9"/>
  <c r="F5" i="52" s="1"/>
  <c r="B53" i="72" s="1"/>
  <c r="G118" i="9"/>
  <c r="G4" i="52" s="1"/>
  <c r="B52" i="72" s="1"/>
  <c r="F4" i="52"/>
  <c r="B51" i="72" s="1"/>
  <c r="D45" i="9" l="1"/>
  <c r="H107" i="9"/>
  <c r="D5" i="53"/>
  <c r="M48" i="9"/>
  <c r="I4" i="52"/>
  <c r="C105" i="9"/>
  <c r="H102" i="9"/>
  <c r="D7" i="53" s="1"/>
  <c r="B21" i="72" s="1"/>
  <c r="E118" i="9"/>
  <c r="E4" i="52" s="1"/>
  <c r="B48" i="72" s="1"/>
  <c r="E14" i="74"/>
  <c r="F14" i="74"/>
  <c r="B5" i="74"/>
  <c r="D4" i="52"/>
  <c r="B47" i="72" s="1"/>
  <c r="D119" i="9"/>
  <c r="D5" i="52" s="1"/>
  <c r="B49" i="72" s="1"/>
  <c r="M49" i="9" l="1"/>
  <c r="D122" i="9"/>
  <c r="D13" i="53"/>
  <c r="H108" i="9"/>
  <c r="D15" i="53" s="1"/>
  <c r="B31" i="72" s="1"/>
  <c r="C5" i="74"/>
  <c r="D5" i="74"/>
  <c r="D6" i="53"/>
  <c r="B22" i="72" s="1"/>
  <c r="B20" i="72"/>
  <c r="C78" i="9"/>
  <c r="C73" i="9" s="1"/>
  <c r="D53" i="9"/>
  <c r="C72" i="9"/>
  <c r="C93" i="9"/>
  <c r="C86" i="9" s="1"/>
  <c r="D52" i="9"/>
  <c r="D55" i="9"/>
  <c r="M53" i="9" s="1"/>
  <c r="C64" i="9"/>
  <c r="C63" i="9" s="1"/>
  <c r="C67" i="9" s="1"/>
  <c r="C85" i="9"/>
  <c r="C95" i="9" s="1"/>
  <c r="C79" i="9" l="1"/>
  <c r="C96" i="9"/>
  <c r="E96" i="9" s="1"/>
  <c r="E97" i="9" s="1"/>
  <c r="C68" i="9"/>
  <c r="D54" i="9" s="1"/>
  <c r="D59" i="9"/>
  <c r="M55" i="9" s="1"/>
  <c r="C80" i="9"/>
  <c r="E80" i="9" s="1"/>
  <c r="E81" i="9" s="1"/>
  <c r="D14" i="53"/>
  <c r="B32" i="72" s="1"/>
  <c r="B30" i="72"/>
  <c r="L68" i="9"/>
  <c r="M68" i="9" s="1"/>
  <c r="L63" i="9"/>
  <c r="M63" i="9" s="1"/>
  <c r="L65" i="9"/>
  <c r="M65" i="9" s="1"/>
  <c r="L67" i="9"/>
  <c r="M67" i="9" s="1"/>
  <c r="L66" i="9"/>
  <c r="M66" i="9" s="1"/>
  <c r="L64" i="9"/>
  <c r="M64" i="9" s="1"/>
  <c r="D123" i="9"/>
  <c r="D9" i="52" s="1"/>
  <c r="D8" i="52"/>
  <c r="G14" i="74"/>
  <c r="B6" i="74" s="1"/>
  <c r="C6" i="74" l="1"/>
  <c r="D6" i="74"/>
  <c r="C81" i="9"/>
  <c r="C97" i="9"/>
  <c r="D58" i="9" s="1"/>
  <c r="D56" i="9" s="1"/>
  <c r="M54" i="9" s="1"/>
  <c r="N57" i="9" s="1"/>
  <c r="M69" i="9"/>
  <c r="N69" i="9" s="1"/>
  <c r="P57" i="9" l="1"/>
  <c r="N58" i="9"/>
  <c r="N59" i="9"/>
  <c r="N74" i="9" l="1"/>
  <c r="N76" i="9" s="1"/>
  <c r="N60" i="9"/>
  <c r="H111" i="9"/>
  <c r="N61" i="9"/>
  <c r="N73" i="9"/>
  <c r="H112" i="9" l="1"/>
  <c r="D21" i="53" s="1"/>
  <c r="B39" i="72" s="1"/>
  <c r="N75" i="9"/>
  <c r="D126" i="9"/>
  <c r="D19" i="53"/>
  <c r="D127" i="9" l="1"/>
  <c r="D13" i="52" s="1"/>
  <c r="I14" i="74"/>
  <c r="B8" i="74" s="1"/>
  <c r="D12" i="52"/>
  <c r="D20" i="53"/>
  <c r="B40" i="72" s="1"/>
  <c r="B38" i="72"/>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作者</author>
    <author>xbany</author>
  </authors>
  <commentList>
    <comment ref="D18" authorId="0">
      <text>
        <r>
          <rPr>
            <b/>
            <sz val="9"/>
            <rFont val="Tahoma"/>
            <family val="2"/>
          </rPr>
          <t>User:</t>
        </r>
        <r>
          <rPr>
            <sz val="9"/>
            <rFont val="Tahoma"/>
            <family val="2"/>
          </rPr>
          <t xml:space="preserve">
2018.05.01</t>
        </r>
        <r>
          <rPr>
            <sz val="9"/>
            <rFont val="宋体"/>
            <family val="3"/>
            <charset val="134"/>
          </rPr>
          <t>面积由</t>
        </r>
        <r>
          <rPr>
            <sz val="9"/>
            <rFont val="Tahoma"/>
            <family val="2"/>
          </rPr>
          <t>25.2</t>
        </r>
        <r>
          <rPr>
            <sz val="9"/>
            <rFont val="宋体"/>
            <family val="3"/>
            <charset val="134"/>
          </rPr>
          <t>变为</t>
        </r>
        <r>
          <rPr>
            <sz val="9"/>
            <rFont val="Tahoma"/>
            <family val="2"/>
          </rPr>
          <t>23</t>
        </r>
      </text>
    </comment>
    <comment ref="D51" authorId="0">
      <text>
        <r>
          <rPr>
            <b/>
            <sz val="9"/>
            <rFont val="Tahoma"/>
            <family val="2"/>
          </rPr>
          <t>User:</t>
        </r>
        <r>
          <rPr>
            <sz val="9"/>
            <rFont val="Tahoma"/>
            <family val="2"/>
          </rPr>
          <t xml:space="preserve">
20180707</t>
        </r>
        <r>
          <rPr>
            <sz val="9"/>
            <rFont val="宋体"/>
            <family val="3"/>
            <charset val="134"/>
          </rPr>
          <t>由</t>
        </r>
        <r>
          <rPr>
            <sz val="9"/>
            <rFont val="Tahoma"/>
            <family val="2"/>
          </rPr>
          <t>19</t>
        </r>
        <r>
          <rPr>
            <sz val="9"/>
            <rFont val="宋体"/>
            <family val="3"/>
            <charset val="134"/>
          </rPr>
          <t>变成</t>
        </r>
        <r>
          <rPr>
            <sz val="9"/>
            <rFont val="Tahoma"/>
            <family val="2"/>
          </rPr>
          <t xml:space="preserve">18
</t>
        </r>
      </text>
    </comment>
    <comment ref="D90" authorId="0">
      <text>
        <r>
          <rPr>
            <b/>
            <sz val="9"/>
            <rFont val="Tahoma"/>
            <family val="2"/>
          </rPr>
          <t>User:</t>
        </r>
        <r>
          <rPr>
            <sz val="9"/>
            <rFont val="Tahoma"/>
            <family val="2"/>
          </rPr>
          <t xml:space="preserve">
20180824</t>
        </r>
        <r>
          <rPr>
            <sz val="9"/>
            <rFont val="宋体"/>
            <family val="3"/>
            <charset val="134"/>
          </rPr>
          <t>开始从</t>
        </r>
        <r>
          <rPr>
            <sz val="9"/>
            <rFont val="Tahoma"/>
            <family val="2"/>
          </rPr>
          <t>25</t>
        </r>
        <r>
          <rPr>
            <sz val="9"/>
            <rFont val="宋体"/>
            <family val="3"/>
            <charset val="134"/>
          </rPr>
          <t>变为</t>
        </r>
        <r>
          <rPr>
            <sz val="9"/>
            <rFont val="Tahoma"/>
            <family val="2"/>
          </rPr>
          <t>23</t>
        </r>
      </text>
    </comment>
    <comment ref="B95" authorId="1">
      <text>
        <r>
          <rPr>
            <sz val="9"/>
            <rFont val="宋体"/>
            <family val="3"/>
            <charset val="134"/>
          </rPr>
          <t>作者:
杨月芝</t>
        </r>
      </text>
    </comment>
    <comment ref="I108" authorId="0">
      <text>
        <r>
          <rPr>
            <b/>
            <sz val="9"/>
            <rFont val="Tahoma"/>
            <family val="2"/>
          </rPr>
          <t>User:</t>
        </r>
        <r>
          <rPr>
            <sz val="9"/>
            <rFont val="Tahoma"/>
            <family val="2"/>
          </rPr>
          <t xml:space="preserve">
20190527</t>
        </r>
        <r>
          <rPr>
            <sz val="9"/>
            <rFont val="宋体"/>
            <family val="3"/>
            <charset val="134"/>
          </rPr>
          <t>由水族、水族用品变为工艺品</t>
        </r>
      </text>
    </comment>
    <comment ref="B123" authorId="2">
      <text>
        <r>
          <rPr>
            <b/>
            <sz val="9"/>
            <rFont val="Tahoma"/>
            <family val="2"/>
          </rPr>
          <t>xbany:</t>
        </r>
        <r>
          <rPr>
            <sz val="9"/>
            <rFont val="Tahoma"/>
            <family val="2"/>
          </rPr>
          <t xml:space="preserve">
20210129</t>
        </r>
        <r>
          <rPr>
            <sz val="9"/>
            <rFont val="宋体"/>
            <family val="3"/>
            <charset val="134"/>
          </rPr>
          <t>由王坤明变为刘航宇</t>
        </r>
      </text>
    </comment>
    <comment ref="C123" authorId="2">
      <text>
        <r>
          <rPr>
            <b/>
            <sz val="9"/>
            <rFont val="Tahoma"/>
            <family val="2"/>
          </rPr>
          <t>xbany:</t>
        </r>
        <r>
          <rPr>
            <sz val="9"/>
            <rFont val="Tahoma"/>
            <family val="2"/>
          </rPr>
          <t xml:space="preserve">
198/199</t>
        </r>
      </text>
    </comment>
    <comment ref="D123" authorId="2">
      <text>
        <r>
          <rPr>
            <b/>
            <sz val="9"/>
            <rFont val="Tahoma"/>
            <family val="2"/>
          </rPr>
          <t>xbany:</t>
        </r>
        <r>
          <rPr>
            <sz val="9"/>
            <rFont val="Tahoma"/>
            <family val="2"/>
          </rPr>
          <t xml:space="preserve">
</t>
        </r>
        <r>
          <rPr>
            <sz val="9"/>
            <rFont val="宋体"/>
            <family val="3"/>
            <charset val="134"/>
          </rPr>
          <t>原</t>
        </r>
        <r>
          <rPr>
            <sz val="9"/>
            <rFont val="Tahoma"/>
            <family val="2"/>
          </rPr>
          <t>28</t>
        </r>
      </text>
    </comment>
    <comment ref="C124" authorId="2">
      <text>
        <r>
          <rPr>
            <b/>
            <sz val="9"/>
            <rFont val="Tahoma"/>
            <family val="2"/>
          </rPr>
          <t>xbany:</t>
        </r>
        <r>
          <rPr>
            <sz val="9"/>
            <rFont val="Tahoma"/>
            <family val="2"/>
          </rPr>
          <t xml:space="preserve">
</t>
        </r>
        <r>
          <rPr>
            <sz val="9"/>
            <rFont val="宋体"/>
            <family val="3"/>
            <charset val="134"/>
          </rPr>
          <t>原</t>
        </r>
        <r>
          <rPr>
            <sz val="9"/>
            <rFont val="Tahoma"/>
            <family val="2"/>
          </rPr>
          <t>200</t>
        </r>
      </text>
    </comment>
    <comment ref="D124" authorId="2">
      <text>
        <r>
          <rPr>
            <b/>
            <sz val="9"/>
            <rFont val="Tahoma"/>
            <family val="2"/>
          </rPr>
          <t>xbany:</t>
        </r>
        <r>
          <rPr>
            <sz val="9"/>
            <rFont val="Tahoma"/>
            <family val="2"/>
          </rPr>
          <t xml:space="preserve">
20211231</t>
        </r>
        <r>
          <rPr>
            <sz val="9"/>
            <rFont val="宋体"/>
            <family val="3"/>
            <charset val="134"/>
          </rPr>
          <t>签新合同原</t>
        </r>
        <r>
          <rPr>
            <sz val="9"/>
            <rFont val="Tahoma"/>
            <family val="2"/>
          </rPr>
          <t xml:space="preserve">30
</t>
        </r>
        <r>
          <rPr>
            <sz val="9"/>
            <rFont val="宋体"/>
            <family val="3"/>
            <charset val="134"/>
          </rPr>
          <t>原</t>
        </r>
        <r>
          <rPr>
            <sz val="9"/>
            <rFont val="Tahoma"/>
            <family val="2"/>
          </rPr>
          <t>16</t>
        </r>
      </text>
    </comment>
    <comment ref="C149" authorId="2">
      <text>
        <r>
          <rPr>
            <b/>
            <sz val="9"/>
            <rFont val="Tahoma"/>
            <family val="2"/>
          </rPr>
          <t>xbany:</t>
        </r>
        <r>
          <rPr>
            <sz val="9"/>
            <rFont val="Tahoma"/>
            <family val="2"/>
          </rPr>
          <t xml:space="preserve">
</t>
        </r>
        <r>
          <rPr>
            <sz val="9"/>
            <rFont val="宋体"/>
            <family val="3"/>
            <charset val="134"/>
          </rPr>
          <t>原</t>
        </r>
        <r>
          <rPr>
            <sz val="9"/>
            <rFont val="Tahoma"/>
            <family val="2"/>
          </rPr>
          <t>236/237</t>
        </r>
      </text>
    </comment>
    <comment ref="D203" authorId="0">
      <text>
        <r>
          <rPr>
            <b/>
            <sz val="9"/>
            <rFont val="Tahoma"/>
            <family val="2"/>
          </rPr>
          <t>User:</t>
        </r>
        <r>
          <rPr>
            <sz val="9"/>
            <rFont val="Tahoma"/>
            <family val="2"/>
          </rPr>
          <t xml:space="preserve">
20180818</t>
        </r>
        <r>
          <rPr>
            <sz val="9"/>
            <rFont val="宋体"/>
            <family val="3"/>
            <charset val="134"/>
          </rPr>
          <t>起面积由</t>
        </r>
        <r>
          <rPr>
            <sz val="9"/>
            <rFont val="Tahoma"/>
            <family val="2"/>
          </rPr>
          <t>14</t>
        </r>
        <r>
          <rPr>
            <sz val="9"/>
            <rFont val="宋体"/>
            <family val="3"/>
            <charset val="134"/>
          </rPr>
          <t>变为</t>
        </r>
        <r>
          <rPr>
            <sz val="9"/>
            <rFont val="Tahoma"/>
            <family val="2"/>
          </rPr>
          <t xml:space="preserve">17
</t>
        </r>
      </text>
    </comment>
    <comment ref="C211" authorId="2">
      <text>
        <r>
          <rPr>
            <b/>
            <sz val="9"/>
            <rFont val="Tahoma"/>
            <family val="2"/>
          </rPr>
          <t>xbany:</t>
        </r>
        <r>
          <rPr>
            <sz val="9"/>
            <rFont val="Tahoma"/>
            <family val="2"/>
          </rPr>
          <t xml:space="preserve">
</t>
        </r>
        <r>
          <rPr>
            <sz val="9"/>
            <rFont val="宋体"/>
            <family val="3"/>
            <charset val="134"/>
          </rPr>
          <t>原</t>
        </r>
        <r>
          <rPr>
            <sz val="9"/>
            <rFont val="Tahoma"/>
            <family val="2"/>
          </rPr>
          <t>301/302/303/305/307</t>
        </r>
      </text>
    </comment>
    <comment ref="D211" authorId="2">
      <text>
        <r>
          <rPr>
            <b/>
            <sz val="9"/>
            <rFont val="Tahoma"/>
            <family val="2"/>
          </rPr>
          <t>xbany:</t>
        </r>
        <r>
          <rPr>
            <sz val="9"/>
            <rFont val="Tahoma"/>
            <family val="2"/>
          </rPr>
          <t xml:space="preserve">
</t>
        </r>
        <r>
          <rPr>
            <sz val="9"/>
            <rFont val="宋体"/>
            <family val="3"/>
            <charset val="134"/>
          </rPr>
          <t>原</t>
        </r>
        <r>
          <rPr>
            <sz val="9"/>
            <rFont val="Tahoma"/>
            <family val="2"/>
          </rPr>
          <t>241</t>
        </r>
      </text>
    </comment>
    <comment ref="D217" authorId="2">
      <text>
        <r>
          <rPr>
            <b/>
            <sz val="9"/>
            <rFont val="Tahoma"/>
            <family val="2"/>
          </rPr>
          <t>xbany:</t>
        </r>
        <r>
          <rPr>
            <sz val="9"/>
            <rFont val="Tahoma"/>
            <family val="2"/>
          </rPr>
          <t xml:space="preserve">
</t>
        </r>
        <r>
          <rPr>
            <sz val="9"/>
            <rFont val="宋体"/>
            <family val="3"/>
            <charset val="134"/>
          </rPr>
          <t>实际测量</t>
        </r>
        <r>
          <rPr>
            <sz val="9"/>
            <rFont val="Tahoma"/>
            <family val="2"/>
          </rPr>
          <t>114.21</t>
        </r>
        <r>
          <rPr>
            <sz val="9"/>
            <rFont val="宋体"/>
            <family val="3"/>
            <charset val="134"/>
          </rPr>
          <t>，顾总同意</t>
        </r>
        <r>
          <rPr>
            <sz val="9"/>
            <rFont val="Tahoma"/>
            <family val="2"/>
          </rPr>
          <t>113.8</t>
        </r>
      </text>
    </comment>
    <comment ref="J249" authorId="2">
      <text>
        <r>
          <rPr>
            <b/>
            <sz val="9"/>
            <rFont val="Tahoma"/>
            <family val="2"/>
          </rPr>
          <t>xbany:</t>
        </r>
        <r>
          <rPr>
            <sz val="9"/>
            <rFont val="Tahoma"/>
            <family val="2"/>
          </rPr>
          <t xml:space="preserve">
</t>
        </r>
        <r>
          <rPr>
            <sz val="9"/>
            <rFont val="宋体"/>
            <family val="3"/>
            <charset val="134"/>
          </rPr>
          <t>和摊位一起</t>
        </r>
        <r>
          <rPr>
            <sz val="9"/>
            <rFont val="Tahoma"/>
            <family val="2"/>
          </rPr>
          <t xml:space="preserve">51000
</t>
        </r>
      </text>
    </comment>
    <comment ref="J250" authorId="2">
      <text>
        <r>
          <rPr>
            <b/>
            <sz val="9"/>
            <rFont val="Tahoma"/>
            <family val="2"/>
          </rPr>
          <t>xbany:</t>
        </r>
        <r>
          <rPr>
            <sz val="9"/>
            <rFont val="Tahoma"/>
            <family val="2"/>
          </rPr>
          <t xml:space="preserve">
</t>
        </r>
        <r>
          <rPr>
            <sz val="9"/>
            <rFont val="宋体"/>
            <family val="3"/>
            <charset val="134"/>
          </rPr>
          <t>和摊位一起</t>
        </r>
        <r>
          <rPr>
            <sz val="9"/>
            <rFont val="Tahoma"/>
            <family val="2"/>
          </rPr>
          <t xml:space="preserve">60000
</t>
        </r>
      </text>
    </comment>
    <comment ref="G258" authorId="0">
      <text>
        <r>
          <rPr>
            <b/>
            <sz val="9"/>
            <rFont val="Tahoma"/>
            <family val="2"/>
          </rPr>
          <t>User:</t>
        </r>
        <r>
          <rPr>
            <sz val="9"/>
            <rFont val="Tahoma"/>
            <family val="2"/>
          </rPr>
          <t xml:space="preserve">
18</t>
        </r>
        <r>
          <rPr>
            <sz val="9"/>
            <rFont val="宋体"/>
            <family val="3"/>
            <charset val="134"/>
          </rPr>
          <t>辆车有</t>
        </r>
        <r>
          <rPr>
            <sz val="9"/>
            <rFont val="Tahoma"/>
            <family val="2"/>
          </rPr>
          <t>600</t>
        </r>
        <r>
          <rPr>
            <sz val="9"/>
            <rFont val="宋体"/>
            <family val="3"/>
            <charset val="134"/>
          </rPr>
          <t>包含在华夏银行物业费中，</t>
        </r>
      </text>
    </comment>
    <comment ref="H258" authorId="0">
      <text>
        <r>
          <rPr>
            <b/>
            <sz val="9"/>
            <rFont val="Tahoma"/>
            <family val="2"/>
          </rPr>
          <t>User:</t>
        </r>
        <r>
          <rPr>
            <sz val="9"/>
            <rFont val="Tahoma"/>
            <family val="2"/>
          </rPr>
          <t xml:space="preserve">
600</t>
        </r>
        <r>
          <rPr>
            <sz val="9"/>
            <rFont val="宋体"/>
            <family val="3"/>
            <charset val="134"/>
          </rPr>
          <t>元</t>
        </r>
        <r>
          <rPr>
            <sz val="9"/>
            <rFont val="Tahoma"/>
            <family val="2"/>
          </rPr>
          <t>*14</t>
        </r>
        <r>
          <rPr>
            <sz val="9"/>
            <rFont val="宋体"/>
            <family val="3"/>
            <charset val="134"/>
          </rPr>
          <t>个车位</t>
        </r>
        <r>
          <rPr>
            <sz val="9"/>
            <rFont val="Tahoma"/>
            <family val="2"/>
          </rPr>
          <t>*12</t>
        </r>
        <r>
          <rPr>
            <sz val="9"/>
            <rFont val="宋体"/>
            <family val="3"/>
            <charset val="134"/>
          </rPr>
          <t>个月</t>
        </r>
        <r>
          <rPr>
            <sz val="9"/>
            <rFont val="Tahoma"/>
            <family val="2"/>
          </rPr>
          <t>+1200</t>
        </r>
        <r>
          <rPr>
            <sz val="9"/>
            <rFont val="宋体"/>
            <family val="3"/>
            <charset val="134"/>
          </rPr>
          <t>元</t>
        </r>
        <r>
          <rPr>
            <sz val="9"/>
            <rFont val="Tahoma"/>
            <family val="2"/>
          </rPr>
          <t>*1</t>
        </r>
        <r>
          <rPr>
            <sz val="9"/>
            <rFont val="宋体"/>
            <family val="3"/>
            <charset val="134"/>
          </rPr>
          <t>个车位</t>
        </r>
        <r>
          <rPr>
            <sz val="9"/>
            <rFont val="Tahoma"/>
            <family val="2"/>
          </rPr>
          <t>*12</t>
        </r>
        <r>
          <rPr>
            <sz val="9"/>
            <rFont val="宋体"/>
            <family val="3"/>
            <charset val="134"/>
          </rPr>
          <t xml:space="preserve">个月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<sst xmlns="http://schemas.openxmlformats.org/spreadsheetml/2006/main" count="8573" uniqueCount="3442">
  <si>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</si>
  <si>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</si>
  <si>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</si>
  <si>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</si>
  <si>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</si>
  <si>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</si>
  <si>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</si>
  <si>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</si>
  <si>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</si>
  <si>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</si>
  <si>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</si>
  <si>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</si>
  <si>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</si>
  <si>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</si>
  <si>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</si>
  <si>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</si>
  <si>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</si>
  <si>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</si>
  <si>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</si>
  <si>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</si>
  <si>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</si>
  <si>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</si>
  <si>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</si>
  <si>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</si>
  <si>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</si>
  <si>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</si>
  <si>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</si>
  <si>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</si>
  <si>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</si>
  <si>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</si>
  <si>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</si>
  <si>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</si>
  <si>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</si>
  <si>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</si>
  <si>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</si>
  <si>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</si>
  <si>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</si>
  <si>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</si>
  <si>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</si>
  <si>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</si>
  <si>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</si>
  <si>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</si>
  <si>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</si>
  <si>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</si>
  <si>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</si>
  <si>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</si>
  <si>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</si>
  <si>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</si>
  <si>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</si>
  <si>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</si>
  <si>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</si>
  <si>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</si>
  <si>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</si>
  <si>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</si>
  <si>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</si>
  <si>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</si>
  <si>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</si>
  <si>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</si>
  <si>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</si>
  <si>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</si>
  <si>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</si>
  <si>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</si>
  <si>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</si>
  <si>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</si>
  <si>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</si>
  <si>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</si>
  <si>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</si>
  <si>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</si>
  <si>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</si>
  <si>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</si>
  <si>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</si>
  <si>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</si>
  <si>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</si>
  <si>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</si>
  <si>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</si>
  <si>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</si>
  <si>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</si>
  <si>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</si>
  <si>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</si>
  <si>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</si>
  <si>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</si>
  <si>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</si>
  <si>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</si>
  <si>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</si>
  <si>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</si>
  <si>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</si>
  <si>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</si>
  <si>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</si>
  <si>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</si>
  <si>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</si>
  <si>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</si>
  <si>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</si>
  <si>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</si>
  <si>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</si>
  <si>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</si>
  <si>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</si>
  <si>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</si>
  <si>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</si>
  <si>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</si>
  <si>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</si>
  <si>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</si>
  <si>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</si>
  <si>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</si>
  <si>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</si>
  <si>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</si>
  <si>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</si>
  <si>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</si>
  <si>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</si>
  <si>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</si>
  <si>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</si>
  <si>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</si>
  <si>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</si>
  <si>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</si>
  <si>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</si>
  <si>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</si>
  <si>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</si>
  <si>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</si>
  <si>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</si>
  <si>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</si>
  <si>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</si>
  <si>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</si>
  <si>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</si>
  <si>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</si>
  <si>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</si>
  <si>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</si>
  <si>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</si>
  <si>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</si>
  <si>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</si>
  <si>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</si>
  <si>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</si>
  <si>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</si>
  <si>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</si>
  <si>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</si>
  <si>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</si>
  <si>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</si>
  <si>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</si>
  <si>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</si>
  <si>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</si>
  <si>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</si>
  <si>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</si>
  <si>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</si>
  <si>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</si>
  <si>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</si>
  <si>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</si>
  <si>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</si>
  <si>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</si>
  <si>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</si>
  <si>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</si>
  <si>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</si>
  <si>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</si>
  <si>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</si>
  <si>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</si>
  <si>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</si>
  <si>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</si>
  <si>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</si>
  <si>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</si>
  <si>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</si>
  <si>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</si>
  <si>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</si>
  <si>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</si>
  <si>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</si>
  <si>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</si>
  <si>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</si>
  <si>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</si>
  <si>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</si>
  <si>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</si>
  <si>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</si>
  <si>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</si>
  <si>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</si>
  <si>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</si>
  <si>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</si>
  <si>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</si>
  <si>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</si>
  <si>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</si>
  <si>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</si>
  <si>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</si>
  <si>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</si>
  <si>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</si>
  <si>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</si>
  <si>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</si>
  <si>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</si>
  <si>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</si>
  <si>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</si>
  <si>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</si>
  <si>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</si>
  <si>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</si>
  <si>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</si>
  <si>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</si>
  <si>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</si>
  <si>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</si>
  <si>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</si>
  <si>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</si>
  <si>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</si>
  <si>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</si>
  <si>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</si>
  <si>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</si>
  <si>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</si>
  <si>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</si>
  <si>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</si>
  <si>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</si>
  <si>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</si>
  <si>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</si>
  <si>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</si>
  <si>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</si>
  <si>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</si>
  <si>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</si>
  <si>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</si>
  <si>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</si>
  <si>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</si>
  <si>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</si>
  <si>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</si>
  <si>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</si>
  <si>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</si>
  <si>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</si>
  <si>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</si>
  <si>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</si>
  <si>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</si>
  <si>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</si>
  <si>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</si>
  <si>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</si>
  <si>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</si>
  <si>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</si>
  <si>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</si>
  <si>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</si>
  <si>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</si>
  <si>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</si>
  <si>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</si>
  <si>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</si>
  <si>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</si>
  <si>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</si>
  <si>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</si>
  <si>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</si>
  <si>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</si>
  <si>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</si>
  <si>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</si>
  <si>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</si>
  <si>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</si>
  <si>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</si>
  <si>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</si>
  <si>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</si>
  <si>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</si>
  <si>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</si>
  <si>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</si>
  <si>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</si>
  <si>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</si>
  <si>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</si>
  <si>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</si>
  <si>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</si>
  <si>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</si>
  <si>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</si>
  <si>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</si>
  <si>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</si>
  <si>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</si>
  <si>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</si>
  <si>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</si>
  <si>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</si>
  <si>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</si>
  <si>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</si>
  <si>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</si>
  <si>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</si>
  <si>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</si>
  <si>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</si>
  <si>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</si>
  <si>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</si>
  <si>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</si>
  <si>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</si>
  <si>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</si>
  <si>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</si>
  <si>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</si>
  <si>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</si>
  <si>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</si>
  <si>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</si>
  <si>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</si>
  <si>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</si>
  <si>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</si>
  <si>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</si>
  <si>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</si>
  <si>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</si>
  <si>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</si>
  <si>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</si>
  <si>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</si>
  <si>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</si>
  <si>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</si>
  <si>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</si>
  <si>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</si>
  <si>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</si>
  <si>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</si>
  <si>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</si>
  <si>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</si>
  <si>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</si>
  <si>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</si>
  <si>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</si>
  <si>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</si>
  <si>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</si>
  <si>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</si>
  <si>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</si>
  <si>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</si>
  <si>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</si>
  <si>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</si>
  <si>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</si>
  <si>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</si>
  <si>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</si>
  <si>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</si>
  <si>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</si>
  <si>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</si>
  <si>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</si>
  <si>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</si>
  <si>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</si>
  <si>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</si>
  <si>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</si>
  <si>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</si>
  <si>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</si>
  <si>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</si>
  <si>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</si>
  <si>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</si>
  <si>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</si>
  <si>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</si>
  <si>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</si>
  <si>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</si>
  <si>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</si>
  <si>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</si>
  <si>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</si>
  <si>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</si>
  <si>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</si>
  <si>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</si>
  <si>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</si>
  <si>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</si>
  <si>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</si>
  <si>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</si>
  <si>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</si>
  <si>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</si>
  <si>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</si>
  <si>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</si>
  <si>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</si>
  <si>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</si>
  <si>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</si>
  <si>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</si>
  <si>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</si>
  <si>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</si>
  <si>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</si>
  <si>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</si>
  <si>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</si>
  <si>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</si>
  <si>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</si>
  <si>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</si>
  <si>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</si>
  <si>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</si>
  <si>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</si>
  <si>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</si>
  <si>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</si>
  <si>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</si>
  <si>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</si>
  <si>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</si>
  <si>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</si>
  <si>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</si>
  <si>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</si>
  <si>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</si>
  <si>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</si>
  <si>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</si>
  <si>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</si>
  <si>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</si>
  <si>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</si>
  <si>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</si>
  <si>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</si>
  <si>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</si>
  <si>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</si>
  <si>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</si>
  <si>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</si>
  <si>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</si>
  <si>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</si>
  <si>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</si>
  <si>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</si>
  <si>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</si>
  <si>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</si>
  <si>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</si>
  <si>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</si>
  <si>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</si>
  <si>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</si>
  <si>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</si>
  <si>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</si>
  <si>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</si>
  <si>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</si>
  <si>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</si>
  <si>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</si>
  <si>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</si>
  <si>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</si>
  <si>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</si>
  <si>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</si>
  <si>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</si>
  <si>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</si>
  <si>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</si>
  <si>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</si>
  <si>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</si>
  <si>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</si>
  <si>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</si>
  <si>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</si>
  <si>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</si>
  <si>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</si>
  <si>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</si>
  <si>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</si>
  <si>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</si>
  <si>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</si>
  <si>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</si>
  <si>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</si>
  <si>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</si>
  <si>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</si>
  <si>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</si>
  <si>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</si>
  <si>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</si>
  <si>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</si>
  <si>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</si>
  <si>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</si>
  <si>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</si>
  <si>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</si>
  <si>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</si>
  <si>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</si>
  <si>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</si>
  <si>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</si>
  <si>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</si>
  <si>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</si>
  <si>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</si>
  <si>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</si>
  <si>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</si>
  <si>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</si>
  <si>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</si>
  <si>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</si>
  <si>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</si>
  <si>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</si>
  <si>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</si>
  <si>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</si>
  <si>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</si>
  <si>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</si>
  <si>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</si>
  <si>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</si>
  <si>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</si>
  <si>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</si>
  <si>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</si>
  <si>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</si>
  <si>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</si>
  <si>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</si>
  <si>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</si>
  <si>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</si>
  <si>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</si>
  <si>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</si>
  <si>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</si>
  <si>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</si>
  <si>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</si>
  <si>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</si>
  <si>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</si>
  <si>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</si>
  <si>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</si>
  <si>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</si>
  <si>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</si>
  <si>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</si>
  <si>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</si>
  <si>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</si>
  <si>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</si>
  <si>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</si>
  <si>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</si>
  <si>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</si>
  <si>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</si>
  <si>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</si>
  <si>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</si>
  <si>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</si>
  <si>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</si>
  <si>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</si>
  <si>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</si>
  <si>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</si>
  <si>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</si>
  <si>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</si>
  <si>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</si>
  <si>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</si>
  <si>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</si>
  <si>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</si>
  <si>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</si>
  <si>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</si>
  <si>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</si>
  <si>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</si>
  <si>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</si>
  <si>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</si>
  <si>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</si>
  <si>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</si>
  <si>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</si>
  <si>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</si>
  <si>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</si>
  <si>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</si>
  <si>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</si>
  <si>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</si>
  <si>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</si>
  <si>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</si>
  <si>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</si>
  <si>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</si>
  <si>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</si>
  <si>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</si>
  <si>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</si>
  <si>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</si>
  <si>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</si>
  <si>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</si>
  <si>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</si>
  <si>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</si>
  <si>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</si>
  <si>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</si>
  <si>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</si>
  <si>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</si>
  <si>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</si>
  <si>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</si>
  <si>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</si>
  <si>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</si>
  <si>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</si>
  <si>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</si>
  <si>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</si>
  <si>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</si>
  <si>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</si>
  <si>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</si>
  <si>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</si>
  <si>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</si>
  <si>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</si>
  <si>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</si>
  <si>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</si>
  <si>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</si>
  <si>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</si>
  <si>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</si>
  <si>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</si>
  <si>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</si>
  <si>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</si>
  <si>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</si>
  <si>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</si>
  <si>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</si>
  <si>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</si>
  <si>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</si>
  <si>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</si>
  <si>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</si>
  <si>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</si>
  <si>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</si>
  <si>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</si>
  <si>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</si>
  <si>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</si>
  <si>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</si>
  <si>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</si>
  <si>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</si>
  <si>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</si>
  <si>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</si>
  <si>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</si>
  <si>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</si>
  <si>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</si>
  <si>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</si>
  <si>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</si>
  <si>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</si>
  <si>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</si>
  <si>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</si>
  <si>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</si>
  <si>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</si>
  <si>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</si>
  <si>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</si>
  <si>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</si>
  <si>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</si>
  <si>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</si>
  <si>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</si>
  <si>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</si>
  <si>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</si>
  <si>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</si>
  <si>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</si>
  <si>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</si>
  <si>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</si>
  <si>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</si>
  <si>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</si>
  <si>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</si>
  <si>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</si>
  <si>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</si>
  <si>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</si>
  <si>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</si>
  <si>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</si>
  <si>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</si>
  <si>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</si>
  <si>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</si>
  <si>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</si>
  <si>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</si>
  <si>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</si>
  <si>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</si>
  <si>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</si>
  <si>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</si>
  <si>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</si>
  <si>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</si>
  <si>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</si>
  <si>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</si>
  <si>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</si>
  <si>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</si>
  <si>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</si>
  <si>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</si>
  <si>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</si>
  <si>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</si>
  <si>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</si>
  <si>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</si>
  <si>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</si>
  <si>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</si>
  <si>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</si>
  <si>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</si>
  <si>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</si>
  <si>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</si>
  <si>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</si>
  <si>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</si>
  <si>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</si>
  <si>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</si>
  <si>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</si>
  <si>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</si>
  <si>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</si>
  <si>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</si>
  <si>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</si>
  <si>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</si>
  <si>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</si>
  <si>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</si>
  <si>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</si>
  <si>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</si>
  <si>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</si>
  <si>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</si>
  <si>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</si>
  <si>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</si>
  <si>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</si>
  <si>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</si>
  <si>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</si>
  <si>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</si>
  <si>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</si>
  <si>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</si>
  <si>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</si>
  <si>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</si>
  <si>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</si>
  <si>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</si>
  <si>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</si>
  <si>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</si>
  <si>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</si>
  <si>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</si>
  <si>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</si>
  <si>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</si>
  <si>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</si>
  <si>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</si>
  <si>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</si>
  <si>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</si>
  <si>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</si>
  <si>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</si>
  <si>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</si>
  <si>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</si>
  <si>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</si>
  <si>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</si>
  <si>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</si>
  <si>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</si>
  <si>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</si>
  <si>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</si>
  <si>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</si>
  <si>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</si>
  <si>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</si>
  <si>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</si>
  <si>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</si>
  <si>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</si>
  <si>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</si>
  <si>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</si>
  <si>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</si>
  <si>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</si>
  <si>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</si>
  <si>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</si>
  <si>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</si>
  <si>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</si>
  <si>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</si>
  <si>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</si>
  <si>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</si>
  <si>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</si>
  <si>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</si>
  <si>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</si>
  <si>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</si>
  <si>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</si>
  <si>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</si>
  <si>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</si>
  <si>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</si>
  <si>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</si>
  <si>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</si>
  <si>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</si>
  <si>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</si>
  <si>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</si>
  <si>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</si>
  <si>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</si>
  <si>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</si>
  <si>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</si>
  <si>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</si>
  <si>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</si>
  <si>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</si>
  <si>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</si>
  <si>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</si>
  <si>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</si>
  <si>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</si>
  <si>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</si>
  <si>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</si>
  <si>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</si>
  <si>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</si>
  <si>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</si>
  <si>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</si>
  <si>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</si>
  <si>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</si>
  <si>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</si>
  <si>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</si>
  <si>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</si>
  <si>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</si>
  <si>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</si>
  <si>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</si>
  <si>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</si>
  <si>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</si>
  <si>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</si>
  <si>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</si>
  <si>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</si>
  <si>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</si>
  <si>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</si>
  <si>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</si>
  <si>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</si>
  <si>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</si>
  <si>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</si>
  <si>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</si>
  <si>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</si>
  <si>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</si>
  <si>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</si>
  <si>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</si>
  <si>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</si>
  <si>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</si>
  <si>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</si>
  <si>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</si>
  <si>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</si>
  <si>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</si>
  <si>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</si>
  <si>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</si>
  <si>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</si>
  <si>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</si>
  <si>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</si>
  <si>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</si>
  <si>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</si>
  <si>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</si>
  <si>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</si>
  <si>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</si>
  <si>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</si>
  <si>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</si>
  <si>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</si>
  <si>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</si>
  <si>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</si>
  <si>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</si>
  <si>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</si>
  <si>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</si>
  <si>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</si>
  <si>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</si>
  <si>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</si>
  <si>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</si>
  <si>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</si>
  <si>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</si>
  <si>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</si>
  <si>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</si>
  <si>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</si>
  <si>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</si>
  <si>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</si>
  <si>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</si>
  <si>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</si>
  <si>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</si>
  <si>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</si>
  <si>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</si>
  <si>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</si>
  <si>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</si>
  <si>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</si>
  <si>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</si>
  <si>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</si>
  <si>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</si>
  <si>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</si>
  <si>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</si>
  <si>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</si>
  <si>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</si>
  <si>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</si>
  <si>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</si>
  <si>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</si>
  <si>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</si>
  <si>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</si>
  <si>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</si>
  <si>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</si>
  <si>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</si>
  <si>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</si>
  <si>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</si>
  <si>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</si>
  <si>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</si>
  <si>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</si>
  <si>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</si>
  <si>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</si>
  <si>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</si>
  <si>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</si>
  <si>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</si>
  <si>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</si>
  <si>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</si>
  <si>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</si>
  <si>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</si>
  <si>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</si>
  <si>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</si>
  <si>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</si>
  <si>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</si>
  <si>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</si>
  <si>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</si>
  <si>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</si>
  <si>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</si>
  <si>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</si>
  <si>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</si>
  <si>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</si>
  <si>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</si>
  <si>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</si>
  <si>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</si>
  <si>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</si>
  <si>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</si>
  <si>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</si>
  <si>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</si>
  <si>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</si>
  <si>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</si>
  <si>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</si>
  <si>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</si>
  <si>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</si>
  <si>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</si>
  <si>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</si>
  <si>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</si>
  <si>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</si>
  <si>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</si>
  <si>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</si>
  <si>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</si>
  <si>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</si>
  <si>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</si>
  <si>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</si>
  <si>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</si>
  <si>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</si>
  <si>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</si>
  <si>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</si>
  <si>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</si>
  <si>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</si>
  <si>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</si>
  <si>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</si>
  <si>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</si>
  <si>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</si>
  <si>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</si>
  <si>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</si>
  <si>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</si>
  <si>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</si>
  <si>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</si>
  <si>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</si>
  <si>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</si>
  <si>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</si>
  <si>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</si>
  <si>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</si>
  <si>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</si>
  <si>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</si>
  <si>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</si>
  <si>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</si>
  <si>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</si>
  <si>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</si>
  <si>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</si>
  <si>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</si>
  <si>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</si>
  <si>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</si>
  <si>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</si>
  <si>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</si>
  <si>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</si>
  <si>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</si>
  <si>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</si>
  <si>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</si>
  <si>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</si>
  <si>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</si>
  <si>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</si>
  <si>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</si>
  <si>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</si>
  <si>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</si>
  <si>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</si>
  <si>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</si>
  <si>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</si>
  <si>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</si>
  <si>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</si>
  <si>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</si>
  <si>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</si>
  <si>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</si>
  <si>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</si>
  <si>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</si>
  <si>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</si>
  <si>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</si>
  <si>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</si>
  <si>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</si>
  <si>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</si>
  <si>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</si>
  <si>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</si>
  <si>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</si>
  <si>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</si>
  <si>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</si>
  <si>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</si>
  <si>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</si>
  <si>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</si>
  <si>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</si>
  <si>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</si>
  <si>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</si>
  <si>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</si>
  <si>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</si>
  <si>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</si>
  <si>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</si>
  <si>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</si>
  <si>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</si>
  <si>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</si>
  <si>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</si>
  <si>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</si>
  <si>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</si>
  <si>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</si>
  <si>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</si>
  <si>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</si>
  <si>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</si>
  <si>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</si>
  <si>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</si>
  <si>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</si>
  <si>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</si>
  <si>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</si>
  <si>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</si>
  <si>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</si>
  <si>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</si>
  <si>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</si>
  <si>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</si>
  <si>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</si>
  <si>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</si>
  <si>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</si>
  <si>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</si>
  <si>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</si>
  <si>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</si>
  <si>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</si>
  <si>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</si>
  <si>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</si>
  <si>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</si>
  <si>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</si>
  <si>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</si>
  <si>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</si>
  <si>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</si>
  <si>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</si>
  <si>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</si>
  <si>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</si>
  <si>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</si>
  <si>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</si>
  <si>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</si>
  <si>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</si>
  <si>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</si>
  <si>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</si>
  <si>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</si>
  <si>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</si>
  <si>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</si>
  <si>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</si>
  <si>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</si>
  <si>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</si>
  <si>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</si>
  <si>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</si>
  <si>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</si>
  <si>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</si>
  <si>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</si>
  <si>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</si>
  <si>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</si>
  <si>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</si>
  <si>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</si>
  <si>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</si>
  <si>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</si>
  <si>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</si>
  <si>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</si>
  <si>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</si>
  <si>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</si>
  <si>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</si>
  <si>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</si>
  <si>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</si>
  <si>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</si>
  <si>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</si>
  <si>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</si>
  <si>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</si>
  <si>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</si>
  <si>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</si>
  <si>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</si>
  <si>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</si>
  <si>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</si>
  <si>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</si>
  <si>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</si>
  <si>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</si>
  <si>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</si>
  <si>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</si>
  <si>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</si>
  <si>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</si>
  <si>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</si>
  <si>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</si>
  <si>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</si>
  <si>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</si>
  <si>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</si>
  <si>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</si>
  <si>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</si>
  <si>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</si>
  <si>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</si>
  <si>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</si>
  <si>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</si>
  <si>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</si>
  <si>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</si>
  <si>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</si>
  <si>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</si>
  <si>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</si>
  <si>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</si>
  <si>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</si>
  <si>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</si>
  <si>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</si>
  <si>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</si>
  <si>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</si>
  <si>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</si>
  <si>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</si>
  <si>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</si>
  <si>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</si>
  <si>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</si>
  <si>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</si>
  <si>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</si>
  <si>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</si>
  <si>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</si>
  <si>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</si>
  <si>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</si>
  <si>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</si>
  <si>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</si>
  <si>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</si>
  <si>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</si>
  <si>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</si>
  <si>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</si>
  <si>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</si>
  <si>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</si>
  <si>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</si>
  <si>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</si>
  <si>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</si>
  <si>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</si>
  <si>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</si>
  <si>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</si>
  <si>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</si>
  <si>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</si>
  <si>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</si>
  <si>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</si>
  <si>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</si>
  <si>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</si>
  <si>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</si>
  <si>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</si>
  <si>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</si>
  <si>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</si>
  <si>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</si>
  <si>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</si>
  <si>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</si>
  <si>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</si>
  <si>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</si>
  <si>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</si>
  <si>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</si>
  <si>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</si>
  <si>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</si>
  <si>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</si>
  <si>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</si>
  <si>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</si>
  <si>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</si>
  <si>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</si>
  <si>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</si>
  <si>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</si>
  <si>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</si>
  <si>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</si>
  <si>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</si>
  <si>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</si>
  <si>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</si>
  <si>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</si>
  <si>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</si>
  <si>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</si>
  <si>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</si>
  <si>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</si>
  <si>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</si>
  <si>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</si>
  <si>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</si>
  <si>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</si>
  <si>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</si>
  <si>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</si>
  <si>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</si>
  <si>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</si>
  <si>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</si>
  <si>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</si>
  <si>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</si>
  <si>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</si>
  <si>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</si>
  <si>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</si>
  <si>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</si>
  <si>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</si>
  <si>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</si>
  <si>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</si>
  <si>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</si>
  <si>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</si>
  <si>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</si>
  <si>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</si>
  <si>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</si>
  <si>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</si>
  <si>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</si>
  <si>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</si>
  <si>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</si>
  <si>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</si>
  <si>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</si>
  <si>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</si>
  <si>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</si>
  <si>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</si>
  <si>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</si>
  <si>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</si>
  <si>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</si>
  <si>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</si>
  <si>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</si>
  <si>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</si>
  <si>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</si>
  <si>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</si>
  <si>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</si>
  <si>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</si>
  <si>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</si>
  <si>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</si>
  <si>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</si>
  <si>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</si>
  <si>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</si>
  <si>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</si>
  <si>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</si>
  <si>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</si>
  <si>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</si>
  <si>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</si>
  <si>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</si>
  <si>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</si>
  <si>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</si>
  <si>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</si>
  <si>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</si>
  <si>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</si>
  <si>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</si>
  <si>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</si>
  <si>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</si>
  <si>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</si>
  <si>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</si>
  <si>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</si>
  <si>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</si>
  <si>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</si>
  <si>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</si>
  <si>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</si>
  <si>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</si>
  <si>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</si>
  <si>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</si>
  <si>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</si>
  <si>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</si>
  <si>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</si>
  <si>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</si>
  <si>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</si>
  <si>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</si>
  <si>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</si>
  <si>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</si>
  <si>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</si>
  <si>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</si>
  <si>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</si>
  <si>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</si>
  <si>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</si>
  <si>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</si>
  <si>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</si>
  <si>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</si>
  <si>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</si>
  <si>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</si>
  <si>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</si>
  <si>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</si>
  <si>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</si>
  <si>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</si>
  <si>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</si>
  <si>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</si>
  <si>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</si>
  <si>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</si>
  <si>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</si>
  <si>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</si>
  <si>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</si>
  <si>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</si>
  <si>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</si>
  <si>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</si>
  <si>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</si>
  <si>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</si>
  <si>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</si>
  <si>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</si>
  <si>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</si>
  <si>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</si>
  <si>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</si>
  <si>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</si>
  <si>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</si>
  <si>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</si>
  <si>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</si>
  <si>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</si>
  <si>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</si>
  <si>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</si>
  <si>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</si>
  <si>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</si>
  <si>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</si>
  <si>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</si>
  <si>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</si>
  <si>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</si>
  <si>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</si>
  <si>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</si>
  <si>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</si>
  <si>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</si>
  <si>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</si>
  <si>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</si>
  <si>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</si>
  <si>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</si>
  <si>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</si>
  <si>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</si>
  <si>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</si>
  <si>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</si>
  <si>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</si>
  <si>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</si>
  <si>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</si>
  <si>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</si>
  <si>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</si>
  <si>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</si>
  <si>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</si>
  <si>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</si>
  <si>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</si>
  <si>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</si>
  <si>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</si>
  <si>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</si>
  <si>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</si>
  <si>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</si>
  <si>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</si>
  <si>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</si>
  <si>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</si>
  <si>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</si>
  <si>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</si>
  <si>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</si>
  <si>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</si>
  <si>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</si>
  <si>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</si>
  <si>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</si>
  <si>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</si>
  <si>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</si>
  <si>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</si>
  <si>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</si>
  <si>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</si>
  <si>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</si>
  <si>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</si>
  <si>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</si>
  <si>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</si>
  <si>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</si>
  <si>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</si>
  <si>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</si>
  <si>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</si>
  <si>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</si>
  <si>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</si>
  <si>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</si>
  <si>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</si>
  <si>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</si>
  <si>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</si>
  <si>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</si>
  <si>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</si>
  <si>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</si>
  <si>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</si>
  <si>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</si>
  <si>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</si>
  <si>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</si>
  <si>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</si>
  <si>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</si>
  <si>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</si>
  <si>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</si>
  <si>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</si>
  <si>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</si>
  <si>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</si>
  <si>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</si>
  <si>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</si>
  <si>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</si>
  <si>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</si>
  <si>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</si>
  <si>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</si>
  <si>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</si>
  <si>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</si>
  <si>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</si>
  <si>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</si>
  <si>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</si>
  <si>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</si>
  <si>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</si>
  <si>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</si>
  <si>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</si>
  <si>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</si>
  <si>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租   赁   台   账</t>
  </si>
  <si>
    <t>序号</t>
  </si>
  <si>
    <t>单位名称</t>
  </si>
  <si>
    <t>租赁位置</t>
  </si>
  <si>
    <t>租赁面积</t>
  </si>
  <si>
    <t>租赁日期</t>
  </si>
  <si>
    <t>租赁年限</t>
  </si>
  <si>
    <t>日租金</t>
  </si>
  <si>
    <t>年租金</t>
  </si>
  <si>
    <t>用途</t>
  </si>
  <si>
    <t>保证金</t>
  </si>
  <si>
    <t>签订日期</t>
  </si>
  <si>
    <t>市场A区</t>
  </si>
  <si>
    <t>郑义（张群姣担保）</t>
  </si>
  <si>
    <t>001</t>
  </si>
  <si>
    <r>
      <rPr>
        <sz val="10"/>
        <color indexed="8"/>
        <rFont val="宋体"/>
        <family val="3"/>
        <charset val="134"/>
      </rPr>
      <t>2</t>
    </r>
    <r>
      <rPr>
        <sz val="10"/>
        <color indexed="8"/>
        <rFont val="宋体"/>
        <family val="3"/>
        <charset val="134"/>
      </rPr>
      <t>0181029--20231028</t>
    </r>
  </si>
  <si>
    <t>工艺品</t>
  </si>
  <si>
    <r>
      <rPr>
        <sz val="11"/>
        <color theme="1"/>
        <rFont val="宋体"/>
        <family val="3"/>
        <charset val="134"/>
        <scheme val="minor"/>
      </rPr>
      <t>2</t>
    </r>
    <r>
      <rPr>
        <sz val="11"/>
        <color indexed="8"/>
        <rFont val="宋体"/>
        <family val="3"/>
        <charset val="134"/>
      </rPr>
      <t>0181029</t>
    </r>
  </si>
  <si>
    <t>丁丽娟（尚辉担保）</t>
  </si>
  <si>
    <t>002</t>
  </si>
  <si>
    <t>20220301--20250228</t>
  </si>
  <si>
    <t>花卉</t>
  </si>
  <si>
    <t>20211202</t>
  </si>
  <si>
    <t>北京天东豆豆贸易中心</t>
  </si>
  <si>
    <t>003</t>
  </si>
  <si>
    <r>
      <rPr>
        <sz val="10"/>
        <color indexed="8"/>
        <rFont val="宋体"/>
        <family val="3"/>
        <charset val="134"/>
      </rPr>
      <t>2</t>
    </r>
    <r>
      <rPr>
        <sz val="10"/>
        <color indexed="8"/>
        <rFont val="宋体"/>
        <family val="3"/>
        <charset val="134"/>
      </rPr>
      <t>0220107--20250106</t>
    </r>
  </si>
  <si>
    <r>
      <rPr>
        <sz val="11"/>
        <color theme="1"/>
        <rFont val="宋体"/>
        <family val="3"/>
        <charset val="134"/>
        <scheme val="minor"/>
      </rPr>
      <t>2</t>
    </r>
    <r>
      <rPr>
        <sz val="11"/>
        <color theme="1"/>
        <rFont val="宋体"/>
        <family val="3"/>
        <charset val="134"/>
        <scheme val="minor"/>
      </rPr>
      <t>0220106</t>
    </r>
  </si>
  <si>
    <t>牟维汉</t>
  </si>
  <si>
    <t>005</t>
  </si>
  <si>
    <r>
      <rPr>
        <sz val="10"/>
        <color indexed="8"/>
        <rFont val="宋体"/>
        <family val="3"/>
        <charset val="134"/>
      </rPr>
      <t>2</t>
    </r>
    <r>
      <rPr>
        <sz val="10"/>
        <color indexed="8"/>
        <rFont val="宋体"/>
        <family val="3"/>
        <charset val="134"/>
      </rPr>
      <t>0170915--20220914</t>
    </r>
  </si>
  <si>
    <r>
      <rPr>
        <sz val="11"/>
        <color theme="1"/>
        <rFont val="宋体"/>
        <family val="3"/>
        <charset val="134"/>
        <scheme val="minor"/>
      </rPr>
      <t>2</t>
    </r>
    <r>
      <rPr>
        <sz val="11"/>
        <color indexed="8"/>
        <rFont val="宋体"/>
        <family val="3"/>
        <charset val="134"/>
      </rPr>
      <t>0170908</t>
    </r>
  </si>
  <si>
    <t>蔡强（蔡韬担保）</t>
  </si>
  <si>
    <t>006</t>
  </si>
  <si>
    <t>20210515--20230609</t>
  </si>
  <si>
    <t>2年26天</t>
  </si>
  <si>
    <t>20210513</t>
  </si>
  <si>
    <t>丁宝琛（阴凤担保）</t>
  </si>
  <si>
    <t>007</t>
  </si>
  <si>
    <t>20220311--20250310</t>
  </si>
  <si>
    <t>20220310</t>
  </si>
  <si>
    <t>德宏伟</t>
  </si>
  <si>
    <r>
      <rPr>
        <sz val="10"/>
        <color indexed="8"/>
        <rFont val="宋体"/>
        <family val="3"/>
        <charset val="134"/>
      </rPr>
      <t>0</t>
    </r>
    <r>
      <rPr>
        <sz val="10"/>
        <color indexed="8"/>
        <rFont val="宋体"/>
        <family val="3"/>
        <charset val="134"/>
      </rPr>
      <t>08</t>
    </r>
  </si>
  <si>
    <t>20220316--20250315</t>
  </si>
  <si>
    <t>20220311</t>
  </si>
  <si>
    <t>周金良（王吉生担保）</t>
  </si>
  <si>
    <t>009</t>
  </si>
  <si>
    <t>20181219--20231218</t>
  </si>
  <si>
    <t>20181214</t>
  </si>
  <si>
    <t>孙丽宏</t>
  </si>
  <si>
    <t>010</t>
  </si>
  <si>
    <r>
      <rPr>
        <sz val="10"/>
        <color indexed="8"/>
        <rFont val="宋体"/>
        <family val="3"/>
        <charset val="134"/>
      </rPr>
      <t>2</t>
    </r>
    <r>
      <rPr>
        <sz val="10"/>
        <color indexed="8"/>
        <rFont val="宋体"/>
        <family val="3"/>
        <charset val="134"/>
      </rPr>
      <t>0171105--20221104</t>
    </r>
  </si>
  <si>
    <t>钓具、渔具</t>
  </si>
  <si>
    <t>20171027</t>
  </si>
  <si>
    <t>赵育松</t>
  </si>
  <si>
    <t>011</t>
  </si>
  <si>
    <r>
      <rPr>
        <sz val="10"/>
        <color indexed="8"/>
        <rFont val="宋体"/>
        <family val="3"/>
        <charset val="134"/>
      </rPr>
      <t>2</t>
    </r>
    <r>
      <rPr>
        <sz val="10"/>
        <color indexed="8"/>
        <rFont val="宋体"/>
        <family val="3"/>
        <charset val="134"/>
      </rPr>
      <t>0171115--20221114</t>
    </r>
  </si>
  <si>
    <t>20171106</t>
  </si>
  <si>
    <t>012</t>
  </si>
  <si>
    <t>于水芹</t>
  </si>
  <si>
    <t>015</t>
  </si>
  <si>
    <t>20210720--20240719</t>
  </si>
  <si>
    <t>20210719</t>
  </si>
  <si>
    <t>陈全霞</t>
  </si>
  <si>
    <t>016</t>
  </si>
  <si>
    <r>
      <rPr>
        <sz val="10"/>
        <color indexed="8"/>
        <rFont val="宋体"/>
        <family val="3"/>
        <charset val="134"/>
      </rPr>
      <t>2</t>
    </r>
    <r>
      <rPr>
        <sz val="10"/>
        <color indexed="8"/>
        <rFont val="宋体"/>
        <family val="3"/>
        <charset val="134"/>
      </rPr>
      <t>0220301--20240229</t>
    </r>
  </si>
  <si>
    <r>
      <rPr>
        <sz val="11"/>
        <color theme="1"/>
        <rFont val="宋体"/>
        <family val="3"/>
        <charset val="134"/>
        <scheme val="minor"/>
      </rPr>
      <t>2</t>
    </r>
    <r>
      <rPr>
        <sz val="11"/>
        <color theme="1"/>
        <rFont val="宋体"/>
        <family val="3"/>
        <charset val="134"/>
        <scheme val="minor"/>
      </rPr>
      <t>0220228</t>
    </r>
  </si>
  <si>
    <t>刘秀凤（罗奇艳担保）</t>
  </si>
  <si>
    <t>017</t>
  </si>
  <si>
    <t>20210223--20230222</t>
  </si>
  <si>
    <t>20210204</t>
  </si>
  <si>
    <t>张向京（涂华金担保）</t>
  </si>
  <si>
    <t>018</t>
  </si>
  <si>
    <t>20201201--20231130</t>
  </si>
  <si>
    <t>20201128</t>
  </si>
  <si>
    <t>019</t>
  </si>
  <si>
    <t>韩志嘉（孙京京担保）</t>
  </si>
  <si>
    <r>
      <rPr>
        <sz val="10"/>
        <color indexed="8"/>
        <rFont val="宋体"/>
        <family val="3"/>
        <charset val="134"/>
      </rPr>
      <t>0</t>
    </r>
    <r>
      <rPr>
        <sz val="10"/>
        <color indexed="8"/>
        <rFont val="宋体"/>
        <family val="3"/>
        <charset val="134"/>
      </rPr>
      <t>20</t>
    </r>
  </si>
  <si>
    <t>20210101--20231231</t>
  </si>
  <si>
    <t>钓具</t>
  </si>
  <si>
    <t>20201207</t>
  </si>
  <si>
    <t>高苑</t>
  </si>
  <si>
    <t>021</t>
  </si>
  <si>
    <t>20170824--20220823</t>
  </si>
  <si>
    <t>20170822</t>
  </si>
  <si>
    <t>022</t>
  </si>
  <si>
    <r>
      <rPr>
        <sz val="10"/>
        <color indexed="8"/>
        <rFont val="宋体"/>
        <family val="3"/>
        <charset val="134"/>
      </rPr>
      <t>0</t>
    </r>
    <r>
      <rPr>
        <sz val="10"/>
        <color indexed="8"/>
        <rFont val="宋体"/>
        <family val="3"/>
        <charset val="134"/>
      </rPr>
      <t>23</t>
    </r>
  </si>
  <si>
    <t>025</t>
  </si>
  <si>
    <t>026</t>
  </si>
  <si>
    <r>
      <rPr>
        <sz val="10"/>
        <color indexed="8"/>
        <rFont val="宋体"/>
        <family val="3"/>
        <charset val="134"/>
      </rPr>
      <t>0</t>
    </r>
    <r>
      <rPr>
        <sz val="10"/>
        <color indexed="8"/>
        <rFont val="宋体"/>
        <family val="3"/>
        <charset val="134"/>
      </rPr>
      <t>27</t>
    </r>
  </si>
  <si>
    <t>028</t>
  </si>
  <si>
    <t>谢蕊（冯志会担保）</t>
  </si>
  <si>
    <t>028-1</t>
  </si>
  <si>
    <t>20201221--20231220</t>
  </si>
  <si>
    <t>鸣虫及文玩杂项</t>
  </si>
  <si>
    <t>20201216</t>
  </si>
  <si>
    <t>王麟（侴伟伟担保）</t>
  </si>
  <si>
    <t>029</t>
  </si>
  <si>
    <t>20210201--20240131</t>
  </si>
  <si>
    <t>20210106</t>
  </si>
  <si>
    <t>范志凯</t>
  </si>
  <si>
    <t>030</t>
  </si>
  <si>
    <r>
      <rPr>
        <sz val="10"/>
        <color indexed="8"/>
        <rFont val="宋体"/>
        <family val="3"/>
        <charset val="134"/>
      </rPr>
      <t>2</t>
    </r>
    <r>
      <rPr>
        <sz val="10"/>
        <color indexed="8"/>
        <rFont val="宋体"/>
        <family val="3"/>
        <charset val="134"/>
      </rPr>
      <t>0181017--20231016</t>
    </r>
  </si>
  <si>
    <t>20180913</t>
  </si>
  <si>
    <t>刘伊明</t>
  </si>
  <si>
    <t>031</t>
  </si>
  <si>
    <r>
      <rPr>
        <sz val="10"/>
        <color indexed="8"/>
        <rFont val="宋体"/>
        <family val="3"/>
        <charset val="134"/>
      </rPr>
      <t>2</t>
    </r>
    <r>
      <rPr>
        <sz val="10"/>
        <color indexed="8"/>
        <rFont val="宋体"/>
        <family val="3"/>
        <charset val="134"/>
      </rPr>
      <t>0180610--20230609</t>
    </r>
  </si>
  <si>
    <t>20180508</t>
  </si>
  <si>
    <t>田野</t>
  </si>
  <si>
    <t>032</t>
  </si>
  <si>
    <t>033</t>
  </si>
  <si>
    <t>马鑫同（崔红亮担保）</t>
  </si>
  <si>
    <r>
      <rPr>
        <sz val="10"/>
        <color indexed="8"/>
        <rFont val="宋体"/>
        <family val="3"/>
        <charset val="134"/>
      </rPr>
      <t>0</t>
    </r>
    <r>
      <rPr>
        <sz val="10"/>
        <color indexed="8"/>
        <rFont val="宋体"/>
        <family val="3"/>
        <charset val="134"/>
      </rPr>
      <t>35/036</t>
    </r>
  </si>
  <si>
    <t>20201217</t>
  </si>
  <si>
    <t>037</t>
  </si>
  <si>
    <t>傅美华</t>
  </si>
  <si>
    <r>
      <rPr>
        <sz val="10"/>
        <color indexed="8"/>
        <rFont val="宋体"/>
        <family val="3"/>
        <charset val="134"/>
      </rPr>
      <t>0</t>
    </r>
    <r>
      <rPr>
        <sz val="10"/>
        <color indexed="8"/>
        <rFont val="宋体"/>
        <family val="3"/>
        <charset val="134"/>
      </rPr>
      <t>38</t>
    </r>
  </si>
  <si>
    <t>20210514--20230609</t>
  </si>
  <si>
    <t>2年27天</t>
  </si>
  <si>
    <t>杨志文</t>
  </si>
  <si>
    <t>039、050</t>
  </si>
  <si>
    <t>20210610--20240609</t>
  </si>
  <si>
    <t>20210511</t>
  </si>
  <si>
    <t>方征</t>
  </si>
  <si>
    <r>
      <rPr>
        <sz val="10"/>
        <color indexed="8"/>
        <rFont val="宋体"/>
        <family val="3"/>
        <charset val="134"/>
      </rPr>
      <t>0</t>
    </r>
    <r>
      <rPr>
        <sz val="10"/>
        <color indexed="8"/>
        <rFont val="宋体"/>
        <family val="3"/>
        <charset val="134"/>
      </rPr>
      <t>51</t>
    </r>
  </si>
  <si>
    <t>20210527</t>
  </si>
  <si>
    <t>朱希凯</t>
  </si>
  <si>
    <t>052、053</t>
  </si>
  <si>
    <t>20211231</t>
  </si>
  <si>
    <t>韩建伟</t>
  </si>
  <si>
    <t>055</t>
  </si>
  <si>
    <t>20220328--20250327</t>
  </si>
  <si>
    <t>20220225</t>
  </si>
  <si>
    <t>张燕红</t>
  </si>
  <si>
    <r>
      <rPr>
        <sz val="10"/>
        <color indexed="8"/>
        <rFont val="宋体"/>
        <family val="3"/>
        <charset val="134"/>
      </rPr>
      <t>0</t>
    </r>
    <r>
      <rPr>
        <sz val="10"/>
        <color indexed="8"/>
        <rFont val="宋体"/>
        <family val="3"/>
        <charset val="134"/>
      </rPr>
      <t>56</t>
    </r>
  </si>
  <si>
    <t>20200610--20230609</t>
  </si>
  <si>
    <t>20200427</t>
  </si>
  <si>
    <t>周冰</t>
  </si>
  <si>
    <t>057</t>
  </si>
  <si>
    <t>20220320--20250319</t>
  </si>
  <si>
    <t>20220304</t>
  </si>
  <si>
    <t>李超</t>
  </si>
  <si>
    <t>058</t>
  </si>
  <si>
    <t>20210503--20240502</t>
  </si>
  <si>
    <t>20210304</t>
  </si>
  <si>
    <t>崔亮</t>
  </si>
  <si>
    <t>059、060</t>
  </si>
  <si>
    <r>
      <rPr>
        <sz val="10"/>
        <color indexed="8"/>
        <rFont val="宋体"/>
        <family val="3"/>
        <charset val="134"/>
      </rPr>
      <t>2</t>
    </r>
    <r>
      <rPr>
        <sz val="10"/>
        <color indexed="8"/>
        <rFont val="宋体"/>
        <family val="3"/>
        <charset val="134"/>
      </rPr>
      <t>0180415--20230414</t>
    </r>
  </si>
  <si>
    <t>20180413</t>
  </si>
  <si>
    <t>张雪</t>
  </si>
  <si>
    <t>061</t>
  </si>
  <si>
    <t>20210910--20240909</t>
  </si>
  <si>
    <t>20210907</t>
  </si>
  <si>
    <t>芮学雷</t>
  </si>
  <si>
    <t>062</t>
  </si>
  <si>
    <t>20210909</t>
  </si>
  <si>
    <t>房正环（李桂戎）（李桂戎担保）</t>
  </si>
  <si>
    <t>063</t>
  </si>
  <si>
    <t>20210620--20240619</t>
  </si>
  <si>
    <t>20210616</t>
  </si>
  <si>
    <t>刘利华</t>
  </si>
  <si>
    <t>065</t>
  </si>
  <si>
    <t>20220715--20250714</t>
  </si>
  <si>
    <t>20220711</t>
  </si>
  <si>
    <t>董燕</t>
  </si>
  <si>
    <t>066、067</t>
  </si>
  <si>
    <t>20180511</t>
  </si>
  <si>
    <t>刘宏运(李小房）（李小房担保）</t>
  </si>
  <si>
    <r>
      <rPr>
        <sz val="10"/>
        <color indexed="8"/>
        <rFont val="宋体"/>
        <family val="3"/>
        <charset val="134"/>
      </rPr>
      <t>068、069、</t>
    </r>
    <r>
      <rPr>
        <sz val="10"/>
        <color indexed="8"/>
        <rFont val="宋体"/>
        <family val="3"/>
        <charset val="134"/>
      </rPr>
      <t>A21</t>
    </r>
  </si>
  <si>
    <t>20180517</t>
  </si>
  <si>
    <t>070</t>
  </si>
  <si>
    <t>20201212--20231211</t>
  </si>
  <si>
    <t>20201203</t>
  </si>
  <si>
    <t>叶青（管东军担保）</t>
  </si>
  <si>
    <t>071、072</t>
  </si>
  <si>
    <r>
      <rPr>
        <sz val="10"/>
        <color indexed="8"/>
        <rFont val="宋体"/>
        <family val="3"/>
        <charset val="134"/>
      </rPr>
      <t>2</t>
    </r>
    <r>
      <rPr>
        <sz val="10"/>
        <color indexed="8"/>
        <rFont val="宋体"/>
        <family val="3"/>
        <charset val="134"/>
      </rPr>
      <t>0191223--20221222</t>
    </r>
  </si>
  <si>
    <t>宠物用品、宠物器材销售</t>
  </si>
  <si>
    <t>20191220</t>
  </si>
  <si>
    <t>王时</t>
  </si>
  <si>
    <t>075</t>
  </si>
  <si>
    <r>
      <rPr>
        <sz val="10"/>
        <color indexed="8"/>
        <rFont val="宋体"/>
        <family val="3"/>
        <charset val="134"/>
      </rPr>
      <t>2</t>
    </r>
    <r>
      <rPr>
        <sz val="10"/>
        <color indexed="8"/>
        <rFont val="宋体"/>
        <family val="3"/>
        <charset val="134"/>
      </rPr>
      <t>0190714--20240713</t>
    </r>
  </si>
  <si>
    <t>20190514</t>
  </si>
  <si>
    <t>赵文才（朱首让担保）</t>
  </si>
  <si>
    <t>076</t>
  </si>
  <si>
    <r>
      <rPr>
        <sz val="10"/>
        <color indexed="8"/>
        <rFont val="宋体"/>
        <family val="3"/>
        <charset val="134"/>
      </rPr>
      <t>2</t>
    </r>
    <r>
      <rPr>
        <sz val="10"/>
        <color indexed="8"/>
        <rFont val="宋体"/>
        <family val="3"/>
        <charset val="134"/>
      </rPr>
      <t>0190922--20220921</t>
    </r>
  </si>
  <si>
    <t>20190628</t>
  </si>
  <si>
    <t>077、078</t>
  </si>
  <si>
    <t>汪阗（周志坚担保）</t>
  </si>
  <si>
    <t>079</t>
  </si>
  <si>
    <r>
      <rPr>
        <sz val="10"/>
        <color indexed="8"/>
        <rFont val="宋体"/>
        <family val="3"/>
        <charset val="134"/>
      </rPr>
      <t>2</t>
    </r>
    <r>
      <rPr>
        <sz val="10"/>
        <color indexed="8"/>
        <rFont val="宋体"/>
        <family val="3"/>
        <charset val="134"/>
      </rPr>
      <t>0191211--20221210</t>
    </r>
  </si>
  <si>
    <t>文玩</t>
  </si>
  <si>
    <r>
      <rPr>
        <sz val="11"/>
        <color theme="1"/>
        <rFont val="宋体"/>
        <family val="3"/>
        <charset val="134"/>
        <scheme val="minor"/>
      </rPr>
      <t>2</t>
    </r>
    <r>
      <rPr>
        <sz val="11"/>
        <color indexed="8"/>
        <rFont val="宋体"/>
        <family val="3"/>
        <charset val="134"/>
      </rPr>
      <t>0191114</t>
    </r>
  </si>
  <si>
    <t>陈国华（李仕芬担保）</t>
  </si>
  <si>
    <r>
      <rPr>
        <sz val="10"/>
        <color indexed="8"/>
        <rFont val="宋体"/>
        <family val="3"/>
        <charset val="134"/>
      </rPr>
      <t>0</t>
    </r>
    <r>
      <rPr>
        <sz val="10"/>
        <color indexed="8"/>
        <rFont val="宋体"/>
        <family val="3"/>
        <charset val="134"/>
      </rPr>
      <t>81</t>
    </r>
  </si>
  <si>
    <t>20220304--20250303</t>
  </si>
  <si>
    <t>销售工艺品</t>
  </si>
  <si>
    <t>20220303</t>
  </si>
  <si>
    <t>赵景馀（肖祖荣）（肖祖荣担保）</t>
  </si>
  <si>
    <t>082</t>
  </si>
  <si>
    <t>20180509</t>
  </si>
  <si>
    <t>房云（房雯）（张伟担保）</t>
  </si>
  <si>
    <t>083、085</t>
  </si>
  <si>
    <t>水族、水族用品</t>
  </si>
  <si>
    <r>
      <rPr>
        <sz val="11"/>
        <color theme="1"/>
        <rFont val="宋体"/>
        <family val="3"/>
        <charset val="134"/>
        <scheme val="minor"/>
      </rPr>
      <t>2</t>
    </r>
    <r>
      <rPr>
        <sz val="11"/>
        <color indexed="8"/>
        <rFont val="宋体"/>
        <family val="3"/>
        <charset val="134"/>
      </rPr>
      <t>0180511</t>
    </r>
  </si>
  <si>
    <t>杨翠金（高建军）（杜涛担保）</t>
  </si>
  <si>
    <r>
      <rPr>
        <sz val="10"/>
        <color indexed="8"/>
        <rFont val="宋体"/>
        <family val="3"/>
        <charset val="134"/>
      </rPr>
      <t>0</t>
    </r>
    <r>
      <rPr>
        <sz val="10"/>
        <color indexed="8"/>
        <rFont val="宋体"/>
        <family val="3"/>
        <charset val="134"/>
      </rPr>
      <t>86</t>
    </r>
  </si>
  <si>
    <t>20180427</t>
  </si>
  <si>
    <t>高雅玉（田园担保）</t>
  </si>
  <si>
    <t>087</t>
  </si>
  <si>
    <r>
      <rPr>
        <sz val="11"/>
        <color theme="1"/>
        <rFont val="宋体"/>
        <family val="3"/>
        <charset val="134"/>
        <scheme val="minor"/>
      </rPr>
      <t>2</t>
    </r>
    <r>
      <rPr>
        <sz val="11"/>
        <color indexed="8"/>
        <rFont val="宋体"/>
        <family val="3"/>
        <charset val="134"/>
      </rPr>
      <t>0180508</t>
    </r>
  </si>
  <si>
    <t>曾存年</t>
  </si>
  <si>
    <t>088</t>
  </si>
  <si>
    <r>
      <rPr>
        <sz val="10"/>
        <color indexed="8"/>
        <rFont val="宋体"/>
        <family val="3"/>
        <charset val="134"/>
      </rPr>
      <t>2</t>
    </r>
    <r>
      <rPr>
        <sz val="10"/>
        <color indexed="8"/>
        <rFont val="宋体"/>
        <family val="3"/>
        <charset val="134"/>
      </rPr>
      <t>0190710--20240709</t>
    </r>
  </si>
  <si>
    <r>
      <rPr>
        <sz val="11"/>
        <color theme="1"/>
        <rFont val="宋体"/>
        <family val="3"/>
        <charset val="134"/>
        <scheme val="minor"/>
      </rPr>
      <t>2</t>
    </r>
    <r>
      <rPr>
        <sz val="11"/>
        <color indexed="8"/>
        <rFont val="宋体"/>
        <family val="3"/>
        <charset val="134"/>
      </rPr>
      <t>0190705</t>
    </r>
  </si>
  <si>
    <t>侯丹</t>
  </si>
  <si>
    <t>089</t>
  </si>
  <si>
    <r>
      <rPr>
        <sz val="10"/>
        <color indexed="8"/>
        <rFont val="宋体"/>
        <family val="3"/>
        <charset val="134"/>
      </rPr>
      <t>2</t>
    </r>
    <r>
      <rPr>
        <sz val="10"/>
        <color indexed="8"/>
        <rFont val="宋体"/>
        <family val="3"/>
        <charset val="134"/>
      </rPr>
      <t>0191018--20241017</t>
    </r>
  </si>
  <si>
    <t>20191017</t>
  </si>
  <si>
    <t>于飞</t>
  </si>
  <si>
    <t>090</t>
  </si>
  <si>
    <t>20201109--20231108</t>
  </si>
  <si>
    <t>20201023</t>
  </si>
  <si>
    <t>马正文</t>
  </si>
  <si>
    <t>091、092</t>
  </si>
  <si>
    <t>20180515</t>
  </si>
  <si>
    <t>李佳</t>
  </si>
  <si>
    <t>093</t>
  </si>
  <si>
    <t>20201101--20231031</t>
  </si>
  <si>
    <t>20200928</t>
  </si>
  <si>
    <t>韩峥（李旭担保）</t>
  </si>
  <si>
    <r>
      <rPr>
        <sz val="10"/>
        <color indexed="8"/>
        <rFont val="宋体"/>
        <family val="3"/>
        <charset val="134"/>
      </rPr>
      <t>0</t>
    </r>
    <r>
      <rPr>
        <sz val="10"/>
        <color indexed="8"/>
        <rFont val="宋体"/>
        <family val="3"/>
        <charset val="134"/>
      </rPr>
      <t>95</t>
    </r>
  </si>
  <si>
    <r>
      <rPr>
        <sz val="10"/>
        <color indexed="8"/>
        <rFont val="宋体"/>
        <family val="3"/>
        <charset val="134"/>
      </rPr>
      <t>2</t>
    </r>
    <r>
      <rPr>
        <sz val="10"/>
        <color indexed="8"/>
        <rFont val="宋体"/>
        <family val="3"/>
        <charset val="134"/>
      </rPr>
      <t>0180620--20230619</t>
    </r>
  </si>
  <si>
    <t>20180608</t>
  </si>
  <si>
    <t>刘畅</t>
  </si>
  <si>
    <t>096</t>
  </si>
  <si>
    <t>20210602--20260601</t>
  </si>
  <si>
    <t>20210601</t>
  </si>
  <si>
    <t>张玉琴（韩秀云）(郝林芳担保）</t>
  </si>
  <si>
    <t>097</t>
  </si>
  <si>
    <r>
      <rPr>
        <sz val="10"/>
        <color indexed="8"/>
        <rFont val="宋体"/>
        <family val="3"/>
        <charset val="134"/>
      </rPr>
      <t>2</t>
    </r>
    <r>
      <rPr>
        <sz val="10"/>
        <color indexed="8"/>
        <rFont val="宋体"/>
        <family val="3"/>
        <charset val="134"/>
      </rPr>
      <t>0180910--20230909</t>
    </r>
  </si>
  <si>
    <t>20180903</t>
  </si>
  <si>
    <t>陈莉莉(刁跃东担保）</t>
  </si>
  <si>
    <t>098</t>
  </si>
  <si>
    <t>20210613--20240612</t>
  </si>
  <si>
    <t>20210609</t>
  </si>
  <si>
    <t>谭东</t>
  </si>
  <si>
    <t>099</t>
  </si>
  <si>
    <t>梁立苹（李恒担保）</t>
  </si>
  <si>
    <t>100</t>
  </si>
  <si>
    <t>20200609</t>
  </si>
  <si>
    <t>曲钟超（秦朋祥担保）</t>
  </si>
  <si>
    <t>101</t>
  </si>
  <si>
    <r>
      <rPr>
        <sz val="10"/>
        <color indexed="8"/>
        <rFont val="宋体"/>
        <family val="3"/>
        <charset val="134"/>
      </rPr>
      <t>2</t>
    </r>
    <r>
      <rPr>
        <sz val="10"/>
        <color indexed="8"/>
        <rFont val="宋体"/>
        <family val="3"/>
        <charset val="134"/>
      </rPr>
      <t>0171220--20221219</t>
    </r>
  </si>
  <si>
    <t>水族及水族用品</t>
  </si>
  <si>
    <t>20171204</t>
  </si>
  <si>
    <t>薛瑞</t>
  </si>
  <si>
    <t>102</t>
  </si>
  <si>
    <t>20171210--20221209</t>
  </si>
  <si>
    <t>20171121</t>
  </si>
  <si>
    <t>刘畅（朱颖波担保）</t>
  </si>
  <si>
    <t>103</t>
  </si>
  <si>
    <t>20210717--20240716</t>
  </si>
  <si>
    <t>20210517</t>
  </si>
  <si>
    <t>王迪颖</t>
  </si>
  <si>
    <t>105</t>
  </si>
  <si>
    <t>20180521</t>
  </si>
  <si>
    <t>王春梅</t>
  </si>
  <si>
    <t>106/107</t>
  </si>
  <si>
    <t>20210516--20260515</t>
  </si>
  <si>
    <t>工艺品（文房四宝）</t>
  </si>
  <si>
    <t>焦玉珠</t>
  </si>
  <si>
    <r>
      <rPr>
        <sz val="10"/>
        <color indexed="8"/>
        <rFont val="宋体"/>
        <family val="3"/>
        <charset val="134"/>
      </rPr>
      <t>1</t>
    </r>
    <r>
      <rPr>
        <sz val="10"/>
        <color indexed="8"/>
        <rFont val="宋体"/>
        <family val="3"/>
        <charset val="134"/>
      </rPr>
      <t>08</t>
    </r>
  </si>
  <si>
    <t>王宏启</t>
  </si>
  <si>
    <r>
      <rPr>
        <sz val="10"/>
        <color indexed="8"/>
        <rFont val="宋体"/>
        <family val="3"/>
        <charset val="134"/>
      </rPr>
      <t>1</t>
    </r>
    <r>
      <rPr>
        <sz val="10"/>
        <color indexed="8"/>
        <rFont val="宋体"/>
        <family val="3"/>
        <charset val="134"/>
      </rPr>
      <t>88</t>
    </r>
  </si>
  <si>
    <t>张辰阳</t>
  </si>
  <si>
    <r>
      <rPr>
        <sz val="10"/>
        <color indexed="8"/>
        <rFont val="宋体"/>
        <family val="3"/>
        <charset val="134"/>
      </rPr>
      <t>1</t>
    </r>
    <r>
      <rPr>
        <sz val="10"/>
        <color indexed="8"/>
        <rFont val="宋体"/>
        <family val="3"/>
        <charset val="134"/>
      </rPr>
      <t>09/110</t>
    </r>
  </si>
  <si>
    <t>20210624--20240623</t>
  </si>
  <si>
    <t>20210425</t>
  </si>
  <si>
    <t>董卫</t>
  </si>
  <si>
    <t>111</t>
  </si>
  <si>
    <t>郭燕龙（李玉玲）</t>
  </si>
  <si>
    <t>112</t>
  </si>
  <si>
    <t>20210404--20240403</t>
  </si>
  <si>
    <t>20210305</t>
  </si>
  <si>
    <t>李欣梅</t>
  </si>
  <si>
    <r>
      <rPr>
        <sz val="10"/>
        <color indexed="8"/>
        <rFont val="宋体"/>
        <family val="3"/>
        <charset val="134"/>
      </rPr>
      <t>1</t>
    </r>
    <r>
      <rPr>
        <sz val="10"/>
        <color indexed="8"/>
        <rFont val="宋体"/>
        <family val="3"/>
        <charset val="134"/>
      </rPr>
      <t>13</t>
    </r>
  </si>
  <si>
    <t>杨智</t>
  </si>
  <si>
    <t>115</t>
  </si>
  <si>
    <t>20171003--20221002</t>
  </si>
  <si>
    <t>水族</t>
  </si>
  <si>
    <r>
      <rPr>
        <sz val="11"/>
        <color theme="1"/>
        <rFont val="宋体"/>
        <family val="3"/>
        <charset val="134"/>
        <scheme val="minor"/>
      </rPr>
      <t>2</t>
    </r>
    <r>
      <rPr>
        <sz val="11"/>
        <color indexed="8"/>
        <rFont val="宋体"/>
        <family val="3"/>
        <charset val="134"/>
      </rPr>
      <t>0170928</t>
    </r>
  </si>
  <si>
    <t>师德馨（黄勇）（祖海涛担保）</t>
  </si>
  <si>
    <r>
      <rPr>
        <sz val="10"/>
        <color indexed="8"/>
        <rFont val="宋体"/>
        <family val="3"/>
        <charset val="134"/>
      </rPr>
      <t>1</t>
    </r>
    <r>
      <rPr>
        <sz val="10"/>
        <color indexed="8"/>
        <rFont val="宋体"/>
        <family val="3"/>
        <charset val="134"/>
      </rPr>
      <t>16</t>
    </r>
  </si>
  <si>
    <t>师德馨</t>
  </si>
  <si>
    <t>117</t>
  </si>
  <si>
    <t>20180816</t>
  </si>
  <si>
    <t>郭庆新</t>
  </si>
  <si>
    <r>
      <rPr>
        <sz val="10"/>
        <color indexed="8"/>
        <rFont val="宋体"/>
        <family val="3"/>
        <charset val="134"/>
      </rPr>
      <t>1</t>
    </r>
    <r>
      <rPr>
        <sz val="10"/>
        <color indexed="8"/>
        <rFont val="宋体"/>
        <family val="3"/>
        <charset val="134"/>
      </rPr>
      <t>19</t>
    </r>
  </si>
  <si>
    <r>
      <rPr>
        <sz val="10"/>
        <color indexed="8"/>
        <rFont val="宋体"/>
        <family val="3"/>
        <charset val="134"/>
      </rPr>
      <t>2</t>
    </r>
    <r>
      <rPr>
        <sz val="10"/>
        <color indexed="8"/>
        <rFont val="宋体"/>
        <family val="3"/>
        <charset val="134"/>
      </rPr>
      <t>0181001--20230930</t>
    </r>
  </si>
  <si>
    <r>
      <rPr>
        <sz val="11"/>
        <color theme="1"/>
        <rFont val="宋体"/>
        <family val="3"/>
        <charset val="134"/>
        <scheme val="minor"/>
      </rPr>
      <t>2</t>
    </r>
    <r>
      <rPr>
        <sz val="11"/>
        <color indexed="8"/>
        <rFont val="宋体"/>
        <family val="3"/>
        <charset val="134"/>
      </rPr>
      <t>0180925</t>
    </r>
  </si>
  <si>
    <t>刘琳</t>
  </si>
  <si>
    <t>120、121</t>
  </si>
  <si>
    <t>田鸿臣</t>
  </si>
  <si>
    <t>122、123</t>
  </si>
  <si>
    <t>20180507</t>
  </si>
  <si>
    <t>王金燕 张计学</t>
  </si>
  <si>
    <t>125、126</t>
  </si>
  <si>
    <t>水族造景</t>
  </si>
  <si>
    <t>寿振清</t>
  </si>
  <si>
    <r>
      <rPr>
        <sz val="10"/>
        <color indexed="8"/>
        <rFont val="宋体"/>
        <family val="3"/>
        <charset val="134"/>
      </rPr>
      <t>1</t>
    </r>
    <r>
      <rPr>
        <sz val="10"/>
        <color indexed="8"/>
        <rFont val="宋体"/>
        <family val="3"/>
        <charset val="134"/>
      </rPr>
      <t>27/128/129</t>
    </r>
  </si>
  <si>
    <t>20180504</t>
  </si>
  <si>
    <t>李克珠(何怡普担保）</t>
  </si>
  <si>
    <t>130、131</t>
  </si>
  <si>
    <r>
      <rPr>
        <sz val="10"/>
        <color indexed="8"/>
        <rFont val="宋体"/>
        <family val="3"/>
        <charset val="134"/>
      </rPr>
      <t>2</t>
    </r>
    <r>
      <rPr>
        <sz val="10"/>
        <color indexed="8"/>
        <rFont val="宋体"/>
        <family val="3"/>
        <charset val="134"/>
      </rPr>
      <t>0190114--20240113</t>
    </r>
  </si>
  <si>
    <t>20181203</t>
  </si>
  <si>
    <t>刘淑贤、宋国贤</t>
  </si>
  <si>
    <t>132、133</t>
  </si>
  <si>
    <t>20170915--20220914</t>
  </si>
  <si>
    <t>20170823</t>
  </si>
  <si>
    <t>祁文俊（于晓燕）(张志芳担保）</t>
  </si>
  <si>
    <t>135</t>
  </si>
  <si>
    <t>赵亚玲（杨月芝担保）</t>
  </si>
  <si>
    <t>136、137、138、139、150</t>
  </si>
  <si>
    <t>20180821</t>
  </si>
  <si>
    <t>姜梓超</t>
  </si>
  <si>
    <t>A23、151、152</t>
  </si>
  <si>
    <t>20200721--20230720</t>
  </si>
  <si>
    <t>水族、水族用品及珠宝</t>
  </si>
  <si>
    <t>20200622</t>
  </si>
  <si>
    <t>王艳贞（王宝明）</t>
  </si>
  <si>
    <t>153、155</t>
  </si>
  <si>
    <r>
      <rPr>
        <sz val="10"/>
        <color indexed="8"/>
        <rFont val="宋体"/>
        <family val="3"/>
        <charset val="134"/>
      </rPr>
      <t>2</t>
    </r>
    <r>
      <rPr>
        <sz val="10"/>
        <color indexed="8"/>
        <rFont val="宋体"/>
        <family val="3"/>
        <charset val="134"/>
      </rPr>
      <t>0181010--20231009</t>
    </r>
  </si>
  <si>
    <t>20131008</t>
  </si>
  <si>
    <t>韩连友（汤善兵担保）</t>
  </si>
  <si>
    <t>156、157</t>
  </si>
  <si>
    <r>
      <rPr>
        <sz val="10"/>
        <color indexed="8"/>
        <rFont val="宋体"/>
        <family val="3"/>
        <charset val="134"/>
      </rPr>
      <t>2</t>
    </r>
    <r>
      <rPr>
        <sz val="10"/>
        <color indexed="8"/>
        <rFont val="宋体"/>
        <family val="3"/>
        <charset val="134"/>
      </rPr>
      <t>0180716--20230715</t>
    </r>
  </si>
  <si>
    <t>20180530</t>
  </si>
  <si>
    <t>张岩（左建儒）</t>
  </si>
  <si>
    <t>158、159、160、161</t>
  </si>
  <si>
    <t>于斌（杨帅）</t>
  </si>
  <si>
    <t>162、163</t>
  </si>
  <si>
    <t>20180909--20230908</t>
  </si>
  <si>
    <t>20180911</t>
  </si>
  <si>
    <t>关淑英</t>
  </si>
  <si>
    <t>165</t>
  </si>
  <si>
    <t>20180723</t>
  </si>
  <si>
    <t>关淑英（何军担保）</t>
  </si>
  <si>
    <r>
      <rPr>
        <sz val="10"/>
        <color indexed="8"/>
        <rFont val="宋体"/>
        <family val="3"/>
        <charset val="134"/>
      </rPr>
      <t>1</t>
    </r>
    <r>
      <rPr>
        <sz val="10"/>
        <color indexed="8"/>
        <rFont val="宋体"/>
        <family val="3"/>
        <charset val="134"/>
      </rPr>
      <t>66</t>
    </r>
  </si>
  <si>
    <t>高建军</t>
  </si>
  <si>
    <r>
      <rPr>
        <sz val="10"/>
        <color indexed="8"/>
        <rFont val="宋体"/>
        <family val="3"/>
        <charset val="134"/>
      </rPr>
      <t>1</t>
    </r>
    <r>
      <rPr>
        <sz val="10"/>
        <color indexed="8"/>
        <rFont val="宋体"/>
        <family val="3"/>
        <charset val="134"/>
      </rPr>
      <t>68</t>
    </r>
  </si>
  <si>
    <t>李兰芬</t>
  </si>
  <si>
    <t>169/170/171</t>
  </si>
  <si>
    <t>张亮（王宝明）</t>
  </si>
  <si>
    <r>
      <rPr>
        <sz val="10"/>
        <color indexed="8"/>
        <rFont val="宋体"/>
        <family val="3"/>
        <charset val="134"/>
      </rPr>
      <t>1</t>
    </r>
    <r>
      <rPr>
        <sz val="10"/>
        <color indexed="8"/>
        <rFont val="宋体"/>
        <family val="3"/>
        <charset val="134"/>
      </rPr>
      <t>72</t>
    </r>
  </si>
  <si>
    <t>张长红</t>
  </si>
  <si>
    <r>
      <rPr>
        <sz val="10"/>
        <color indexed="8"/>
        <rFont val="宋体"/>
        <family val="3"/>
        <charset val="134"/>
      </rPr>
      <t>1</t>
    </r>
    <r>
      <rPr>
        <sz val="10"/>
        <color indexed="8"/>
        <rFont val="宋体"/>
        <family val="3"/>
        <charset val="134"/>
      </rPr>
      <t>73/175</t>
    </r>
  </si>
  <si>
    <r>
      <rPr>
        <sz val="11"/>
        <color theme="1"/>
        <rFont val="宋体"/>
        <family val="3"/>
        <charset val="134"/>
        <scheme val="minor"/>
      </rPr>
      <t>2</t>
    </r>
    <r>
      <rPr>
        <sz val="11"/>
        <color indexed="8"/>
        <rFont val="宋体"/>
        <family val="3"/>
        <charset val="134"/>
      </rPr>
      <t>0180514</t>
    </r>
  </si>
  <si>
    <t>尹梅芳</t>
  </si>
  <si>
    <t>176</t>
  </si>
  <si>
    <r>
      <rPr>
        <sz val="11"/>
        <color theme="1"/>
        <rFont val="宋体"/>
        <family val="3"/>
        <charset val="134"/>
        <scheme val="minor"/>
      </rPr>
      <t>2</t>
    </r>
    <r>
      <rPr>
        <sz val="11"/>
        <color indexed="8"/>
        <rFont val="宋体"/>
        <family val="3"/>
        <charset val="134"/>
      </rPr>
      <t>0180507</t>
    </r>
  </si>
  <si>
    <t>左长成（赵秋晨）</t>
  </si>
  <si>
    <t>177、178</t>
  </si>
  <si>
    <t>王红星</t>
  </si>
  <si>
    <t>179、180</t>
  </si>
  <si>
    <t>王浩（刘翠珍担保）</t>
  </si>
  <si>
    <t>181</t>
  </si>
  <si>
    <t>20180510</t>
  </si>
  <si>
    <t>刘翠珍</t>
  </si>
  <si>
    <t>182</t>
  </si>
  <si>
    <t>赵秋晨</t>
  </si>
  <si>
    <t>185</t>
  </si>
  <si>
    <t>张春立</t>
  </si>
  <si>
    <r>
      <rPr>
        <sz val="10"/>
        <color indexed="8"/>
        <rFont val="宋体"/>
        <family val="3"/>
        <charset val="134"/>
      </rPr>
      <t>1</t>
    </r>
    <r>
      <rPr>
        <sz val="10"/>
        <color indexed="8"/>
        <rFont val="宋体"/>
        <family val="3"/>
        <charset val="134"/>
      </rPr>
      <t>86</t>
    </r>
  </si>
  <si>
    <t>张玉香（王桂侠担保）</t>
  </si>
  <si>
    <r>
      <rPr>
        <sz val="10"/>
        <color indexed="8"/>
        <rFont val="宋体"/>
        <family val="3"/>
        <charset val="134"/>
      </rPr>
      <t>1</t>
    </r>
    <r>
      <rPr>
        <sz val="10"/>
        <color indexed="8"/>
        <rFont val="宋体"/>
        <family val="3"/>
        <charset val="134"/>
      </rPr>
      <t>87</t>
    </r>
  </si>
  <si>
    <t>烟具、烟叶</t>
  </si>
  <si>
    <t>刘志庆（张继辉担保）</t>
  </si>
  <si>
    <t>20211026--20241025</t>
  </si>
  <si>
    <t>20211025</t>
  </si>
  <si>
    <t>金成（鲁中玉担保）</t>
  </si>
  <si>
    <t>190</t>
  </si>
  <si>
    <t>20201016--20231015</t>
  </si>
  <si>
    <t>20201014</t>
  </si>
  <si>
    <t>阮毅</t>
  </si>
  <si>
    <t>191</t>
  </si>
  <si>
    <t>20210607</t>
  </si>
  <si>
    <t>韩翟（朱传喜担保）</t>
  </si>
  <si>
    <r>
      <rPr>
        <sz val="10"/>
        <color indexed="8"/>
        <rFont val="宋体"/>
        <family val="3"/>
        <charset val="134"/>
      </rPr>
      <t>1</t>
    </r>
    <r>
      <rPr>
        <sz val="10"/>
        <color indexed="8"/>
        <rFont val="宋体"/>
        <family val="3"/>
        <charset val="134"/>
      </rPr>
      <t>92</t>
    </r>
  </si>
  <si>
    <t>20210412--20240411</t>
  </si>
  <si>
    <t>20210409</t>
  </si>
  <si>
    <t>张燕荣</t>
  </si>
  <si>
    <t>193</t>
  </si>
  <si>
    <t>20210308--20240307</t>
  </si>
  <si>
    <t>20201208</t>
  </si>
  <si>
    <t>徐岩</t>
  </si>
  <si>
    <t>195</t>
  </si>
  <si>
    <r>
      <rPr>
        <sz val="10"/>
        <color indexed="8"/>
        <rFont val="宋体"/>
        <family val="3"/>
        <charset val="134"/>
      </rPr>
      <t>2</t>
    </r>
    <r>
      <rPr>
        <sz val="10"/>
        <color indexed="8"/>
        <rFont val="宋体"/>
        <family val="3"/>
        <charset val="134"/>
      </rPr>
      <t>0180912--20230911</t>
    </r>
  </si>
  <si>
    <t>20180907</t>
  </si>
  <si>
    <t>196</t>
  </si>
  <si>
    <t>197</t>
  </si>
  <si>
    <t>刘航宇（王坤明）</t>
  </si>
  <si>
    <r>
      <rPr>
        <sz val="10"/>
        <color indexed="8"/>
        <rFont val="宋体"/>
        <family val="3"/>
        <charset val="134"/>
      </rPr>
      <t>1</t>
    </r>
    <r>
      <rPr>
        <sz val="10"/>
        <color indexed="8"/>
        <rFont val="宋体"/>
        <family val="3"/>
        <charset val="134"/>
      </rPr>
      <t>98</t>
    </r>
  </si>
  <si>
    <t>文玩杂项</t>
  </si>
  <si>
    <t>苏瑞</t>
  </si>
  <si>
    <t>199/200</t>
  </si>
  <si>
    <t>20220108--20250107</t>
  </si>
  <si>
    <t>孙海亮（陈双双担保）</t>
  </si>
  <si>
    <t>201、202</t>
  </si>
  <si>
    <t>20210501--20240430</t>
  </si>
  <si>
    <t>20210430</t>
  </si>
  <si>
    <t>戴琳</t>
  </si>
  <si>
    <t>203、205</t>
  </si>
  <si>
    <t>20210903</t>
  </si>
  <si>
    <t>刘兵（杨忠担保）</t>
  </si>
  <si>
    <t>206、207</t>
  </si>
  <si>
    <t>王宝明（马国章担保）</t>
  </si>
  <si>
    <t>20220123--20250122</t>
  </si>
  <si>
    <t>20220113</t>
  </si>
  <si>
    <t>李木森（房云（房雯））（张伟担保）</t>
  </si>
  <si>
    <t>209、210</t>
  </si>
  <si>
    <t>刘映辉</t>
  </si>
  <si>
    <t>211、212</t>
  </si>
  <si>
    <t>20220421--20250420</t>
  </si>
  <si>
    <t>20220420</t>
  </si>
  <si>
    <t>孔凡明</t>
  </si>
  <si>
    <t>213</t>
  </si>
  <si>
    <t>王楠、姜丽莹（王楠）（李冬玲担保）</t>
  </si>
  <si>
    <t>215</t>
  </si>
  <si>
    <t>20180410--20230409</t>
  </si>
  <si>
    <t>20180322</t>
  </si>
  <si>
    <t>葛睿（张鸥）（翁欢军担保）</t>
  </si>
  <si>
    <t>216</t>
  </si>
  <si>
    <r>
      <rPr>
        <sz val="10"/>
        <color indexed="8"/>
        <rFont val="宋体"/>
        <family val="3"/>
        <charset val="134"/>
      </rPr>
      <t>2</t>
    </r>
    <r>
      <rPr>
        <sz val="10"/>
        <color indexed="8"/>
        <rFont val="宋体"/>
        <family val="3"/>
        <charset val="134"/>
      </rPr>
      <t>0191224--20221223</t>
    </r>
  </si>
  <si>
    <r>
      <rPr>
        <sz val="11"/>
        <color theme="1"/>
        <rFont val="宋体"/>
        <family val="3"/>
        <charset val="134"/>
        <scheme val="minor"/>
      </rPr>
      <t>2</t>
    </r>
    <r>
      <rPr>
        <sz val="11"/>
        <color indexed="8"/>
        <rFont val="宋体"/>
        <family val="3"/>
        <charset val="134"/>
      </rPr>
      <t>0191113</t>
    </r>
  </si>
  <si>
    <t>217</t>
  </si>
  <si>
    <t>218</t>
  </si>
  <si>
    <t>卢世革</t>
  </si>
  <si>
    <r>
      <rPr>
        <sz val="10"/>
        <color indexed="8"/>
        <rFont val="宋体"/>
        <family val="3"/>
        <charset val="134"/>
      </rPr>
      <t>2</t>
    </r>
    <r>
      <rPr>
        <sz val="10"/>
        <color indexed="8"/>
        <rFont val="宋体"/>
        <family val="3"/>
        <charset val="134"/>
      </rPr>
      <t>19</t>
    </r>
  </si>
  <si>
    <t>李洪军</t>
  </si>
  <si>
    <t>220</t>
  </si>
  <si>
    <t>20210716--20240715</t>
  </si>
  <si>
    <t>20210714</t>
  </si>
  <si>
    <t>周慧琴</t>
  </si>
  <si>
    <t>221</t>
  </si>
  <si>
    <r>
      <rPr>
        <sz val="10"/>
        <color indexed="8"/>
        <rFont val="宋体"/>
        <family val="3"/>
        <charset val="134"/>
      </rPr>
      <t>2</t>
    </r>
    <r>
      <rPr>
        <sz val="10"/>
        <color indexed="8"/>
        <rFont val="宋体"/>
        <family val="3"/>
        <charset val="134"/>
      </rPr>
      <t>0170926--20220925</t>
    </r>
  </si>
  <si>
    <r>
      <rPr>
        <sz val="11"/>
        <color theme="1"/>
        <rFont val="宋体"/>
        <family val="3"/>
        <charset val="134"/>
        <scheme val="minor"/>
      </rPr>
      <t>2</t>
    </r>
    <r>
      <rPr>
        <sz val="11"/>
        <color indexed="8"/>
        <rFont val="宋体"/>
        <family val="3"/>
        <charset val="134"/>
      </rPr>
      <t>0170925</t>
    </r>
  </si>
  <si>
    <t>刘振立</t>
  </si>
  <si>
    <t>222</t>
  </si>
  <si>
    <r>
      <rPr>
        <sz val="10"/>
        <color indexed="8"/>
        <rFont val="宋体"/>
        <family val="3"/>
        <charset val="134"/>
      </rPr>
      <t>2</t>
    </r>
    <r>
      <rPr>
        <sz val="10"/>
        <color indexed="8"/>
        <rFont val="宋体"/>
        <family val="3"/>
        <charset val="134"/>
      </rPr>
      <t>0170927--20220926</t>
    </r>
  </si>
  <si>
    <t>20170925</t>
  </si>
  <si>
    <t>郑伟（田言平担保）</t>
  </si>
  <si>
    <t>20201218</t>
  </si>
  <si>
    <t>郭洪敏（武文花担保）</t>
  </si>
  <si>
    <t>225</t>
  </si>
  <si>
    <t>20210112--20240111</t>
  </si>
  <si>
    <t>20210111</t>
  </si>
  <si>
    <t>宋逸轩（李健担保）</t>
  </si>
  <si>
    <t>226</t>
  </si>
  <si>
    <r>
      <rPr>
        <sz val="10"/>
        <color indexed="8"/>
        <rFont val="宋体"/>
        <family val="3"/>
        <charset val="134"/>
      </rPr>
      <t>2</t>
    </r>
    <r>
      <rPr>
        <sz val="10"/>
        <color indexed="8"/>
        <rFont val="宋体"/>
        <family val="3"/>
        <charset val="134"/>
      </rPr>
      <t>0191210--20221209</t>
    </r>
  </si>
  <si>
    <r>
      <rPr>
        <sz val="11"/>
        <color theme="1"/>
        <rFont val="宋体"/>
        <family val="3"/>
        <charset val="134"/>
        <scheme val="minor"/>
      </rPr>
      <t>2</t>
    </r>
    <r>
      <rPr>
        <sz val="11"/>
        <color indexed="8"/>
        <rFont val="宋体"/>
        <family val="3"/>
        <charset val="134"/>
      </rPr>
      <t>0191111</t>
    </r>
  </si>
  <si>
    <t>孟宪恩（刘春红担保）</t>
  </si>
  <si>
    <r>
      <rPr>
        <sz val="10"/>
        <color indexed="8"/>
        <rFont val="宋体"/>
        <family val="3"/>
        <charset val="134"/>
      </rPr>
      <t>2</t>
    </r>
    <r>
      <rPr>
        <sz val="10"/>
        <color indexed="8"/>
        <rFont val="宋体"/>
        <family val="3"/>
        <charset val="134"/>
      </rPr>
      <t>0181002--20231001</t>
    </r>
  </si>
  <si>
    <t>20180929</t>
  </si>
  <si>
    <t>张舒顺</t>
  </si>
  <si>
    <t>228</t>
  </si>
  <si>
    <t>20220116--20250115</t>
  </si>
  <si>
    <t>文玩、工艺品</t>
  </si>
  <si>
    <t>20211108</t>
  </si>
  <si>
    <t>崔国治</t>
  </si>
  <si>
    <r>
      <rPr>
        <sz val="10"/>
        <color indexed="8"/>
        <rFont val="宋体"/>
        <family val="3"/>
        <charset val="134"/>
      </rPr>
      <t>2</t>
    </r>
    <r>
      <rPr>
        <sz val="10"/>
        <color indexed="8"/>
        <rFont val="宋体"/>
        <family val="3"/>
        <charset val="134"/>
      </rPr>
      <t>29、230</t>
    </r>
  </si>
  <si>
    <t>周书羊</t>
  </si>
  <si>
    <t>231</t>
  </si>
  <si>
    <t>谭建春</t>
  </si>
  <si>
    <t>232</t>
  </si>
  <si>
    <t>20220303--20250302</t>
  </si>
  <si>
    <t>20220301</t>
  </si>
  <si>
    <t>王国庆（于泳担保）</t>
  </si>
  <si>
    <t>233、235</t>
  </si>
  <si>
    <t>书画装裱</t>
  </si>
  <si>
    <t>赵晓伟</t>
  </si>
  <si>
    <t>236</t>
  </si>
  <si>
    <t>20220602--20250601</t>
  </si>
  <si>
    <t>关静</t>
  </si>
  <si>
    <t>238</t>
  </si>
  <si>
    <t>20210601--20240531</t>
  </si>
  <si>
    <t>李政旗</t>
  </si>
  <si>
    <t>239</t>
  </si>
  <si>
    <t>20220803--20270802</t>
  </si>
  <si>
    <t>20220726</t>
  </si>
  <si>
    <t>251</t>
  </si>
  <si>
    <t>臧鹏征</t>
  </si>
  <si>
    <r>
      <rPr>
        <sz val="10"/>
        <color indexed="8"/>
        <rFont val="宋体"/>
        <family val="3"/>
        <charset val="134"/>
      </rPr>
      <t>2</t>
    </r>
    <r>
      <rPr>
        <sz val="10"/>
        <color indexed="8"/>
        <rFont val="宋体"/>
        <family val="3"/>
        <charset val="134"/>
      </rPr>
      <t>52</t>
    </r>
  </si>
  <si>
    <t>20211211--20241210</t>
  </si>
  <si>
    <t>20211209</t>
  </si>
  <si>
    <t>253</t>
  </si>
  <si>
    <t>258</t>
  </si>
  <si>
    <r>
      <rPr>
        <sz val="10"/>
        <color indexed="8"/>
        <rFont val="宋体"/>
        <family val="3"/>
        <charset val="134"/>
      </rPr>
      <t>2</t>
    </r>
    <r>
      <rPr>
        <sz val="10"/>
        <color indexed="8"/>
        <rFont val="宋体"/>
        <family val="3"/>
        <charset val="134"/>
      </rPr>
      <t>59/260/261</t>
    </r>
  </si>
  <si>
    <t>李国庆  吴京晶</t>
  </si>
  <si>
    <t>262</t>
  </si>
  <si>
    <r>
      <rPr>
        <sz val="10"/>
        <color indexed="8"/>
        <rFont val="宋体"/>
        <family val="3"/>
        <charset val="134"/>
      </rPr>
      <t>2</t>
    </r>
    <r>
      <rPr>
        <sz val="10"/>
        <color indexed="8"/>
        <rFont val="宋体"/>
        <family val="3"/>
        <charset val="134"/>
      </rPr>
      <t>0180410--20230409</t>
    </r>
  </si>
  <si>
    <t>杂项</t>
  </si>
  <si>
    <t>20180408</t>
  </si>
  <si>
    <t>闫安</t>
  </si>
  <si>
    <t>263</t>
  </si>
  <si>
    <r>
      <rPr>
        <sz val="10"/>
        <color indexed="8"/>
        <rFont val="宋体"/>
        <family val="3"/>
        <charset val="134"/>
      </rPr>
      <t>2</t>
    </r>
    <r>
      <rPr>
        <sz val="10"/>
        <color indexed="8"/>
        <rFont val="宋体"/>
        <family val="3"/>
        <charset val="134"/>
      </rPr>
      <t>0211103--20241102</t>
    </r>
  </si>
  <si>
    <r>
      <rPr>
        <sz val="11"/>
        <color theme="1"/>
        <rFont val="宋体"/>
        <family val="3"/>
        <charset val="134"/>
        <scheme val="minor"/>
      </rPr>
      <t>2</t>
    </r>
    <r>
      <rPr>
        <sz val="11"/>
        <color theme="1"/>
        <rFont val="宋体"/>
        <family val="3"/>
        <charset val="134"/>
        <scheme val="minor"/>
      </rPr>
      <t>0211102</t>
    </r>
  </si>
  <si>
    <t>程金玉</t>
  </si>
  <si>
    <t>265</t>
  </si>
  <si>
    <r>
      <rPr>
        <sz val="10"/>
        <color indexed="8"/>
        <rFont val="宋体"/>
        <family val="3"/>
        <charset val="134"/>
      </rPr>
      <t>2</t>
    </r>
    <r>
      <rPr>
        <sz val="10"/>
        <color indexed="8"/>
        <rFont val="宋体"/>
        <family val="3"/>
        <charset val="134"/>
      </rPr>
      <t>0190901--20220831</t>
    </r>
  </si>
  <si>
    <t>20190814</t>
  </si>
  <si>
    <t>刘凤英（刘艳丽担保）</t>
  </si>
  <si>
    <r>
      <rPr>
        <sz val="10"/>
        <color indexed="8"/>
        <rFont val="宋体"/>
        <family val="3"/>
        <charset val="134"/>
      </rPr>
      <t>2</t>
    </r>
    <r>
      <rPr>
        <sz val="10"/>
        <color indexed="8"/>
        <rFont val="宋体"/>
        <family val="3"/>
        <charset val="134"/>
      </rPr>
      <t>66</t>
    </r>
  </si>
  <si>
    <t>20210721--20240720</t>
  </si>
  <si>
    <t>20210720</t>
  </si>
  <si>
    <t>张卫彤</t>
  </si>
  <si>
    <r>
      <rPr>
        <sz val="10"/>
        <color indexed="8"/>
        <rFont val="宋体"/>
        <family val="3"/>
        <charset val="134"/>
      </rPr>
      <t>2</t>
    </r>
    <r>
      <rPr>
        <sz val="10"/>
        <color indexed="8"/>
        <rFont val="宋体"/>
        <family val="3"/>
        <charset val="134"/>
      </rPr>
      <t>67</t>
    </r>
  </si>
  <si>
    <t>20181022</t>
  </si>
  <si>
    <t>杨秀云（樊庆芳担保）</t>
  </si>
  <si>
    <t>268</t>
  </si>
  <si>
    <t>20210710--20240709</t>
  </si>
  <si>
    <t>20210709</t>
  </si>
  <si>
    <t>269</t>
  </si>
  <si>
    <t>刘茂芝</t>
  </si>
  <si>
    <t>270、271</t>
  </si>
  <si>
    <r>
      <rPr>
        <sz val="10"/>
        <color indexed="8"/>
        <rFont val="宋体"/>
        <family val="3"/>
        <charset val="134"/>
      </rPr>
      <t>2</t>
    </r>
    <r>
      <rPr>
        <sz val="10"/>
        <color indexed="8"/>
        <rFont val="宋体"/>
        <family val="3"/>
        <charset val="134"/>
      </rPr>
      <t>0180710--20230709</t>
    </r>
  </si>
  <si>
    <t>张俊萍</t>
  </si>
  <si>
    <t>272、273</t>
  </si>
  <si>
    <t>鸣虫及用品</t>
  </si>
  <si>
    <t>寿振华</t>
  </si>
  <si>
    <t>275</t>
  </si>
  <si>
    <t>20210614--20240613</t>
  </si>
  <si>
    <t>20210611</t>
  </si>
  <si>
    <t>张庆服</t>
  </si>
  <si>
    <r>
      <rPr>
        <sz val="10"/>
        <color indexed="8"/>
        <rFont val="宋体"/>
        <family val="3"/>
        <charset val="134"/>
      </rPr>
      <t>2</t>
    </r>
    <r>
      <rPr>
        <sz val="10"/>
        <color indexed="8"/>
        <rFont val="宋体"/>
        <family val="3"/>
        <charset val="134"/>
      </rPr>
      <t>76</t>
    </r>
  </si>
  <si>
    <t>20220201--20250131</t>
  </si>
  <si>
    <t>20211110</t>
  </si>
  <si>
    <t>刘晖(尹晓亮担保）</t>
  </si>
  <si>
    <t>277</t>
  </si>
  <si>
    <t>20211027--20241026</t>
  </si>
  <si>
    <t>20211015</t>
  </si>
  <si>
    <t>刘传喜（吕利敏担保）</t>
  </si>
  <si>
    <r>
      <rPr>
        <sz val="10"/>
        <color indexed="8"/>
        <rFont val="宋体"/>
        <family val="3"/>
        <charset val="134"/>
      </rPr>
      <t>2</t>
    </r>
    <r>
      <rPr>
        <sz val="10"/>
        <color indexed="8"/>
        <rFont val="宋体"/>
        <family val="3"/>
        <charset val="134"/>
      </rPr>
      <t>78</t>
    </r>
  </si>
  <si>
    <t>20210417--20240416</t>
  </si>
  <si>
    <t>工艺品、邮票、纪念币</t>
  </si>
  <si>
    <t>20210414</t>
  </si>
  <si>
    <r>
      <rPr>
        <sz val="10"/>
        <color indexed="8"/>
        <rFont val="宋体"/>
        <family val="3"/>
        <charset val="134"/>
      </rPr>
      <t>2</t>
    </r>
    <r>
      <rPr>
        <sz val="10"/>
        <color indexed="8"/>
        <rFont val="宋体"/>
        <family val="3"/>
        <charset val="134"/>
      </rPr>
      <t>79</t>
    </r>
  </si>
  <si>
    <t>280</t>
  </si>
  <si>
    <t>齐棣</t>
  </si>
  <si>
    <t>281</t>
  </si>
  <si>
    <t>20220701--20250630</t>
  </si>
  <si>
    <t>20220630</t>
  </si>
  <si>
    <t>282</t>
  </si>
  <si>
    <t>南门入口、206北侧墙面</t>
  </si>
  <si>
    <t>20200721--20250720</t>
  </si>
  <si>
    <t>自动售水机</t>
  </si>
  <si>
    <t>20200706</t>
  </si>
  <si>
    <t>于云贵</t>
  </si>
  <si>
    <t>A2、A5</t>
  </si>
  <si>
    <t>鲜花、绿植</t>
  </si>
  <si>
    <t>20220112</t>
  </si>
  <si>
    <t>A1</t>
  </si>
  <si>
    <t>张春英（查泽担保）</t>
  </si>
  <si>
    <t>A3</t>
  </si>
  <si>
    <t>20220101--20241231</t>
  </si>
  <si>
    <t>20211217</t>
  </si>
  <si>
    <t>胡道明</t>
  </si>
  <si>
    <t>A6</t>
  </si>
  <si>
    <t>20220723--20250722</t>
  </si>
  <si>
    <t>20220722</t>
  </si>
  <si>
    <t>朱玉芬（魏立全担保）</t>
  </si>
  <si>
    <t>A7</t>
  </si>
  <si>
    <t>烟斗、烟叶</t>
  </si>
  <si>
    <t>20180426</t>
  </si>
  <si>
    <t>刘荣（赵菁菁担保）</t>
  </si>
  <si>
    <t>A8、A10</t>
  </si>
  <si>
    <t>水族器材</t>
  </si>
  <si>
    <t>李秀芬（段秉亚）（王玉涛、段艳红担保）</t>
  </si>
  <si>
    <t>A9</t>
  </si>
  <si>
    <t>王金成（郭燕超）（李鑫担保）</t>
  </si>
  <si>
    <r>
      <rPr>
        <sz val="10"/>
        <color indexed="8"/>
        <rFont val="宋体"/>
        <family val="3"/>
        <charset val="134"/>
      </rPr>
      <t>A</t>
    </r>
    <r>
      <rPr>
        <sz val="10"/>
        <color indexed="8"/>
        <rFont val="宋体"/>
        <family val="3"/>
        <charset val="134"/>
      </rPr>
      <t>11</t>
    </r>
  </si>
  <si>
    <t>周洋</t>
  </si>
  <si>
    <t>A12</t>
  </si>
  <si>
    <r>
      <rPr>
        <sz val="10"/>
        <color indexed="8"/>
        <rFont val="宋体"/>
        <family val="3"/>
        <charset val="134"/>
      </rPr>
      <t>2</t>
    </r>
    <r>
      <rPr>
        <sz val="10"/>
        <color indexed="8"/>
        <rFont val="宋体"/>
        <family val="3"/>
        <charset val="134"/>
      </rPr>
      <t>0200128--20230127</t>
    </r>
  </si>
  <si>
    <r>
      <rPr>
        <sz val="11"/>
        <color theme="1"/>
        <rFont val="宋体"/>
        <family val="3"/>
        <charset val="134"/>
        <scheme val="minor"/>
      </rPr>
      <t>2</t>
    </r>
    <r>
      <rPr>
        <sz val="11"/>
        <color indexed="8"/>
        <rFont val="宋体"/>
        <family val="3"/>
        <charset val="134"/>
      </rPr>
      <t>0191227</t>
    </r>
  </si>
  <si>
    <t>张建东</t>
  </si>
  <si>
    <t>A13</t>
  </si>
  <si>
    <t>陈磊</t>
  </si>
  <si>
    <t>A15</t>
  </si>
  <si>
    <t>工艺品、水族、水族用品</t>
  </si>
  <si>
    <t>20180518</t>
  </si>
  <si>
    <t>北京寿氏兄弟水族用品中心</t>
  </si>
  <si>
    <t>A17</t>
  </si>
  <si>
    <t>金铁民（张海曼担保）</t>
  </si>
  <si>
    <t>A19</t>
  </si>
  <si>
    <r>
      <rPr>
        <sz val="10"/>
        <color indexed="8"/>
        <rFont val="宋体"/>
        <family val="3"/>
        <charset val="134"/>
      </rPr>
      <t>2</t>
    </r>
    <r>
      <rPr>
        <sz val="10"/>
        <color indexed="8"/>
        <rFont val="宋体"/>
        <family val="3"/>
        <charset val="134"/>
      </rPr>
      <t>0180617--20230616</t>
    </r>
  </si>
  <si>
    <t>李晔（李晓冰担保）</t>
  </si>
  <si>
    <r>
      <rPr>
        <sz val="10"/>
        <color indexed="8"/>
        <rFont val="宋体"/>
        <family val="3"/>
        <charset val="134"/>
      </rPr>
      <t>A</t>
    </r>
    <r>
      <rPr>
        <sz val="10"/>
        <color indexed="8"/>
        <rFont val="宋体"/>
        <family val="3"/>
        <charset val="134"/>
      </rPr>
      <t>20、A22</t>
    </r>
  </si>
  <si>
    <t>20180620--20230619</t>
  </si>
  <si>
    <t>水族及水族用品、宠物用品</t>
  </si>
  <si>
    <t>20180606</t>
  </si>
  <si>
    <t>王雁冰(孔令辉担保）</t>
  </si>
  <si>
    <t>A25</t>
  </si>
  <si>
    <t>20210731--20240730</t>
  </si>
  <si>
    <t>20210722</t>
  </si>
  <si>
    <t>刘建魁（赵利（李中华））（李中华担保）</t>
  </si>
  <si>
    <t>A26</t>
  </si>
  <si>
    <t>许远沂（李奇担保）</t>
  </si>
  <si>
    <r>
      <rPr>
        <sz val="10"/>
        <color indexed="8"/>
        <rFont val="宋体"/>
        <family val="3"/>
        <charset val="134"/>
      </rPr>
      <t>A</t>
    </r>
    <r>
      <rPr>
        <sz val="10"/>
        <color indexed="8"/>
        <rFont val="宋体"/>
        <family val="3"/>
        <charset val="134"/>
      </rPr>
      <t>27</t>
    </r>
  </si>
  <si>
    <t>20210822--20240821</t>
  </si>
  <si>
    <r>
      <rPr>
        <sz val="11"/>
        <color theme="1"/>
        <rFont val="宋体"/>
        <family val="3"/>
        <charset val="134"/>
        <scheme val="minor"/>
      </rPr>
      <t>2</t>
    </r>
    <r>
      <rPr>
        <sz val="11"/>
        <color theme="1"/>
        <rFont val="宋体"/>
        <family val="3"/>
        <charset val="134"/>
        <scheme val="minor"/>
      </rPr>
      <t>0210622</t>
    </r>
  </si>
  <si>
    <t>刘伟（左长成担保）</t>
  </si>
  <si>
    <t>A28、A29</t>
  </si>
  <si>
    <t>20210317--20240316</t>
  </si>
  <si>
    <r>
      <rPr>
        <sz val="11"/>
        <color theme="1"/>
        <rFont val="宋体"/>
        <family val="3"/>
        <charset val="134"/>
        <scheme val="minor"/>
      </rPr>
      <t>2</t>
    </r>
    <r>
      <rPr>
        <sz val="11"/>
        <color theme="1"/>
        <rFont val="宋体"/>
        <family val="3"/>
        <charset val="134"/>
        <scheme val="minor"/>
      </rPr>
      <t>0210225</t>
    </r>
  </si>
  <si>
    <t>市场B区</t>
  </si>
  <si>
    <t>张晓琳</t>
  </si>
  <si>
    <t>283/351</t>
  </si>
  <si>
    <t>20210801--20240731</t>
  </si>
  <si>
    <t>宠物及宠物用品</t>
  </si>
  <si>
    <t>20210716</t>
  </si>
  <si>
    <t>叶建康</t>
  </si>
  <si>
    <t>285/352</t>
  </si>
  <si>
    <t>20210812--20240811</t>
  </si>
  <si>
    <t>20210812</t>
  </si>
  <si>
    <t>程智、北京太空人宠物服务有限公司（程智）</t>
  </si>
  <si>
    <t>286</t>
  </si>
  <si>
    <t>20180403--20230402</t>
  </si>
  <si>
    <t>20180323</t>
  </si>
  <si>
    <t>韩文燕、北京常鸣宠物店（韩文燕）</t>
  </si>
  <si>
    <t>287</t>
  </si>
  <si>
    <r>
      <rPr>
        <sz val="10"/>
        <color indexed="8"/>
        <rFont val="宋体"/>
        <family val="3"/>
        <charset val="134"/>
      </rPr>
      <t>2</t>
    </r>
    <r>
      <rPr>
        <sz val="10"/>
        <color indexed="8"/>
        <rFont val="宋体"/>
        <family val="3"/>
        <charset val="134"/>
      </rPr>
      <t>0171226--20221225</t>
    </r>
  </si>
  <si>
    <t>20171212</t>
  </si>
  <si>
    <t>纪梦亚</t>
  </si>
  <si>
    <t>288</t>
  </si>
  <si>
    <r>
      <rPr>
        <sz val="10"/>
        <color indexed="8"/>
        <rFont val="宋体"/>
        <family val="3"/>
        <charset val="134"/>
      </rPr>
      <t>2</t>
    </r>
    <r>
      <rPr>
        <sz val="10"/>
        <color indexed="8"/>
        <rFont val="宋体"/>
        <family val="3"/>
        <charset val="134"/>
      </rPr>
      <t>0171101--20221031</t>
    </r>
  </si>
  <si>
    <t>20171023</t>
  </si>
  <si>
    <t>姜宇洋</t>
  </si>
  <si>
    <r>
      <rPr>
        <sz val="10"/>
        <color indexed="8"/>
        <rFont val="宋体"/>
        <family val="3"/>
        <charset val="134"/>
      </rPr>
      <t>2</t>
    </r>
    <r>
      <rPr>
        <sz val="10"/>
        <color indexed="8"/>
        <rFont val="宋体"/>
        <family val="3"/>
        <charset val="134"/>
      </rPr>
      <t>90</t>
    </r>
  </si>
  <si>
    <t>20220801--20250731</t>
  </si>
  <si>
    <t>宠物销售</t>
  </si>
  <si>
    <t>黄梦华（刘珍龙担保）</t>
  </si>
  <si>
    <r>
      <rPr>
        <sz val="10"/>
        <color indexed="8"/>
        <rFont val="宋体"/>
        <family val="3"/>
        <charset val="134"/>
      </rPr>
      <t>2</t>
    </r>
    <r>
      <rPr>
        <sz val="10"/>
        <color indexed="8"/>
        <rFont val="宋体"/>
        <family val="3"/>
        <charset val="134"/>
      </rPr>
      <t>91</t>
    </r>
  </si>
  <si>
    <r>
      <rPr>
        <sz val="10"/>
        <color indexed="8"/>
        <rFont val="宋体"/>
        <family val="3"/>
        <charset val="134"/>
      </rPr>
      <t>2</t>
    </r>
    <r>
      <rPr>
        <sz val="10"/>
        <color indexed="8"/>
        <rFont val="宋体"/>
        <family val="3"/>
        <charset val="134"/>
      </rPr>
      <t>0190818--20220817</t>
    </r>
  </si>
  <si>
    <r>
      <rPr>
        <sz val="11"/>
        <color theme="1"/>
        <rFont val="宋体"/>
        <family val="3"/>
        <charset val="134"/>
        <scheme val="minor"/>
      </rPr>
      <t>2</t>
    </r>
    <r>
      <rPr>
        <sz val="11"/>
        <color indexed="8"/>
        <rFont val="宋体"/>
        <family val="3"/>
        <charset val="134"/>
      </rPr>
      <t>0190809</t>
    </r>
  </si>
  <si>
    <t>李昂</t>
  </si>
  <si>
    <t>292</t>
  </si>
  <si>
    <r>
      <rPr>
        <sz val="10"/>
        <color indexed="8"/>
        <rFont val="宋体"/>
        <family val="3"/>
        <charset val="134"/>
      </rPr>
      <t>2</t>
    </r>
    <r>
      <rPr>
        <sz val="10"/>
        <color indexed="8"/>
        <rFont val="宋体"/>
        <family val="3"/>
        <charset val="134"/>
      </rPr>
      <t>0180701--20230630</t>
    </r>
  </si>
  <si>
    <t>宠物用品</t>
  </si>
  <si>
    <t>李航</t>
  </si>
  <si>
    <r>
      <rPr>
        <sz val="10"/>
        <color indexed="8"/>
        <rFont val="宋体"/>
        <family val="3"/>
        <charset val="134"/>
      </rPr>
      <t>2</t>
    </r>
    <r>
      <rPr>
        <sz val="10"/>
        <color indexed="8"/>
        <rFont val="宋体"/>
        <family val="3"/>
        <charset val="134"/>
      </rPr>
      <t>93</t>
    </r>
  </si>
  <si>
    <t>20200501--20230630</t>
  </si>
  <si>
    <t>3年2个月</t>
  </si>
  <si>
    <t>20200430</t>
  </si>
  <si>
    <t>北京宏林文化传播有限公司</t>
  </si>
  <si>
    <r>
      <rPr>
        <sz val="10"/>
        <color indexed="8"/>
        <rFont val="宋体"/>
        <family val="3"/>
        <charset val="134"/>
      </rPr>
      <t>2</t>
    </r>
    <r>
      <rPr>
        <sz val="10"/>
        <color indexed="8"/>
        <rFont val="宋体"/>
        <family val="3"/>
        <charset val="134"/>
      </rPr>
      <t>95</t>
    </r>
  </si>
  <si>
    <t>20220614--20250613</t>
  </si>
  <si>
    <t>宠物、宠物用品</t>
  </si>
  <si>
    <t>20220613</t>
  </si>
  <si>
    <t>刘培英</t>
  </si>
  <si>
    <r>
      <rPr>
        <sz val="10"/>
        <color indexed="8"/>
        <rFont val="宋体"/>
        <family val="3"/>
        <charset val="134"/>
      </rPr>
      <t>2</t>
    </r>
    <r>
      <rPr>
        <sz val="10"/>
        <color indexed="8"/>
        <rFont val="宋体"/>
        <family val="3"/>
        <charset val="134"/>
      </rPr>
      <t>96</t>
    </r>
  </si>
  <si>
    <t>20200812--20230811</t>
  </si>
  <si>
    <t>20200701</t>
  </si>
  <si>
    <t>李明</t>
  </si>
  <si>
    <t>297</t>
  </si>
  <si>
    <t>20200815--20230814</t>
  </si>
  <si>
    <t>20200814</t>
  </si>
  <si>
    <t>王莹、北京宠乐酷宠物服务有限公司（王莹）（高春林担保）</t>
  </si>
  <si>
    <t>298</t>
  </si>
  <si>
    <r>
      <rPr>
        <sz val="10"/>
        <color indexed="8"/>
        <rFont val="宋体"/>
        <family val="3"/>
        <charset val="134"/>
      </rPr>
      <t>2</t>
    </r>
    <r>
      <rPr>
        <sz val="10"/>
        <color indexed="8"/>
        <rFont val="宋体"/>
        <family val="3"/>
        <charset val="134"/>
      </rPr>
      <t>0180307--20230306</t>
    </r>
  </si>
  <si>
    <t>20180301</t>
  </si>
  <si>
    <t>黄建萍</t>
  </si>
  <si>
    <t>299</t>
  </si>
  <si>
    <t>20220726--20250725</t>
  </si>
  <si>
    <t>20220725</t>
  </si>
  <si>
    <t>李伟波</t>
  </si>
  <si>
    <t>300/284</t>
  </si>
  <si>
    <t>20220410--20250409</t>
  </si>
  <si>
    <t>20220415</t>
  </si>
  <si>
    <t>301/303/305</t>
  </si>
  <si>
    <t>林哲娜</t>
  </si>
  <si>
    <t>302</t>
  </si>
  <si>
    <t>20210920--20240919</t>
  </si>
  <si>
    <t>307</t>
  </si>
  <si>
    <r>
      <rPr>
        <sz val="10"/>
        <color indexed="8"/>
        <rFont val="宋体"/>
        <family val="3"/>
        <charset val="134"/>
      </rPr>
      <t>2</t>
    </r>
    <r>
      <rPr>
        <sz val="10"/>
        <color indexed="8"/>
        <rFont val="宋体"/>
        <family val="3"/>
        <charset val="134"/>
      </rPr>
      <t>0210601--20240531</t>
    </r>
  </si>
  <si>
    <r>
      <rPr>
        <sz val="11"/>
        <color theme="1"/>
        <rFont val="宋体"/>
        <family val="3"/>
        <charset val="134"/>
        <scheme val="minor"/>
      </rPr>
      <t>2</t>
    </r>
    <r>
      <rPr>
        <sz val="11"/>
        <color theme="1"/>
        <rFont val="宋体"/>
        <family val="3"/>
        <charset val="134"/>
        <scheme val="minor"/>
      </rPr>
      <t>0210524</t>
    </r>
  </si>
  <si>
    <t>穆京京</t>
  </si>
  <si>
    <t>309</t>
  </si>
  <si>
    <t>20220315--20250314</t>
  </si>
  <si>
    <t>20220314</t>
  </si>
  <si>
    <t>张莉</t>
  </si>
  <si>
    <r>
      <rPr>
        <sz val="10"/>
        <color indexed="8"/>
        <rFont val="宋体"/>
        <family val="3"/>
        <charset val="134"/>
      </rPr>
      <t>3</t>
    </r>
    <r>
      <rPr>
        <sz val="10"/>
        <color indexed="8"/>
        <rFont val="宋体"/>
        <family val="3"/>
        <charset val="134"/>
      </rPr>
      <t>10</t>
    </r>
  </si>
  <si>
    <t>20210828--20240827</t>
  </si>
  <si>
    <t>20210823</t>
  </si>
  <si>
    <t>李薇薇</t>
  </si>
  <si>
    <r>
      <rPr>
        <sz val="10"/>
        <color indexed="8"/>
        <rFont val="宋体"/>
        <family val="3"/>
        <charset val="134"/>
      </rPr>
      <t>3</t>
    </r>
    <r>
      <rPr>
        <sz val="10"/>
        <color indexed="8"/>
        <rFont val="宋体"/>
        <family val="3"/>
        <charset val="134"/>
      </rPr>
      <t>08/313</t>
    </r>
  </si>
  <si>
    <r>
      <rPr>
        <sz val="10"/>
        <color indexed="8"/>
        <rFont val="宋体"/>
        <family val="3"/>
        <charset val="134"/>
      </rPr>
      <t>2</t>
    </r>
    <r>
      <rPr>
        <sz val="10"/>
        <color indexed="8"/>
        <rFont val="宋体"/>
        <family val="3"/>
        <charset val="134"/>
      </rPr>
      <t>0180821--20220820</t>
    </r>
  </si>
  <si>
    <r>
      <rPr>
        <sz val="11"/>
        <color theme="1"/>
        <rFont val="宋体"/>
        <family val="3"/>
        <charset val="134"/>
        <scheme val="minor"/>
      </rPr>
      <t>2</t>
    </r>
    <r>
      <rPr>
        <sz val="11"/>
        <color indexed="8"/>
        <rFont val="宋体"/>
        <family val="3"/>
        <charset val="134"/>
      </rPr>
      <t>0180821</t>
    </r>
  </si>
  <si>
    <t>陈静</t>
  </si>
  <si>
    <t>306/315/316/317/360</t>
  </si>
  <si>
    <r>
      <rPr>
        <sz val="10"/>
        <color indexed="8"/>
        <rFont val="宋体"/>
        <family val="3"/>
        <charset val="134"/>
      </rPr>
      <t>2</t>
    </r>
    <r>
      <rPr>
        <sz val="10"/>
        <color indexed="8"/>
        <rFont val="宋体"/>
        <family val="3"/>
        <charset val="134"/>
      </rPr>
      <t>0210501--20260430</t>
    </r>
  </si>
  <si>
    <r>
      <rPr>
        <sz val="11"/>
        <color theme="1"/>
        <rFont val="宋体"/>
        <family val="3"/>
        <charset val="134"/>
        <scheme val="minor"/>
      </rPr>
      <t>2</t>
    </r>
    <r>
      <rPr>
        <sz val="11"/>
        <color theme="1"/>
        <rFont val="宋体"/>
        <family val="3"/>
        <charset val="134"/>
        <scheme val="minor"/>
      </rPr>
      <t>0210317</t>
    </r>
  </si>
  <si>
    <t>苑晖</t>
  </si>
  <si>
    <r>
      <rPr>
        <sz val="10"/>
        <color indexed="8"/>
        <rFont val="宋体"/>
        <family val="3"/>
        <charset val="134"/>
      </rPr>
      <t>3</t>
    </r>
    <r>
      <rPr>
        <sz val="10"/>
        <color indexed="8"/>
        <rFont val="宋体"/>
        <family val="3"/>
        <charset val="134"/>
      </rPr>
      <t>18</t>
    </r>
  </si>
  <si>
    <t>20210416--20260415</t>
  </si>
  <si>
    <t>20210312</t>
  </si>
  <si>
    <t>北京猫咪新语宠物服务有限公司</t>
  </si>
  <si>
    <t>319</t>
  </si>
  <si>
    <t>20201021--20231020</t>
  </si>
  <si>
    <t>20201015</t>
  </si>
  <si>
    <t>韩文燕</t>
  </si>
  <si>
    <r>
      <rPr>
        <sz val="10"/>
        <color indexed="8"/>
        <rFont val="宋体"/>
        <family val="3"/>
        <charset val="134"/>
      </rPr>
      <t>3</t>
    </r>
    <r>
      <rPr>
        <sz val="10"/>
        <color indexed="8"/>
        <rFont val="宋体"/>
        <family val="3"/>
        <charset val="134"/>
      </rPr>
      <t>20/321</t>
    </r>
  </si>
  <si>
    <t>20210118--20240117</t>
  </si>
  <si>
    <t>宠物</t>
  </si>
  <si>
    <r>
      <rPr>
        <sz val="11"/>
        <color theme="1"/>
        <rFont val="宋体"/>
        <family val="3"/>
        <charset val="134"/>
        <scheme val="minor"/>
      </rPr>
      <t>2</t>
    </r>
    <r>
      <rPr>
        <sz val="11"/>
        <color theme="1"/>
        <rFont val="宋体"/>
        <family val="3"/>
        <charset val="134"/>
        <scheme val="minor"/>
      </rPr>
      <t>0210115</t>
    </r>
  </si>
  <si>
    <t>郭燕超</t>
  </si>
  <si>
    <t>322/323</t>
  </si>
  <si>
    <t>20210512--20240511</t>
  </si>
  <si>
    <t>宠物、鸟食及鸟具</t>
  </si>
  <si>
    <t>20210512</t>
  </si>
  <si>
    <t>赵军</t>
  </si>
  <si>
    <t>325/326/327/328</t>
  </si>
  <si>
    <t>20210322--20240321</t>
  </si>
  <si>
    <t>何建新</t>
  </si>
  <si>
    <r>
      <rPr>
        <sz val="10"/>
        <color indexed="8"/>
        <rFont val="宋体"/>
        <family val="3"/>
        <charset val="134"/>
      </rPr>
      <t>3</t>
    </r>
    <r>
      <rPr>
        <sz val="10"/>
        <color indexed="8"/>
        <rFont val="宋体"/>
        <family val="3"/>
        <charset val="134"/>
      </rPr>
      <t>29/330</t>
    </r>
  </si>
  <si>
    <t>于照蒙</t>
  </si>
  <si>
    <t>331</t>
  </si>
  <si>
    <t>20210416--20240415</t>
  </si>
  <si>
    <t>20210401</t>
  </si>
  <si>
    <t>王雨</t>
  </si>
  <si>
    <r>
      <rPr>
        <sz val="10"/>
        <color indexed="8"/>
        <rFont val="宋体"/>
        <family val="3"/>
        <charset val="134"/>
      </rPr>
      <t>3</t>
    </r>
    <r>
      <rPr>
        <sz val="10"/>
        <color indexed="8"/>
        <rFont val="宋体"/>
        <family val="3"/>
        <charset val="134"/>
      </rPr>
      <t>32</t>
    </r>
  </si>
  <si>
    <t>20210413--20240412</t>
  </si>
  <si>
    <t>20210402</t>
  </si>
  <si>
    <t>兰超、桥娜爱宠（北京）商贸有限公司（郑光桥担保）</t>
  </si>
  <si>
    <t>333/335/336</t>
  </si>
  <si>
    <t>20190405--20230404</t>
  </si>
  <si>
    <t>20190402</t>
  </si>
  <si>
    <t>北京张燕商贸有限公司</t>
  </si>
  <si>
    <r>
      <rPr>
        <sz val="10"/>
        <color indexed="8"/>
        <rFont val="宋体"/>
        <family val="3"/>
        <charset val="134"/>
      </rPr>
      <t>3</t>
    </r>
    <r>
      <rPr>
        <sz val="10"/>
        <color indexed="8"/>
        <rFont val="宋体"/>
        <family val="3"/>
        <charset val="134"/>
      </rPr>
      <t>40/341</t>
    </r>
  </si>
  <si>
    <r>
      <rPr>
        <sz val="10"/>
        <color indexed="8"/>
        <rFont val="宋体"/>
        <family val="3"/>
        <charset val="134"/>
      </rPr>
      <t>2</t>
    </r>
    <r>
      <rPr>
        <sz val="10"/>
        <color indexed="8"/>
        <rFont val="宋体"/>
        <family val="3"/>
        <charset val="134"/>
      </rPr>
      <t>0220112--20250111</t>
    </r>
  </si>
  <si>
    <t>337/338/339/342/343/345</t>
  </si>
  <si>
    <t>20200521--20250520</t>
  </si>
  <si>
    <t>20200421</t>
  </si>
  <si>
    <t>李琳</t>
  </si>
  <si>
    <r>
      <rPr>
        <sz val="10"/>
        <color indexed="8"/>
        <rFont val="宋体"/>
        <family val="3"/>
        <charset val="134"/>
      </rPr>
      <t>3</t>
    </r>
    <r>
      <rPr>
        <sz val="10"/>
        <color indexed="8"/>
        <rFont val="宋体"/>
        <family val="3"/>
        <charset val="134"/>
      </rPr>
      <t>46</t>
    </r>
  </si>
  <si>
    <t>20220924--20270923</t>
  </si>
  <si>
    <t>20220620</t>
  </si>
  <si>
    <r>
      <rPr>
        <sz val="10"/>
        <color indexed="8"/>
        <rFont val="宋体"/>
        <family val="3"/>
        <charset val="134"/>
      </rPr>
      <t>2</t>
    </r>
    <r>
      <rPr>
        <sz val="10"/>
        <color indexed="8"/>
        <rFont val="宋体"/>
        <family val="3"/>
        <charset val="134"/>
      </rPr>
      <t>0170924--20220923</t>
    </r>
  </si>
  <si>
    <t>20170918</t>
  </si>
  <si>
    <t>黄陈杰（黄展）</t>
  </si>
  <si>
    <r>
      <rPr>
        <sz val="10"/>
        <color indexed="8"/>
        <rFont val="宋体"/>
        <family val="3"/>
        <charset val="134"/>
      </rPr>
      <t>3</t>
    </r>
    <r>
      <rPr>
        <sz val="10"/>
        <color indexed="8"/>
        <rFont val="宋体"/>
        <family val="3"/>
        <charset val="134"/>
      </rPr>
      <t>47</t>
    </r>
  </si>
  <si>
    <r>
      <rPr>
        <sz val="10"/>
        <color indexed="8"/>
        <rFont val="宋体"/>
        <family val="3"/>
        <charset val="134"/>
      </rPr>
      <t>2</t>
    </r>
    <r>
      <rPr>
        <sz val="10"/>
        <color indexed="8"/>
        <rFont val="宋体"/>
        <family val="3"/>
        <charset val="134"/>
      </rPr>
      <t>0190315--20220909</t>
    </r>
  </si>
  <si>
    <t>20190315</t>
  </si>
  <si>
    <t>杨曦</t>
  </si>
  <si>
    <r>
      <rPr>
        <sz val="10"/>
        <color indexed="8"/>
        <rFont val="宋体"/>
        <family val="3"/>
        <charset val="134"/>
      </rPr>
      <t>3</t>
    </r>
    <r>
      <rPr>
        <sz val="10"/>
        <color indexed="8"/>
        <rFont val="宋体"/>
        <family val="3"/>
        <charset val="134"/>
      </rPr>
      <t>48</t>
    </r>
  </si>
  <si>
    <r>
      <rPr>
        <sz val="10"/>
        <color indexed="8"/>
        <rFont val="宋体"/>
        <family val="3"/>
        <charset val="134"/>
      </rPr>
      <t>2</t>
    </r>
    <r>
      <rPr>
        <sz val="10"/>
        <color indexed="8"/>
        <rFont val="宋体"/>
        <family val="3"/>
        <charset val="134"/>
      </rPr>
      <t>0210108--20240107</t>
    </r>
  </si>
  <si>
    <r>
      <rPr>
        <sz val="11"/>
        <color theme="1"/>
        <rFont val="宋体"/>
        <family val="3"/>
        <charset val="134"/>
        <scheme val="minor"/>
      </rPr>
      <t>2</t>
    </r>
    <r>
      <rPr>
        <sz val="11"/>
        <color theme="1"/>
        <rFont val="宋体"/>
        <family val="3"/>
        <charset val="134"/>
        <scheme val="minor"/>
      </rPr>
      <t>0210108</t>
    </r>
  </si>
  <si>
    <t>付阳</t>
  </si>
  <si>
    <t>349</t>
  </si>
  <si>
    <t>20210506--20240505</t>
  </si>
  <si>
    <t>20210421</t>
  </si>
  <si>
    <t>北京睿博泰宠物用品有限公司</t>
  </si>
  <si>
    <t>350</t>
  </si>
  <si>
    <t>20201231--20231230</t>
  </si>
  <si>
    <t>20201221</t>
  </si>
  <si>
    <t>北京鼎鑫盛达科技中心</t>
  </si>
  <si>
    <r>
      <rPr>
        <sz val="10"/>
        <color indexed="8"/>
        <rFont val="宋体"/>
        <family val="3"/>
        <charset val="134"/>
      </rPr>
      <t>5</t>
    </r>
    <r>
      <rPr>
        <sz val="10"/>
        <color indexed="8"/>
        <rFont val="宋体"/>
        <family val="3"/>
        <charset val="134"/>
      </rPr>
      <t>87</t>
    </r>
  </si>
  <si>
    <t>20210920--20220919</t>
  </si>
  <si>
    <t>五金用品</t>
  </si>
  <si>
    <t>20210915</t>
  </si>
  <si>
    <t>库房</t>
  </si>
  <si>
    <t>BK1</t>
  </si>
  <si>
    <t>20220415--20230414</t>
  </si>
  <si>
    <t>20220413</t>
  </si>
  <si>
    <t>张岩</t>
  </si>
  <si>
    <t>BK2</t>
  </si>
  <si>
    <t>20211125--20221124</t>
  </si>
  <si>
    <t>20211125</t>
  </si>
  <si>
    <t>BK3</t>
  </si>
  <si>
    <t>20220428--20230427</t>
  </si>
  <si>
    <t>20220426</t>
  </si>
  <si>
    <t>郭伟超</t>
  </si>
  <si>
    <t>BK5</t>
  </si>
  <si>
    <r>
      <rPr>
        <sz val="10"/>
        <color indexed="8"/>
        <rFont val="宋体"/>
        <family val="3"/>
        <charset val="134"/>
      </rPr>
      <t>2</t>
    </r>
    <r>
      <rPr>
        <sz val="10"/>
        <color indexed="8"/>
        <rFont val="宋体"/>
        <family val="3"/>
        <charset val="134"/>
      </rPr>
      <t>0220112--20230111</t>
    </r>
  </si>
  <si>
    <t>魏立全</t>
  </si>
  <si>
    <r>
      <rPr>
        <sz val="10"/>
        <color indexed="8"/>
        <rFont val="宋体"/>
        <family val="3"/>
        <charset val="134"/>
      </rPr>
      <t>B</t>
    </r>
    <r>
      <rPr>
        <sz val="10"/>
        <color indexed="8"/>
        <rFont val="宋体"/>
        <family val="3"/>
        <charset val="134"/>
      </rPr>
      <t>K6</t>
    </r>
  </si>
  <si>
    <r>
      <rPr>
        <sz val="10"/>
        <color indexed="8"/>
        <rFont val="宋体"/>
        <family val="3"/>
        <charset val="134"/>
      </rPr>
      <t>2</t>
    </r>
    <r>
      <rPr>
        <sz val="10"/>
        <color indexed="8"/>
        <rFont val="宋体"/>
        <family val="3"/>
        <charset val="134"/>
      </rPr>
      <t>0191201--20230609</t>
    </r>
  </si>
  <si>
    <r>
      <rPr>
        <sz val="11"/>
        <color theme="1"/>
        <rFont val="宋体"/>
        <family val="3"/>
        <charset val="134"/>
        <scheme val="minor"/>
      </rPr>
      <t>2</t>
    </r>
    <r>
      <rPr>
        <sz val="11"/>
        <color indexed="8"/>
        <rFont val="宋体"/>
        <family val="3"/>
        <charset val="134"/>
      </rPr>
      <t>0191028</t>
    </r>
  </si>
  <si>
    <t>刘珍龙</t>
  </si>
  <si>
    <r>
      <rPr>
        <sz val="10"/>
        <color indexed="8"/>
        <rFont val="宋体"/>
        <family val="3"/>
        <charset val="134"/>
      </rPr>
      <t>B</t>
    </r>
    <r>
      <rPr>
        <sz val="10"/>
        <color indexed="8"/>
        <rFont val="宋体"/>
        <family val="3"/>
        <charset val="134"/>
      </rPr>
      <t>K7</t>
    </r>
  </si>
  <si>
    <t>20211213--20221212</t>
  </si>
  <si>
    <t>20211210</t>
  </si>
  <si>
    <r>
      <rPr>
        <sz val="10"/>
        <color indexed="8"/>
        <rFont val="宋体"/>
        <family val="3"/>
        <charset val="134"/>
      </rPr>
      <t>B</t>
    </r>
    <r>
      <rPr>
        <sz val="10"/>
        <color indexed="8"/>
        <rFont val="宋体"/>
        <family val="3"/>
        <charset val="134"/>
      </rPr>
      <t>K8</t>
    </r>
  </si>
  <si>
    <t>BK8-1</t>
  </si>
  <si>
    <t>20210729--20220728</t>
  </si>
  <si>
    <t>20210723</t>
  </si>
  <si>
    <r>
      <rPr>
        <sz val="10"/>
        <color indexed="8"/>
        <rFont val="宋体"/>
        <family val="3"/>
        <charset val="134"/>
      </rPr>
      <t>A</t>
    </r>
    <r>
      <rPr>
        <sz val="10"/>
        <color indexed="8"/>
        <rFont val="宋体"/>
        <family val="3"/>
        <charset val="134"/>
      </rPr>
      <t>28/</t>
    </r>
    <r>
      <rPr>
        <sz val="10"/>
        <color indexed="8"/>
        <rFont val="宋体"/>
        <family val="3"/>
        <charset val="134"/>
      </rPr>
      <t>A29</t>
    </r>
  </si>
  <si>
    <t>库房小计</t>
  </si>
  <si>
    <t>停车场</t>
  </si>
  <si>
    <t>北京舞研艺美教育咨询有限公司</t>
  </si>
  <si>
    <t>20220516--20230515</t>
  </si>
  <si>
    <t>停车位</t>
  </si>
  <si>
    <t>20220516</t>
  </si>
  <si>
    <t>北京优爱睿途教育咨询有限公司</t>
  </si>
  <si>
    <t>20220220--20230219</t>
  </si>
  <si>
    <t>20220216</t>
  </si>
  <si>
    <t>蔡春生</t>
  </si>
  <si>
    <t>20210919--20220918</t>
  </si>
  <si>
    <t>20210918</t>
  </si>
  <si>
    <t>必胜客</t>
  </si>
  <si>
    <t>20151001--20251231</t>
  </si>
  <si>
    <r>
      <rPr>
        <sz val="11"/>
        <color theme="1"/>
        <rFont val="宋体"/>
        <family val="3"/>
        <charset val="134"/>
        <scheme val="minor"/>
      </rPr>
      <t>1</t>
    </r>
    <r>
      <rPr>
        <sz val="11"/>
        <color indexed="8"/>
        <rFont val="宋体"/>
        <family val="3"/>
        <charset val="134"/>
      </rPr>
      <t>0年3个月</t>
    </r>
  </si>
  <si>
    <r>
      <rPr>
        <sz val="11"/>
        <color theme="1"/>
        <rFont val="宋体"/>
        <family val="3"/>
        <charset val="134"/>
        <scheme val="minor"/>
      </rPr>
      <t>2</t>
    </r>
    <r>
      <rPr>
        <sz val="11"/>
        <color indexed="8"/>
        <rFont val="宋体"/>
        <family val="3"/>
        <charset val="134"/>
      </rPr>
      <t>0160420</t>
    </r>
  </si>
  <si>
    <t>华夏银行</t>
  </si>
  <si>
    <t>15</t>
  </si>
  <si>
    <t>20151101--20210430</t>
  </si>
  <si>
    <t>散户</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</si>
  <si>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</si>
  <si>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</si>
  <si>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</si>
  <si>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</si>
  <si>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</si>
  <si>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</si>
  <si>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</si>
  <si>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</si>
  <si>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</si>
  <si>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</si>
  <si>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</si>
  <si>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</si>
  <si>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</si>
  <si>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</si>
  <si>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</si>
  <si>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</si>
  <si>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</si>
  <si>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</si>
  <si>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</si>
  <si>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</si>
  <si>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</si>
  <si>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</si>
  <si>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</si>
  <si>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</si>
  <si>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</si>
  <si>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</si>
  <si>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</si>
  <si>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</si>
  <si>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</si>
  <si>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</si>
  <si>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</si>
  <si>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</si>
  <si>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</si>
  <si>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</si>
  <si>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</si>
  <si>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</si>
  <si>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</si>
  <si>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</si>
  <si>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</si>
  <si>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</si>
  <si>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</si>
  <si>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</si>
  <si>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</si>
  <si>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</si>
  <si>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</si>
  <si>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</si>
  <si>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</si>
  <si>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</si>
  <si>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</si>
  <si>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</si>
  <si>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</si>
  <si>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</si>
  <si>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</si>
  <si>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</si>
  <si>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</si>
  <si>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</si>
  <si>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</si>
  <si>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</si>
  <si>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</si>
  <si>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</si>
  <si>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</si>
  <si>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</si>
  <si>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</si>
  <si>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</si>
  <si>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</si>
  <si>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</si>
  <si>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</si>
  <si>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</si>
  <si>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</si>
  <si>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</si>
  <si>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</si>
  <si>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</si>
  <si>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</si>
  <si>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</si>
  <si>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</si>
  <si>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</si>
  <si>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</si>
  <si>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</si>
  <si>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</si>
  <si>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</si>
  <si>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</si>
  <si>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</si>
  <si>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</si>
  <si>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</si>
  <si>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</si>
  <si>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</si>
  <si>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</si>
  <si>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</si>
  <si>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</si>
  <si>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</si>
  <si>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</si>
  <si>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</si>
  <si>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</si>
  <si>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</si>
  <si>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</si>
  <si>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</si>
  <si>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</si>
  <si>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</si>
  <si>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</si>
  <si>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</si>
  <si>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</si>
  <si>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</si>
  <si>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</si>
  <si>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</si>
  <si>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</si>
  <si>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</si>
  <si>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</si>
  <si>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</si>
  <si>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</si>
  <si>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</si>
  <si>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</si>
  <si>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</si>
  <si>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</si>
  <si>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</si>
  <si>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</si>
  <si>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</si>
  <si>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</si>
  <si>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</si>
  <si>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</si>
  <si>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</si>
  <si>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</si>
  <si>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</si>
  <si>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</si>
  <si>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</si>
  <si>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</si>
  <si>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</si>
  <si>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</si>
  <si>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</si>
  <si>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</si>
  <si>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</si>
  <si>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</si>
  <si>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</si>
  <si>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</si>
  <si>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</si>
  <si>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</si>
  <si>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</si>
  <si>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</si>
  <si>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</si>
  <si>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</si>
  <si>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</si>
  <si>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</si>
  <si>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</si>
  <si>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</si>
  <si>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</si>
  <si>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</si>
  <si>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</si>
  <si>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</si>
  <si>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</si>
  <si>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</si>
  <si>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</si>
  <si>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</si>
  <si>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</si>
  <si>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</si>
  <si>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</si>
  <si>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</si>
  <si>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</si>
  <si>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</si>
  <si>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</si>
  <si>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</si>
  <si>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</si>
  <si>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</si>
  <si>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</si>
  <si>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</si>
  <si>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</si>
  <si>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</si>
  <si>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</si>
  <si>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</si>
  <si>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</si>
  <si>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</si>
  <si>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</si>
  <si>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</si>
  <si>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</si>
  <si>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</si>
  <si>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</si>
  <si>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</si>
  <si>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</si>
  <si>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</si>
  <si>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</si>
  <si>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</si>
  <si>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</si>
  <si>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</si>
  <si>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</si>
  <si>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</si>
  <si>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</si>
  <si>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</si>
  <si>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</si>
  <si>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</si>
  <si>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</si>
  <si>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</si>
  <si>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</si>
  <si>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</si>
  <si>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</si>
  <si>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</si>
  <si>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</si>
  <si>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</si>
  <si>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</si>
  <si>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</si>
  <si>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</si>
  <si>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</si>
  <si>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</si>
  <si>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</si>
  <si>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</si>
  <si>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</si>
  <si>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</si>
  <si>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</si>
  <si>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</si>
  <si>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</si>
  <si>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</si>
  <si>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</si>
  <si>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</si>
  <si>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</si>
  <si>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</si>
  <si>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</si>
  <si>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</si>
  <si>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</si>
  <si>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</si>
  <si>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</si>
  <si>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</si>
  <si>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</si>
  <si>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</si>
  <si>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</si>
  <si>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</si>
  <si>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</si>
  <si>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</si>
  <si>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</si>
  <si>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</si>
  <si>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</si>
  <si>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</si>
  <si>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</si>
  <si>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</si>
  <si>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</si>
  <si>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</si>
  <si>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</si>
  <si>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</si>
  <si>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</si>
  <si>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</si>
  <si>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</si>
  <si>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</si>
  <si>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</si>
  <si>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</si>
  <si>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</si>
  <si>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</si>
  <si>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</si>
  <si>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</si>
  <si>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</si>
  <si>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</si>
  <si>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</si>
  <si>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</si>
  <si>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</si>
  <si>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</si>
  <si>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</si>
  <si>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</si>
  <si>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</si>
  <si>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</si>
  <si>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</si>
  <si>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</si>
  <si>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</si>
  <si>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</si>
  <si>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</si>
  <si>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</si>
  <si>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</si>
  <si>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</si>
  <si>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</si>
  <si>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</si>
  <si>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</si>
  <si>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</si>
  <si>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</si>
  <si>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</si>
  <si>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</si>
  <si>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</si>
  <si>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</si>
  <si>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</si>
  <si>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</si>
  <si>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</si>
  <si>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</si>
  <si>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</si>
  <si>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</si>
  <si>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</si>
  <si>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</si>
  <si>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</si>
  <si>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</si>
  <si>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</si>
  <si>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</si>
  <si>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</si>
  <si>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</si>
  <si>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</si>
  <si>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</si>
  <si>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</si>
  <si>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</si>
  <si>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</si>
  <si>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</si>
  <si>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</si>
  <si>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</si>
  <si>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</si>
  <si>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</si>
  <si>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</si>
  <si>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</si>
  <si>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</si>
  <si>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</si>
  <si>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</si>
  <si>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</si>
  <si>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</si>
  <si>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</si>
  <si>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</si>
  <si>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</si>
  <si>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</si>
  <si>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</si>
  <si>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</si>
  <si>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</si>
  <si>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</si>
  <si>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</si>
  <si>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</si>
  <si>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</si>
  <si>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</si>
  <si>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</si>
  <si>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</si>
  <si>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</si>
  <si>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</si>
  <si>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</si>
  <si>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</si>
  <si>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</si>
  <si>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</si>
  <si>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</si>
  <si>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</si>
  <si>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</si>
  <si>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</si>
  <si>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</si>
  <si>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</si>
  <si>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</si>
  <si>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</si>
  <si>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</si>
  <si>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</si>
  <si>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</si>
  <si>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</si>
  <si>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</si>
  <si>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</si>
  <si>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</si>
  <si>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</si>
  <si>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</si>
  <si>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</si>
  <si>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</si>
  <si>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</si>
  <si>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</si>
  <si>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</si>
  <si>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</si>
  <si>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</si>
  <si>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</si>
  <si>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</si>
  <si>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</si>
  <si>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</si>
  <si>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</si>
  <si>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</si>
  <si>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</si>
  <si>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</si>
  <si>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</si>
  <si>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</si>
  <si>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</si>
  <si>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</si>
  <si>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</si>
  <si>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</si>
  <si>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</si>
  <si>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</si>
  <si>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</si>
  <si>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</si>
  <si>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</si>
  <si>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</si>
  <si>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</si>
  <si>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</si>
  <si>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</si>
  <si>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</si>
  <si>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</si>
  <si>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</si>
  <si>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</si>
  <si>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</si>
  <si>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</si>
  <si>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</si>
  <si>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</si>
  <si>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</si>
  <si>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</si>
  <si>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</si>
  <si>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</si>
  <si>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</si>
  <si>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</si>
  <si>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</si>
  <si>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</si>
  <si>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</si>
  <si>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</si>
  <si>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</si>
  <si>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</si>
  <si>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</si>
  <si>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</si>
  <si>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</si>
  <si>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</si>
  <si>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</si>
  <si>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</si>
  <si>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</si>
  <si>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</si>
  <si>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</si>
  <si>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</si>
  <si>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</si>
  <si>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</si>
  <si>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</si>
  <si>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</si>
  <si>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</si>
  <si>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</si>
  <si>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</si>
  <si>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</si>
  <si>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</si>
  <si>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</si>
  <si>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</si>
  <si>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</si>
  <si>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</si>
  <si>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</si>
  <si>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</si>
  <si>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</si>
  <si>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</si>
  <si>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</si>
  <si>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</si>
  <si>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</si>
  <si>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</si>
  <si>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</si>
  <si>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</si>
  <si>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</si>
  <si>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</si>
  <si>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</si>
  <si>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</si>
  <si>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</si>
  <si>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</si>
  <si>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</si>
  <si>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</si>
  <si>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</si>
  <si>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</si>
  <si>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</si>
  <si>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</si>
  <si>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</si>
  <si>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</si>
  <si>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</si>
  <si>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</si>
  <si>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</si>
  <si>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</si>
  <si>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</si>
  <si>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</si>
  <si>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</si>
  <si>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</si>
  <si>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</si>
  <si>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</si>
  <si>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</si>
  <si>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</si>
  <si>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</si>
  <si>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</si>
  <si>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</si>
  <si>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</si>
  <si>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</si>
  <si>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</si>
  <si>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</si>
  <si>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</si>
  <si>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</si>
  <si>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</si>
  <si>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</si>
  <si>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</si>
  <si>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</si>
  <si>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</si>
  <si>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</si>
  <si>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</si>
  <si>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</si>
  <si>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</si>
  <si>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</si>
  <si>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</si>
  <si>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</si>
  <si>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</si>
  <si>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</si>
  <si>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</si>
  <si>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</si>
  <si>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</si>
  <si>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</si>
  <si>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</si>
  <si>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</si>
  <si>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</si>
  <si>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</si>
  <si>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</si>
  <si>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</si>
  <si>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</si>
  <si>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</si>
  <si>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</si>
  <si>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</si>
  <si>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</si>
  <si>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</si>
  <si>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</si>
  <si>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</si>
  <si>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</si>
  <si>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</si>
  <si>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</si>
  <si>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</si>
  <si>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</si>
  <si>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</si>
  <si>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</si>
  <si>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</si>
  <si>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</si>
  <si>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</si>
  <si>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</si>
  <si>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</si>
  <si>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</si>
  <si>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</si>
  <si>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</si>
  <si>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</si>
  <si>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</si>
  <si>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</si>
  <si>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</si>
  <si>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</si>
  <si>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</si>
  <si>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</si>
  <si>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</si>
  <si>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</si>
  <si>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</si>
  <si>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</si>
  <si>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</si>
  <si>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</si>
  <si>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</si>
  <si>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</si>
  <si>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</si>
  <si>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</si>
  <si>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</si>
  <si>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</si>
  <si>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</si>
  <si>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</si>
  <si>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</si>
  <si>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</si>
  <si>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</si>
  <si>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</si>
  <si>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</si>
  <si>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</si>
  <si>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</si>
  <si>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</si>
  <si>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</si>
  <si>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</si>
  <si>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</si>
  <si>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</si>
  <si>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</si>
  <si>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</si>
  <si>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</si>
  <si>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</si>
  <si>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</si>
  <si>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</si>
  <si>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</si>
  <si>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</si>
  <si>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</si>
  <si>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</si>
  <si>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</si>
  <si>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</si>
  <si>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</si>
  <si>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</si>
  <si>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</si>
  <si>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</si>
  <si>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</si>
  <si>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</si>
  <si>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</si>
  <si>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</si>
  <si>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</si>
  <si>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</si>
  <si>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</si>
  <si>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</si>
  <si>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</si>
  <si>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</si>
  <si>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</si>
  <si>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</si>
  <si>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</si>
  <si>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</si>
  <si>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</si>
  <si>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</si>
  <si>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</si>
  <si>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</si>
  <si>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</si>
  <si>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</si>
  <si>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</si>
  <si>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</si>
  <si>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</si>
  <si>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</si>
  <si>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</si>
  <si>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</si>
  <si>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</si>
  <si>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</si>
  <si>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</si>
  <si>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</si>
  <si>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</si>
  <si>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</si>
  <si>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</si>
  <si>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</si>
  <si>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</si>
  <si>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</si>
  <si>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</si>
  <si>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</si>
  <si>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</si>
  <si>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</si>
  <si>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</si>
  <si>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</si>
  <si>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</si>
  <si>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</si>
  <si>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</si>
  <si>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</si>
  <si>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</si>
  <si>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</si>
  <si>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</si>
  <si>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</si>
  <si>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</si>
  <si>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</si>
  <si>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</si>
  <si>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</si>
  <si>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</si>
  <si>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</si>
  <si>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</si>
  <si>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</si>
  <si>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</si>
  <si>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</si>
  <si>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</si>
  <si>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</si>
  <si>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</si>
  <si>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</si>
  <si>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</si>
  <si>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</si>
  <si>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</si>
  <si>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</si>
  <si>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</si>
  <si>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</si>
  <si>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</si>
  <si>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</si>
  <si>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</si>
  <si>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</si>
  <si>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</si>
  <si>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</si>
  <si>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</si>
  <si>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</si>
  <si>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</si>
  <si>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</si>
  <si>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</si>
  <si>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</si>
  <si>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</si>
  <si>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</si>
  <si>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</si>
  <si>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</si>
  <si>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</si>
  <si>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</si>
  <si>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</si>
  <si>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</si>
  <si>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</si>
  <si>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</si>
  <si>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</si>
  <si>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</si>
  <si>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</si>
  <si>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</si>
  <si>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</si>
  <si>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</si>
  <si>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</si>
  <si>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</si>
  <si>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</si>
  <si>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</si>
  <si>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</si>
  <si>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</si>
  <si>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</si>
  <si>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</si>
  <si>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</si>
  <si>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</si>
  <si>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</si>
  <si>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</si>
  <si>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</si>
  <si>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</si>
  <si>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</si>
  <si>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</si>
  <si>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</si>
  <si>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</si>
  <si>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</si>
  <si>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</si>
  <si>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</si>
  <si>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</si>
  <si>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</si>
  <si>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</si>
  <si>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</si>
  <si>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</si>
  <si>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</si>
  <si>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</si>
  <si>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</si>
  <si>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</si>
  <si>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</si>
  <si>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</si>
  <si>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</si>
  <si>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</si>
  <si>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</si>
  <si>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</si>
  <si>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</si>
  <si>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</si>
  <si>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</si>
  <si>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</si>
  <si>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</si>
  <si>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</si>
  <si>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</si>
  <si>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</si>
  <si>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</si>
  <si>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</si>
  <si>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</si>
  <si>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</si>
  <si>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</si>
  <si>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</si>
  <si>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</si>
  <si>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</si>
  <si>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</si>
  <si>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</si>
  <si>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</si>
  <si>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</si>
  <si>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</si>
  <si>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</si>
  <si>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</si>
  <si>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</si>
  <si>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</si>
  <si>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</si>
  <si>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</si>
  <si>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</si>
  <si>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</si>
  <si>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</si>
  <si>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</si>
  <si>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</si>
  <si>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</si>
  <si>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</si>
  <si>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</si>
  <si>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</si>
  <si>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</si>
  <si>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</si>
  <si>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</si>
  <si>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</si>
  <si>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</si>
  <si>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</si>
  <si>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</si>
  <si>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</si>
  <si>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</si>
  <si>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</si>
  <si>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</si>
  <si>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</si>
  <si>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</si>
  <si>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</si>
  <si>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</si>
  <si>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</si>
  <si>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</si>
  <si>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</si>
  <si>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</si>
  <si>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</si>
  <si>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</si>
  <si>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</si>
  <si>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</si>
  <si>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</si>
  <si>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</si>
  <si>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</si>
  <si>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</si>
  <si>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</si>
  <si>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</si>
  <si>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</si>
  <si>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</si>
  <si>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</si>
  <si>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</si>
  <si>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</si>
  <si>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</si>
  <si>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</si>
  <si>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</si>
  <si>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</si>
  <si>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</si>
  <si>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</si>
  <si>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</si>
  <si>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</si>
  <si>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</si>
  <si>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</si>
  <si>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</si>
  <si>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</si>
  <si>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</si>
  <si>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</si>
  <si>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</si>
  <si>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</si>
  <si>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</si>
  <si>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</si>
  <si>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</si>
  <si>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</si>
  <si>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</si>
  <si>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</si>
  <si>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</si>
  <si>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</si>
  <si>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</si>
  <si>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</si>
  <si>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</si>
  <si>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</si>
  <si>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</si>
  <si>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</si>
  <si>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</si>
  <si>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</si>
  <si>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</si>
  <si>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</si>
  <si>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</si>
  <si>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</si>
  <si>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</si>
  <si>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</si>
  <si>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</si>
  <si>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</si>
  <si>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</si>
  <si>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</si>
  <si>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</si>
  <si>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</si>
  <si>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</si>
  <si>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</si>
  <si>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</si>
  <si>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</si>
  <si>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</si>
  <si>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</si>
  <si>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</si>
  <si>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</si>
  <si>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</si>
  <si>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</si>
  <si>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</si>
  <si>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</si>
  <si>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</si>
  <si>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</si>
  <si>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</si>
  <si>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</si>
  <si>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</si>
  <si>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</si>
  <si>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</si>
  <si>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</si>
  <si>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</si>
  <si>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</si>
  <si>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</si>
  <si>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</si>
  <si>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</si>
  <si>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</si>
  <si>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</si>
  <si>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</si>
  <si>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</si>
  <si>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</si>
  <si>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</si>
  <si>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</si>
  <si>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</si>
  <si>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</si>
  <si>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</si>
  <si>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</si>
  <si>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</si>
  <si>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</si>
  <si>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</si>
  <si>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</si>
  <si>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</si>
  <si>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</si>
  <si>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</si>
  <si>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</si>
  <si>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</si>
  <si>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</si>
  <si>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</si>
  <si>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</si>
  <si>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</si>
  <si>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</si>
  <si>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</si>
  <si>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</si>
  <si>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</si>
  <si>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</si>
  <si>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</si>
  <si>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</si>
  <si>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</si>
  <si>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</si>
  <si>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</si>
  <si>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</si>
  <si>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</si>
  <si>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</si>
  <si>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</si>
  <si>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</si>
  <si>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</si>
  <si>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</si>
  <si>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</si>
  <si>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</si>
  <si>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</si>
  <si>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</si>
  <si>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</si>
  <si>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</si>
  <si>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</si>
  <si>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</si>
  <si>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</si>
  <si>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</si>
  <si>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</si>
  <si>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</si>
  <si>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</si>
  <si>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</si>
  <si>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</si>
  <si>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</si>
  <si>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</si>
  <si>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</si>
  <si>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</si>
  <si>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</si>
  <si>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</si>
  <si>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</si>
  <si>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</si>
  <si>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</si>
  <si>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</si>
  <si>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</si>
  <si>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</si>
  <si>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</si>
  <si>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</si>
  <si>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</si>
  <si>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</si>
  <si>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</si>
  <si>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</si>
  <si>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</si>
  <si>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</si>
  <si>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</si>
  <si>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</si>
  <si>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</si>
  <si>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</si>
  <si>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</si>
  <si>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</si>
  <si>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</si>
  <si>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</si>
  <si>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</si>
  <si>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</si>
  <si>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</si>
  <si>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</si>
  <si>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</si>
  <si>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</si>
  <si>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</si>
  <si>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</si>
  <si>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</si>
  <si>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</si>
  <si>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</si>
  <si>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</si>
  <si>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</si>
  <si>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</si>
  <si>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</si>
  <si>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</si>
  <si>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</si>
  <si>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</si>
  <si>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</si>
  <si>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</si>
  <si>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</si>
  <si>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</si>
  <si>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</si>
  <si>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</si>
  <si>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</si>
  <si>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</si>
  <si>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</si>
  <si>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</si>
  <si>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</si>
  <si>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</si>
  <si>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</si>
  <si>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</si>
  <si>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</si>
  <si>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</si>
  <si>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</si>
  <si>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</si>
  <si>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</si>
  <si>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</si>
  <si>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</si>
  <si>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</si>
  <si>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</si>
  <si>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</si>
  <si>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</si>
  <si>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</si>
  <si>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</si>
  <si>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</si>
  <si>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</si>
  <si>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</si>
  <si>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</si>
  <si>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</si>
  <si>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</si>
  <si>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</si>
  <si>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</si>
  <si>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</si>
  <si>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</si>
  <si>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</si>
  <si>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</si>
  <si>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</si>
  <si>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</si>
  <si>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</si>
  <si>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</si>
  <si>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</si>
  <si>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</si>
  <si>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</si>
  <si>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</si>
  <si>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</si>
  <si>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</si>
  <si>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</si>
  <si>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</si>
  <si>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</si>
  <si>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</si>
  <si>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</si>
  <si>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</si>
  <si>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</si>
  <si>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</si>
  <si>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</si>
  <si>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</si>
  <si>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</si>
  <si>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</si>
  <si>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</si>
  <si>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</si>
  <si>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</si>
  <si>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</si>
  <si>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</si>
  <si>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</si>
  <si>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</si>
  <si>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</si>
  <si>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</si>
  <si>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</si>
  <si>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</si>
  <si>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</si>
  <si>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</si>
  <si>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</si>
  <si>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</si>
  <si>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</si>
  <si>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</si>
  <si>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</si>
  <si>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</si>
  <si>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</si>
  <si>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</si>
  <si>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</si>
  <si>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</si>
  <si>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</si>
  <si>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</si>
  <si>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</si>
  <si>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</si>
  <si>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</si>
  <si>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</si>
  <si>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</si>
  <si>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</si>
  <si>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</si>
  <si>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</si>
  <si>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</si>
  <si>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</si>
  <si>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</si>
  <si>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</si>
  <si>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</si>
  <si>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</si>
  <si>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</si>
  <si>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</si>
  <si>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</si>
  <si>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</si>
  <si>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</si>
  <si>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</si>
  <si>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</si>
  <si>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</si>
  <si>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</si>
  <si>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</si>
  <si>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</si>
  <si>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</si>
  <si>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</si>
  <si>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</si>
  <si>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</si>
  <si>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</si>
  <si>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</si>
  <si>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</si>
  <si>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</si>
  <si>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</si>
  <si>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</si>
  <si>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</si>
  <si>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</si>
  <si>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</si>
  <si>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</si>
  <si>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</si>
  <si>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</si>
  <si>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</si>
  <si>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</si>
  <si>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</si>
  <si>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</si>
  <si>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</si>
  <si>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</si>
  <si>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</si>
  <si>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</si>
  <si>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</si>
  <si>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</si>
  <si>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</si>
  <si>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</si>
  <si>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</si>
  <si>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</si>
  <si>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</si>
  <si>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</si>
  <si>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</si>
  <si>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</si>
  <si>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</si>
  <si>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</si>
  <si>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</si>
  <si>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</si>
  <si>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</si>
  <si>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</si>
  <si>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</si>
  <si>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</si>
  <si>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</si>
  <si>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</si>
  <si>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</si>
  <si>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</si>
  <si>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</si>
  <si>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</si>
  <si>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</si>
  <si>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</si>
  <si>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</si>
  <si>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</si>
  <si>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</si>
  <si>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</si>
  <si>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</si>
  <si>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</si>
  <si>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</si>
  <si>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</si>
  <si>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</si>
  <si>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</si>
  <si>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</si>
  <si>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</si>
  <si>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</si>
  <si>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</si>
  <si>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</si>
  <si>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</si>
  <si>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</si>
  <si>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</si>
  <si>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</si>
  <si>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</si>
  <si>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</si>
  <si>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</si>
  <si>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</si>
  <si>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</si>
  <si>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</si>
  <si>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</si>
  <si>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</si>
  <si>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</si>
  <si>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</si>
  <si>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</si>
  <si>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</si>
  <si>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</si>
  <si>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</si>
  <si>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</si>
  <si>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</si>
  <si>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</si>
  <si>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</si>
  <si>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</si>
  <si>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</si>
  <si>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</si>
  <si>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</si>
  <si>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</si>
  <si>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</si>
  <si>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</si>
  <si>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</si>
  <si>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</si>
  <si>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</si>
  <si>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</si>
  <si>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</si>
  <si>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</si>
  <si>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</si>
  <si>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</si>
  <si>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</si>
  <si>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</si>
  <si>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</si>
  <si>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</si>
  <si>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</si>
  <si>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</si>
  <si>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</si>
  <si>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</si>
  <si>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</si>
  <si>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</si>
  <si>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</si>
  <si>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</si>
  <si>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</si>
  <si>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</si>
  <si>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</si>
  <si>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</si>
  <si>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</si>
  <si>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</si>
  <si>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</si>
  <si>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</si>
  <si>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</si>
  <si>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</si>
  <si>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</si>
  <si>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</si>
  <si>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</si>
  <si>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</si>
  <si>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</si>
  <si>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</si>
  <si>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</si>
  <si>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</si>
  <si>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</si>
  <si>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</si>
  <si>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</si>
  <si>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</si>
  <si>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</si>
  <si>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</si>
  <si>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</si>
  <si>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</si>
  <si>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</si>
  <si>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</si>
  <si>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</si>
  <si>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</si>
  <si>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</si>
  <si>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</si>
  <si>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</si>
  <si>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</si>
  <si>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</si>
  <si>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</si>
  <si>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</si>
  <si>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</si>
  <si>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</si>
  <si>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</si>
  <si>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</si>
  <si>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</si>
  <si>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</si>
  <si>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</si>
  <si>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</si>
  <si>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</si>
  <si>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</si>
  <si>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</si>
  <si>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</si>
  <si>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</si>
  <si>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</si>
  <si>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</si>
  <si>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</si>
  <si>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</si>
  <si>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</si>
  <si>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</si>
  <si>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</si>
  <si>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</si>
  <si>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</si>
  <si>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</si>
  <si>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</si>
  <si>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</si>
  <si>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</si>
  <si>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</si>
  <si>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</si>
  <si>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</si>
  <si>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</si>
  <si>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</si>
  <si>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</si>
  <si>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</si>
  <si>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</si>
  <si>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</si>
  <si>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</si>
  <si>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</si>
  <si>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</si>
  <si>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</si>
  <si>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</si>
  <si>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</si>
  <si>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</si>
  <si>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</si>
  <si>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</si>
  <si>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</si>
  <si>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</si>
  <si>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</si>
  <si>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</si>
  <si>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</si>
  <si>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</si>
  <si>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</si>
  <si>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</si>
  <si>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</si>
  <si>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</si>
  <si>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</si>
  <si>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</si>
  <si>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</si>
  <si>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</si>
  <si>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</si>
  <si>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</si>
  <si>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</si>
  <si>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</si>
  <si>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</si>
  <si>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</si>
  <si>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</si>
  <si>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</si>
  <si>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</si>
  <si>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</si>
  <si>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</si>
  <si>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</si>
  <si>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</si>
  <si>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</si>
  <si>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</si>
  <si>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</si>
  <si>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</si>
  <si>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</si>
  <si>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</si>
  <si>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</si>
  <si>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</si>
  <si>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</si>
  <si>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</si>
  <si>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</si>
  <si>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</si>
  <si>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</si>
  <si>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</si>
  <si>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</si>
  <si>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</si>
  <si>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</si>
  <si>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</si>
  <si>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</si>
  <si>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</si>
  <si>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</si>
  <si>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</si>
  <si>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</si>
  <si>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</si>
  <si>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</si>
  <si>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</si>
  <si>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</si>
  <si>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</si>
  <si>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</si>
  <si>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</si>
  <si>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</si>
  <si>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</si>
  <si>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</si>
  <si>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</si>
  <si>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</si>
  <si>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</si>
  <si>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</si>
  <si>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</si>
  <si>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</si>
  <si>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</si>
  <si>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</si>
  <si>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</si>
  <si>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</si>
  <si>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</si>
  <si>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</si>
  <si>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</si>
  <si>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</si>
  <si>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</si>
  <si>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</si>
  <si>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</si>
  <si>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</si>
  <si>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</si>
  <si>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</si>
  <si>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</si>
  <si>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</si>
  <si>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</si>
  <si>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</si>
  <si>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</si>
  <si>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</si>
  <si>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</si>
  <si>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</si>
  <si>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</si>
  <si>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</si>
  <si>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</si>
  <si>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</si>
  <si>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</si>
  <si>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</si>
  <si>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</si>
  <si>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</si>
  <si>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</si>
  <si>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</si>
  <si>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</si>
  <si>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</si>
  <si>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</si>
  <si>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</si>
  <si>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</si>
  <si>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</si>
  <si>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</si>
  <si>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</si>
  <si>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</si>
  <si>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</si>
  <si>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</si>
  <si>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</si>
  <si>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</si>
  <si>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</si>
  <si>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</si>
  <si>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</si>
  <si>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</si>
  <si>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2016年5月1日前购买</t>
  </si>
  <si>
    <t>土地</t>
    <phoneticPr fontId="228" type="noConversion"/>
  </si>
  <si>
    <t>建筑物</t>
    <phoneticPr fontId="228" type="noConversion"/>
  </si>
  <si>
    <t>土地单价</t>
    <phoneticPr fontId="228" type="noConversion"/>
  </si>
  <si>
    <t>建筑物单价</t>
    <phoneticPr fontId="228" type="noConversion"/>
  </si>
  <si>
    <r>
      <rPr>
        <sz val="10"/>
        <color theme="9" tint="-0.249977111117893"/>
        <rFont val="宋体"/>
        <family val="3"/>
        <charset val="134"/>
      </rPr>
      <t>《国有土地使用证》</t>
    </r>
    <r>
      <rPr>
        <sz val="10"/>
        <color theme="9" tint="-0.249977111117893"/>
        <rFont val="Arial"/>
        <family val="2"/>
      </rPr>
      <t>[]</t>
    </r>
    <phoneticPr fontId="228" type="noConversion"/>
  </si>
  <si>
    <r>
      <rPr>
        <sz val="11"/>
        <color indexed="8"/>
        <rFont val="宋体"/>
        <family val="3"/>
        <charset val="134"/>
      </rPr>
      <t>负</t>
    </r>
    <r>
      <rPr>
        <sz val="11"/>
        <color indexed="8"/>
        <rFont val="Arial"/>
        <family val="2"/>
      </rPr>
      <t>1</t>
    </r>
    <phoneticPr fontId="228" type="noConversion"/>
  </si>
  <si>
    <r>
      <rPr>
        <sz val="11"/>
        <color indexed="8"/>
        <rFont val="宋体"/>
        <family val="3"/>
        <charset val="134"/>
      </rPr>
      <t>负</t>
    </r>
    <r>
      <rPr>
        <sz val="11"/>
        <color indexed="8"/>
        <rFont val="Arial"/>
        <family val="2"/>
      </rPr>
      <t>2</t>
    </r>
    <phoneticPr fontId="228" type="noConversion"/>
  </si>
  <si>
    <r>
      <rPr>
        <sz val="11"/>
        <color indexed="8"/>
        <rFont val="宋体"/>
        <family val="3"/>
        <charset val="134"/>
      </rPr>
      <t>负</t>
    </r>
    <r>
      <rPr>
        <sz val="11"/>
        <color indexed="8"/>
        <rFont val="Arial"/>
        <family val="2"/>
      </rPr>
      <t>3</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</si>
</sst>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_);[Red]\(0\)"/>
    <numFmt numFmtId="177" formatCode="0.00_ "/>
    <numFmt numFmtId="178" formatCode="0.000_);[Red]\(0.000\)"/>
    <numFmt numFmtId="179" formatCode="yyyy/m/d;@"/>
    <numFmt numFmtId="180" formatCode="0_ "/>
    <numFmt numFmtId="181" formatCode="0_ ;[Red]\-0\ "/>
    <numFmt numFmtId="182" formatCode="0.0_ "/>
    <numFmt numFmtId="183" formatCode="[DBNum2][$-804]General"/>
    <numFmt numFmtId="184" formatCode="0.0%"/>
    <numFmt numFmtId="185" formatCode="0.0000%"/>
    <numFmt numFmtId="186" formatCode="0.000_ "/>
    <numFmt numFmtId="187" formatCode="0.0000_ "/>
    <numFmt numFmtId="188" formatCode="0.0_);[Red]\(0.0\)"/>
    <numFmt numFmtId="189" formatCode="yyyy&quot;年&quot;m&quot;月&quot;d&quot;日&quot;;@"/>
    <numFmt numFmtId="190" formatCode="0.000%"/>
    <numFmt numFmtId="191" formatCode="0.00_);[Red]\(0.00\)"/>
    <numFmt numFmtId="192" formatCode="yyyy&quot;年&quot;m&quot;月&quot;;@"/>
    <numFmt numFmtId="193" formatCode="#,##0_);[Red]\(#,##0\)"/>
    <numFmt numFmtId="194" formatCode="#,##0.00_);[Red]\(#,##0.00\)"/>
    <numFmt numFmtId="195" formatCode="[$-F800]dddd\,\ mmmm\ dd\,\ yyyy"/>
    <numFmt numFmtId="196" formatCode="0;_쐀"/>
    <numFmt numFmtId="197" formatCode="[DBNum1][$-804]General"/>
    <numFmt numFmtId="198" formatCode="[DBNum1][$-804]yyyy&quot;年&quot;m&quot;月&quot;d&quot;日&quot;;@"/>
  </numFmts>
  <fonts count="23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theme="1"/>
      <name val="宋体"/>
      <family val="3"/>
      <charset val="134"/>
      <scheme val="minor"/>
    </font>
    <font>
      <b/>
      <sz val="10"/>
      <color indexed="8"/>
      <name val="宋体"/>
      <family val="3"/>
      <charset val="134"/>
    </font>
    <font>
      <sz val="12"/>
      <color indexed="8"/>
      <name val="宋体"/>
      <family val="3"/>
      <charset val="134"/>
    </font>
    <font>
      <sz val="10.5"/>
      <color theme="1"/>
      <name val="宋体"/>
      <family val="3"/>
      <charset val="134"/>
      <scheme val="minor"/>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indexed="8"/>
      <name val="宋体"/>
      <family val="3"/>
      <charset val="134"/>
    </font>
    <font>
      <sz val="11"/>
      <color theme="0"/>
      <name val="宋体"/>
      <family val="3"/>
      <charset val="134"/>
      <scheme val="minor"/>
    </font>
    <font>
      <b/>
      <sz val="11"/>
      <color theme="3"/>
      <name val="宋体"/>
      <family val="3"/>
      <charset val="134"/>
      <scheme val="minor"/>
    </font>
    <font>
      <sz val="11"/>
      <color rgb="FF9C0006"/>
      <name val="宋体"/>
      <family val="3"/>
      <charset val="134"/>
      <scheme val="minor"/>
    </font>
    <font>
      <i/>
      <sz val="11"/>
      <color rgb="FF7F7F7F"/>
      <name val="宋体"/>
      <family val="3"/>
      <charset val="134"/>
      <scheme val="minor"/>
    </font>
    <font>
      <sz val="11"/>
      <color rgb="FF9C6500"/>
      <name val="宋体"/>
      <family val="3"/>
      <charset val="134"/>
      <scheme val="minor"/>
    </font>
    <font>
      <b/>
      <sz val="18"/>
      <color theme="3"/>
      <name val="宋体"/>
      <family val="3"/>
      <charset val="134"/>
      <scheme val="major"/>
    </font>
    <font>
      <b/>
      <sz val="11"/>
      <color theme="0"/>
      <name val="宋体"/>
      <family val="3"/>
      <charset val="134"/>
      <scheme val="minor"/>
    </font>
    <font>
      <b/>
      <sz val="15"/>
      <color theme="3"/>
      <name val="宋体"/>
      <family val="3"/>
      <charset val="134"/>
      <scheme val="minor"/>
    </font>
    <font>
      <b/>
      <sz val="13"/>
      <color theme="3"/>
      <name val="宋体"/>
      <family val="3"/>
      <charset val="134"/>
      <scheme val="minor"/>
    </font>
    <font>
      <b/>
      <sz val="11"/>
      <color rgb="FFFA7D00"/>
      <name val="宋体"/>
      <family val="3"/>
      <charset val="134"/>
      <scheme val="minor"/>
    </font>
    <font>
      <b/>
      <sz val="11"/>
      <color rgb="FF3F3F3F"/>
      <name val="宋体"/>
      <family val="3"/>
      <charset val="134"/>
      <scheme val="minor"/>
    </font>
    <font>
      <sz val="11"/>
      <color rgb="FFFA7D00"/>
      <name val="宋体"/>
      <family val="3"/>
      <charset val="134"/>
      <scheme val="minor"/>
    </font>
    <font>
      <sz val="11"/>
      <color rgb="FF3F3F76"/>
      <name val="宋体"/>
      <family val="3"/>
      <charset val="134"/>
      <scheme val="minor"/>
    </font>
    <font>
      <sz val="11"/>
      <color rgb="FF006100"/>
      <name val="宋体"/>
      <family val="3"/>
      <charset val="134"/>
      <scheme val="minor"/>
    </font>
    <font>
      <sz val="11"/>
      <color rgb="FFFF0000"/>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9"/>
      <name val="Tahoma"/>
      <family val="2"/>
    </font>
    <font>
      <b/>
      <sz val="8"/>
      <name val="宋体"/>
      <family val="3"/>
      <charset val="134"/>
    </font>
    <font>
      <sz val="9"/>
      <name val="Tahoma"/>
      <family val="2"/>
    </font>
    <font>
      <sz val="9"/>
      <name val="宋体"/>
      <family val="3"/>
      <charset val="134"/>
      <scheme val="minor"/>
    </font>
    <font>
      <sz val="10"/>
      <color theme="9" tint="-0.249977111117893"/>
      <name val="Arial"/>
      <family val="3"/>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7" tint="0.59999389629810485"/>
        <bgColor indexed="64"/>
      </patternFill>
    </fill>
    <fill>
      <patternFill patternType="solid">
        <fgColor rgb="FFFFFFCC"/>
        <bgColor indexed="64"/>
      </patternFill>
    </fill>
    <fill>
      <patternFill patternType="solid">
        <fgColor theme="4" tint="0.39991454817346722"/>
        <bgColor indexed="64"/>
      </patternFill>
    </fill>
    <fill>
      <patternFill patternType="solid">
        <fgColor theme="4" tint="0.59999389629810485"/>
        <bgColor indexed="64"/>
      </patternFill>
    </fill>
    <fill>
      <patternFill patternType="solid">
        <fgColor theme="5" tint="0.7999206518753624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79992065187536243"/>
        <bgColor indexed="64"/>
      </patternFill>
    </fill>
    <fill>
      <patternFill patternType="solid">
        <fgColor theme="7" tint="0.79992065187536243"/>
        <bgColor indexed="64"/>
      </patternFill>
    </fill>
    <fill>
      <patternFill patternType="solid">
        <fgColor theme="5" tint="0.39991454817346722"/>
        <bgColor indexed="64"/>
      </patternFill>
    </fill>
    <fill>
      <patternFill patternType="solid">
        <fgColor rgb="FFFFC7CE"/>
        <bgColor indexed="64"/>
      </patternFill>
    </fill>
    <fill>
      <patternFill patternType="solid">
        <fgColor theme="6" tint="0.39991454817346722"/>
        <bgColor indexed="64"/>
      </patternFill>
    </fill>
    <fill>
      <patternFill patternType="solid">
        <fgColor theme="8" tint="0.39991454817346722"/>
        <bgColor indexed="64"/>
      </patternFill>
    </fill>
    <fill>
      <patternFill patternType="solid">
        <fgColor rgb="FFFFEB9C"/>
        <bgColor indexed="64"/>
      </patternFill>
    </fill>
    <fill>
      <patternFill patternType="solid">
        <fgColor theme="6" tint="0.79992065187536243"/>
        <bgColor indexed="64"/>
      </patternFill>
    </fill>
    <fill>
      <patternFill patternType="solid">
        <fgColor theme="9" tint="0.39991454817346722"/>
        <bgColor indexed="64"/>
      </patternFill>
    </fill>
    <fill>
      <patternFill patternType="solid">
        <fgColor theme="7" tint="0.39991454817346722"/>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2F2F2"/>
        <bgColor indexed="64"/>
      </patternFill>
    </fill>
    <fill>
      <patternFill patternType="solid">
        <fgColor theme="7"/>
        <bgColor indexed="64"/>
      </patternFill>
    </fill>
    <fill>
      <patternFill patternType="solid">
        <fgColor theme="5"/>
        <bgColor indexed="64"/>
      </patternFill>
    </fill>
    <fill>
      <patternFill patternType="solid">
        <fgColor rgb="FFFFCC99"/>
        <bgColor indexed="64"/>
      </patternFill>
    </fill>
    <fill>
      <patternFill patternType="solid">
        <fgColor rgb="FFC6EFCE"/>
        <bgColor indexed="64"/>
      </patternFill>
    </fill>
    <fill>
      <patternFill patternType="solid">
        <fgColor theme="6"/>
        <bgColor indexed="64"/>
      </patternFill>
    </fill>
    <fill>
      <patternFill patternType="solid">
        <fgColor theme="4"/>
        <bgColor indexed="64"/>
      </patternFill>
    </fill>
    <fill>
      <patternFill patternType="solid">
        <fgColor rgb="FF00B0F0"/>
        <bgColor indexed="64"/>
      </patternFill>
    </fill>
  </fills>
  <borders count="16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39991454817346722"/>
      </bottom>
      <diagonal/>
    </border>
    <border>
      <left/>
      <right/>
      <top/>
      <bottom style="thick">
        <color theme="4"/>
      </bottom>
      <diagonal/>
    </border>
    <border>
      <left/>
      <right/>
      <top/>
      <bottom style="thick">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31076">
    <xf numFmtId="0" fontId="0" fillId="0" borderId="0">
      <alignment vertical="center"/>
    </xf>
    <xf numFmtId="0" fontId="8" fillId="20" borderId="0" applyNumberFormat="0" applyBorder="0" applyAlignment="0" applyProtection="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41" fillId="23" borderId="160" applyNumberFormat="0" applyFont="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26"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1" fillId="23" borderId="160" applyNumberFormat="0" applyFont="0" applyAlignment="0" applyProtection="0">
      <alignment vertical="center"/>
    </xf>
    <xf numFmtId="0" fontId="85"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5" fillId="0" borderId="0">
      <alignment vertical="center"/>
    </xf>
    <xf numFmtId="0" fontId="8" fillId="0" borderId="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4" fillId="32"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26"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5" fillId="0" borderId="0"/>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5" fillId="0" borderId="0"/>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5" fillId="0" borderId="0"/>
    <xf numFmtId="0" fontId="85" fillId="0" borderId="0">
      <alignment vertical="center"/>
    </xf>
    <xf numFmtId="0" fontId="8" fillId="0" borderId="0">
      <alignment vertical="center"/>
    </xf>
    <xf numFmtId="0" fontId="85" fillId="0" borderId="0">
      <alignment vertical="center"/>
    </xf>
    <xf numFmtId="0" fontId="8" fillId="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30" borderId="0" applyNumberFormat="0" applyBorder="0" applyAlignment="0" applyProtection="0">
      <alignment vertical="center"/>
    </xf>
    <xf numFmtId="0" fontId="147" fillId="0" borderId="0" applyNumberFormat="0" applyFill="0" applyBorder="0" applyAlignment="0" applyProtection="0">
      <alignment vertical="center"/>
    </xf>
    <xf numFmtId="0" fontId="85" fillId="0" borderId="0"/>
    <xf numFmtId="0" fontId="8" fillId="2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143" fillId="0" borderId="163"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29"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1" fillId="23" borderId="160" applyNumberFormat="0" applyFont="0" applyAlignment="0" applyProtection="0">
      <alignment vertical="center"/>
    </xf>
    <xf numFmtId="0" fontId="142" fillId="38" borderId="0" applyNumberFormat="0" applyBorder="0" applyAlignment="0" applyProtection="0">
      <alignment vertical="center"/>
    </xf>
    <xf numFmtId="0" fontId="8" fillId="20"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142" fillId="40" borderId="0" applyNumberFormat="0" applyBorder="0" applyAlignment="0" applyProtection="0">
      <alignment vertical="center"/>
    </xf>
    <xf numFmtId="0" fontId="142" fillId="24" borderId="0" applyNumberFormat="0" applyBorder="0" applyAlignment="0" applyProtection="0">
      <alignment vertical="center"/>
    </xf>
    <xf numFmtId="0" fontId="8" fillId="20" borderId="0" applyNumberFormat="0" applyBorder="0" applyAlignment="0" applyProtection="0">
      <alignment vertical="center"/>
    </xf>
    <xf numFmtId="0" fontId="143" fillId="0" borderId="0" applyNumberFormat="0" applyFill="0" applyBorder="0" applyAlignment="0" applyProtection="0">
      <alignment vertical="center"/>
    </xf>
    <xf numFmtId="0" fontId="85" fillId="0" borderId="0">
      <alignment vertical="center"/>
    </xf>
    <xf numFmtId="0" fontId="8" fillId="0" borderId="0">
      <alignment vertical="center"/>
    </xf>
    <xf numFmtId="0" fontId="149" fillId="0" borderId="164" applyNumberFormat="0" applyFill="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1"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20" borderId="0" applyNumberFormat="0" applyBorder="0" applyAlignment="0" applyProtection="0">
      <alignment vertical="center"/>
    </xf>
    <xf numFmtId="0" fontId="85" fillId="0" borderId="0"/>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25" borderId="0" applyNumberFormat="0" applyBorder="0" applyAlignment="0" applyProtection="0">
      <alignment vertical="center"/>
    </xf>
    <xf numFmtId="0" fontId="8" fillId="36" borderId="0" applyNumberFormat="0" applyBorder="0" applyAlignment="0" applyProtection="0">
      <alignment vertical="center"/>
    </xf>
    <xf numFmtId="0" fontId="150" fillId="0" borderId="165" applyNumberFormat="0" applyFill="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7" fillId="0" borderId="0" applyNumberFormat="0" applyFill="0" applyBorder="0" applyAlignment="0" applyProtection="0">
      <alignment vertical="center"/>
    </xf>
    <xf numFmtId="0" fontId="142" fillId="33" borderId="0" applyNumberFormat="0" applyBorder="0" applyAlignment="0" applyProtection="0">
      <alignment vertical="center"/>
    </xf>
    <xf numFmtId="0" fontId="85" fillId="0" borderId="0"/>
    <xf numFmtId="0" fontId="8" fillId="25"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50" fillId="0" borderId="165" applyNumberFormat="0" applyFill="0" applyAlignment="0" applyProtection="0">
      <alignment vertical="center"/>
    </xf>
    <xf numFmtId="0" fontId="8" fillId="25" borderId="0" applyNumberFormat="0" applyBorder="0" applyAlignment="0" applyProtection="0">
      <alignment vertical="center"/>
    </xf>
    <xf numFmtId="0" fontId="142" fillId="31"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142" fillId="34" borderId="0" applyNumberFormat="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5"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8" fillId="41" borderId="162" applyNumberFormat="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22"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142" fillId="34" borderId="0" applyNumberFormat="0" applyBorder="0" applyAlignment="0" applyProtection="0">
      <alignment vertical="center"/>
    </xf>
    <xf numFmtId="0" fontId="8" fillId="0" borderId="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25" borderId="0" applyNumberFormat="0" applyBorder="0" applyAlignment="0" applyProtection="0">
      <alignment vertical="center"/>
    </xf>
    <xf numFmtId="0" fontId="148" fillId="41" borderId="162" applyNumberFormat="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22"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22"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38" borderId="0" applyNumberFormat="0" applyBorder="0" applyAlignment="0" applyProtection="0">
      <alignment vertical="center"/>
    </xf>
    <xf numFmtId="0" fontId="8" fillId="6"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5" fillId="0" borderId="0">
      <alignment vertical="center"/>
    </xf>
    <xf numFmtId="0" fontId="8" fillId="0" borderId="0">
      <alignment vertical="center"/>
    </xf>
    <xf numFmtId="0" fontId="150" fillId="0" borderId="165"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51" fillId="42" borderId="161" applyNumberFormat="0" applyAlignment="0" applyProtection="0">
      <alignment vertical="center"/>
    </xf>
    <xf numFmtId="0" fontId="85" fillId="0" borderId="0"/>
    <xf numFmtId="0" fontId="85" fillId="0" borderId="0"/>
    <xf numFmtId="0" fontId="8" fillId="0" borderId="0">
      <alignment vertical="center"/>
    </xf>
    <xf numFmtId="0" fontId="8" fillId="30"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6" borderId="0" applyNumberFormat="0" applyBorder="0" applyAlignment="0" applyProtection="0">
      <alignment vertical="center"/>
    </xf>
    <xf numFmtId="0" fontId="141" fillId="23" borderId="160" applyNumberFormat="0" applyFont="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29" borderId="0" applyNumberFormat="0" applyBorder="0" applyAlignment="0" applyProtection="0">
      <alignment vertical="center"/>
    </xf>
    <xf numFmtId="0" fontId="85" fillId="0" borderId="0">
      <alignment vertical="center"/>
    </xf>
    <xf numFmtId="0" fontId="8" fillId="0" borderId="0">
      <alignment vertical="center"/>
    </xf>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51" fillId="42" borderId="161" applyNumberFormat="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29" borderId="0" applyNumberFormat="0" applyBorder="0" applyAlignment="0" applyProtection="0">
      <alignment vertical="center"/>
    </xf>
    <xf numFmtId="0" fontId="144" fillId="3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12" borderId="0" applyNumberFormat="0" applyBorder="0" applyAlignment="0" applyProtection="0">
      <alignment vertical="center"/>
    </xf>
    <xf numFmtId="0" fontId="85" fillId="0" borderId="0">
      <alignment vertical="center"/>
    </xf>
    <xf numFmtId="0" fontId="8" fillId="0" borderId="0">
      <alignment vertical="center"/>
    </xf>
    <xf numFmtId="0" fontId="85" fillId="0" borderId="0"/>
    <xf numFmtId="0" fontId="85" fillId="0" borderId="0"/>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8" borderId="0" applyNumberFormat="0" applyBorder="0" applyAlignment="0" applyProtection="0">
      <alignment vertical="center"/>
    </xf>
    <xf numFmtId="0" fontId="142" fillId="44" borderId="0" applyNumberFormat="0" applyBorder="0" applyAlignment="0" applyProtection="0">
      <alignment vertical="center"/>
    </xf>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142" fillId="31" borderId="0" applyNumberFormat="0" applyBorder="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5"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27"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5" fillId="0" borderId="0"/>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36"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2" fillId="24"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39" borderId="0" applyNumberFormat="0" applyBorder="0" applyAlignment="0" applyProtection="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29"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29"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1" fillId="23" borderId="160" applyNumberFormat="0" applyFont="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2" fillId="38" borderId="0" applyNumberFormat="0" applyBorder="0" applyAlignment="0" applyProtection="0">
      <alignment vertical="center"/>
    </xf>
    <xf numFmtId="0" fontId="155" fillId="46" borderId="0" applyNumberFormat="0" applyBorder="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153" fillId="0" borderId="167" applyNumberFormat="0" applyFill="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30"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5" fillId="0" borderId="0"/>
    <xf numFmtId="0" fontId="8" fillId="27" borderId="0" applyNumberFormat="0" applyBorder="0" applyAlignment="0" applyProtection="0">
      <alignment vertical="center"/>
    </xf>
    <xf numFmtId="0" fontId="142" fillId="39"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3" fillId="0" borderId="163" applyNumberFormat="0" applyFill="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7"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21"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149" fillId="0" borderId="164" applyNumberFormat="0" applyFill="0" applyAlignment="0" applyProtection="0">
      <alignment vertical="center"/>
    </xf>
    <xf numFmtId="0" fontId="8" fillId="30" borderId="0" applyNumberFormat="0" applyBorder="0" applyAlignment="0" applyProtection="0">
      <alignment vertical="center"/>
    </xf>
    <xf numFmtId="0" fontId="144" fillId="32" borderId="0" applyNumberFormat="0" applyBorder="0" applyAlignment="0" applyProtection="0">
      <alignment vertical="center"/>
    </xf>
    <xf numFmtId="0" fontId="142" fillId="37"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85" fillId="0" borderId="0"/>
    <xf numFmtId="0" fontId="8" fillId="26"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144" fillId="32"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30"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8" fillId="6"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29"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142" fillId="39" borderId="0" applyNumberFormat="0" applyBorder="0" applyAlignment="0" applyProtection="0">
      <alignment vertical="center"/>
    </xf>
    <xf numFmtId="0" fontId="85" fillId="0" borderId="0"/>
    <xf numFmtId="0" fontId="8" fillId="29"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142" fillId="39"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2" fillId="33" borderId="0" applyNumberFormat="0" applyBorder="0" applyAlignment="0" applyProtection="0">
      <alignment vertical="center"/>
    </xf>
    <xf numFmtId="0" fontId="149" fillId="0" borderId="164" applyNumberFormat="0" applyFill="0" applyAlignment="0" applyProtection="0">
      <alignment vertical="center"/>
    </xf>
    <xf numFmtId="0" fontId="85" fillId="0" borderId="0"/>
    <xf numFmtId="0" fontId="8" fillId="28" borderId="0" applyNumberFormat="0" applyBorder="0" applyAlignment="0" applyProtection="0">
      <alignment vertical="center"/>
    </xf>
    <xf numFmtId="0" fontId="85" fillId="0" borderId="0"/>
    <xf numFmtId="0" fontId="8" fillId="29"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5" fillId="0" borderId="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29" borderId="0" applyNumberFormat="0" applyBorder="0" applyAlignment="0" applyProtection="0">
      <alignment vertical="center"/>
    </xf>
    <xf numFmtId="0" fontId="85" fillId="0" borderId="0"/>
    <xf numFmtId="0" fontId="8" fillId="0" borderId="0">
      <alignment vertical="center"/>
    </xf>
    <xf numFmtId="0" fontId="85" fillId="0" borderId="0"/>
    <xf numFmtId="0" fontId="85" fillId="0" borderId="0"/>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21"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39" borderId="0" applyNumberFormat="0" applyBorder="0" applyAlignment="0" applyProtection="0">
      <alignment vertical="center"/>
    </xf>
    <xf numFmtId="0" fontId="8" fillId="30"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85" fillId="0" borderId="0">
      <alignment vertical="center"/>
    </xf>
    <xf numFmtId="0" fontId="142" fillId="34"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6" fillId="35" borderId="0" applyNumberFormat="0" applyBorder="0" applyAlignment="0" applyProtection="0">
      <alignment vertical="center"/>
    </xf>
    <xf numFmtId="0" fontId="85" fillId="0" borderId="0"/>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5" fillId="0" borderId="0"/>
    <xf numFmtId="0" fontId="142" fillId="34"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142" fillId="31"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25"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149" fillId="0" borderId="164" applyNumberFormat="0" applyFill="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3" fillId="0" borderId="0" applyNumberFormat="0" applyFill="0" applyBorder="0" applyAlignment="0" applyProtection="0">
      <alignment vertical="center"/>
    </xf>
    <xf numFmtId="0" fontId="142" fillId="39" borderId="0" applyNumberFormat="0" applyBorder="0" applyAlignment="0" applyProtection="0">
      <alignment vertical="center"/>
    </xf>
    <xf numFmtId="0" fontId="145"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29" borderId="0" applyNumberFormat="0" applyBorder="0" applyAlignment="0" applyProtection="0">
      <alignment vertical="center"/>
    </xf>
    <xf numFmtId="0" fontId="146" fillId="35"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3" fillId="0" borderId="0" applyNumberFormat="0" applyFill="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5"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2" fillId="40"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142" fillId="39" borderId="0" applyNumberFormat="0" applyBorder="0" applyAlignment="0" applyProtection="0">
      <alignment vertical="center"/>
    </xf>
    <xf numFmtId="0" fontId="8" fillId="29"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2" fillId="39" borderId="0" applyNumberFormat="0" applyBorder="0" applyAlignment="0" applyProtection="0">
      <alignment vertical="center"/>
    </xf>
    <xf numFmtId="0" fontId="142" fillId="48"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2" fillId="39" borderId="0" applyNumberFormat="0" applyBorder="0" applyAlignment="0" applyProtection="0">
      <alignment vertical="center"/>
    </xf>
    <xf numFmtId="0" fontId="142" fillId="48"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5" fillId="0" borderId="0"/>
    <xf numFmtId="0" fontId="8" fillId="28" borderId="0" applyNumberFormat="0" applyBorder="0" applyAlignment="0" applyProtection="0">
      <alignment vertical="center"/>
    </xf>
    <xf numFmtId="0" fontId="85" fillId="0" borderId="0"/>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5"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142" fillId="48"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142" fillId="38" borderId="0" applyNumberFormat="0" applyBorder="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29"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5" fillId="0" borderId="0"/>
    <xf numFmtId="0" fontId="85" fillId="0" borderId="0"/>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5"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22"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20" borderId="0" applyNumberFormat="0" applyBorder="0" applyAlignment="0" applyProtection="0">
      <alignment vertical="center"/>
    </xf>
    <xf numFmtId="0" fontId="85" fillId="0" borderId="0"/>
    <xf numFmtId="0" fontId="8" fillId="26" borderId="0" applyNumberFormat="0" applyBorder="0" applyAlignment="0" applyProtection="0">
      <alignment vertical="center"/>
    </xf>
    <xf numFmtId="0" fontId="142" fillId="31" borderId="0" applyNumberFormat="0" applyBorder="0" applyAlignment="0" applyProtection="0">
      <alignment vertical="center"/>
    </xf>
    <xf numFmtId="0" fontId="142" fillId="34" borderId="0" applyNumberFormat="0" applyBorder="0" applyAlignment="0" applyProtection="0">
      <alignment vertical="center"/>
    </xf>
    <xf numFmtId="0" fontId="141" fillId="23" borderId="160" applyNumberFormat="0" applyFont="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47" borderId="0" applyNumberFormat="0" applyBorder="0" applyAlignment="0" applyProtection="0">
      <alignment vertical="center"/>
    </xf>
    <xf numFmtId="0" fontId="142" fillId="31" borderId="0" applyNumberFormat="0" applyBorder="0" applyAlignment="0" applyProtection="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5" fillId="0" borderId="0"/>
    <xf numFmtId="0" fontId="8" fillId="0" borderId="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8" fillId="26" borderId="0" applyNumberFormat="0" applyBorder="0" applyAlignment="0" applyProtection="0">
      <alignment vertical="center"/>
    </xf>
    <xf numFmtId="0" fontId="142" fillId="31"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29" borderId="0" applyNumberFormat="0" applyBorder="0" applyAlignment="0" applyProtection="0">
      <alignment vertical="center"/>
    </xf>
    <xf numFmtId="0" fontId="146" fillId="35"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2" fillId="34" borderId="0" applyNumberFormat="0" applyBorder="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55" fillId="46"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142" fillId="31"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5" fillId="0" borderId="0"/>
    <xf numFmtId="0" fontId="8" fillId="0" borderId="0">
      <alignment vertical="center"/>
    </xf>
    <xf numFmtId="0" fontId="8" fillId="29" borderId="0" applyNumberFormat="0" applyBorder="0" applyAlignment="0" applyProtection="0">
      <alignment vertical="center"/>
    </xf>
    <xf numFmtId="0" fontId="8" fillId="20" borderId="0" applyNumberFormat="0" applyBorder="0" applyAlignment="0" applyProtection="0">
      <alignment vertical="center"/>
    </xf>
    <xf numFmtId="0" fontId="8" fillId="27"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85" fillId="0" borderId="0"/>
    <xf numFmtId="0" fontId="8" fillId="29"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29" borderId="0" applyNumberFormat="0" applyBorder="0" applyAlignment="0" applyProtection="0">
      <alignment vertical="center"/>
    </xf>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143" fillId="0" borderId="0" applyNumberFormat="0" applyFill="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5" fillId="0" borderId="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5" borderId="0" applyNumberFormat="0" applyBorder="0" applyAlignment="0" applyProtection="0">
      <alignment vertical="center"/>
    </xf>
    <xf numFmtId="0" fontId="85" fillId="0" borderId="0"/>
    <xf numFmtId="0" fontId="8" fillId="0" borderId="0">
      <alignment vertical="center"/>
    </xf>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7" fillId="0" borderId="0" applyNumberFormat="0" applyFill="0" applyBorder="0" applyAlignment="0" applyProtection="0">
      <alignment vertical="center"/>
    </xf>
    <xf numFmtId="0" fontId="8" fillId="29"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5" fillId="0" borderId="0"/>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5" fillId="0" borderId="0">
      <alignment vertical="center"/>
    </xf>
    <xf numFmtId="0" fontId="8" fillId="25"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29" borderId="0" applyNumberFormat="0" applyBorder="0" applyAlignment="0" applyProtection="0">
      <alignment vertical="center"/>
    </xf>
    <xf numFmtId="0" fontId="142" fillId="47"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5" fillId="0" borderId="0">
      <alignment vertical="center"/>
    </xf>
    <xf numFmtId="0" fontId="85" fillId="0" borderId="0">
      <alignment vertical="center"/>
    </xf>
    <xf numFmtId="0" fontId="8" fillId="6"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2" fillId="44"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156"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3" fillId="0" borderId="0" applyNumberFormat="0" applyFill="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2" fillId="0" borderId="168" applyNumberFormat="0" applyFill="0" applyAlignment="0" applyProtection="0">
      <alignment vertical="center"/>
    </xf>
    <xf numFmtId="0" fontId="8" fillId="28"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36" borderId="0" applyNumberFormat="0" applyBorder="0" applyAlignment="0" applyProtection="0">
      <alignment vertical="center"/>
    </xf>
    <xf numFmtId="0" fontId="142" fillId="33" borderId="0" applyNumberFormat="0" applyBorder="0" applyAlignment="0" applyProtection="0">
      <alignment vertical="center"/>
    </xf>
    <xf numFmtId="0" fontId="142" fillId="37"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2" fillId="40"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37"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42" fillId="37"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4" fillId="32" borderId="0" applyNumberFormat="0" applyBorder="0" applyAlignment="0" applyProtection="0">
      <alignment vertical="center"/>
    </xf>
    <xf numFmtId="0" fontId="8" fillId="36"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6" borderId="0" applyNumberFormat="0" applyBorder="0" applyAlignment="0" applyProtection="0">
      <alignment vertical="center"/>
    </xf>
    <xf numFmtId="0" fontId="85" fillId="0" borderId="0"/>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2" fillId="37"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5" fillId="0" borderId="0"/>
    <xf numFmtId="0" fontId="8" fillId="0" borderId="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5" fillId="0" borderId="0"/>
    <xf numFmtId="0" fontId="8" fillId="29" borderId="0" applyNumberFormat="0" applyBorder="0" applyAlignment="0" applyProtection="0">
      <alignment vertical="center"/>
    </xf>
    <xf numFmtId="0" fontId="8" fillId="27"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3" fillId="0" borderId="0" applyNumberFormat="0" applyFill="0" applyBorder="0" applyAlignment="0" applyProtection="0">
      <alignment vertical="center"/>
    </xf>
    <xf numFmtId="0" fontId="8" fillId="29" borderId="0" applyNumberFormat="0" applyBorder="0" applyAlignment="0" applyProtection="0">
      <alignment vertical="center"/>
    </xf>
    <xf numFmtId="0" fontId="85" fillId="0" borderId="0"/>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29"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29" borderId="0" applyNumberFormat="0" applyBorder="0" applyAlignment="0" applyProtection="0">
      <alignment vertical="center"/>
    </xf>
    <xf numFmtId="0" fontId="8" fillId="36" borderId="0" applyNumberFormat="0" applyBorder="0" applyAlignment="0" applyProtection="0">
      <alignment vertical="center"/>
    </xf>
    <xf numFmtId="0" fontId="85" fillId="0" borderId="0">
      <alignment vertical="center"/>
    </xf>
    <xf numFmtId="0" fontId="142" fillId="37" borderId="0" applyNumberFormat="0" applyBorder="0" applyAlignment="0" applyProtection="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12" borderId="0" applyNumberFormat="0" applyBorder="0" applyAlignment="0" applyProtection="0">
      <alignment vertical="center"/>
    </xf>
    <xf numFmtId="0" fontId="150" fillId="0" borderId="165" applyNumberFormat="0" applyFill="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54" fillId="45" borderId="161" applyNumberFormat="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29" borderId="0" applyNumberFormat="0" applyBorder="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8" fillId="30" borderId="0" applyNumberFormat="0" applyBorder="0" applyAlignment="0" applyProtection="0">
      <alignment vertical="center"/>
    </xf>
    <xf numFmtId="0" fontId="85" fillId="0" borderId="0">
      <alignment vertical="center"/>
    </xf>
    <xf numFmtId="0" fontId="85" fillId="0" borderId="0"/>
    <xf numFmtId="0" fontId="156" fillId="0" borderId="0" applyNumberFormat="0" applyFill="0" applyBorder="0" applyAlignment="0" applyProtection="0">
      <alignment vertical="center"/>
    </xf>
    <xf numFmtId="0" fontId="85" fillId="0" borderId="0"/>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36" borderId="0" applyNumberFormat="0" applyBorder="0" applyAlignment="0" applyProtection="0">
      <alignment vertical="center"/>
    </xf>
    <xf numFmtId="0" fontId="142" fillId="2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54" fillId="45" borderId="161" applyNumberFormat="0" applyAlignment="0" applyProtection="0">
      <alignment vertical="center"/>
    </xf>
    <xf numFmtId="0" fontId="85" fillId="0" borderId="0">
      <alignment vertical="center"/>
    </xf>
    <xf numFmtId="0" fontId="8" fillId="0" borderId="0">
      <alignment vertical="center"/>
    </xf>
    <xf numFmtId="0" fontId="143" fillId="0" borderId="163" applyNumberFormat="0" applyFill="0" applyAlignment="0" applyProtection="0">
      <alignment vertical="center"/>
    </xf>
    <xf numFmtId="0" fontId="8" fillId="22" borderId="0" applyNumberFormat="0" applyBorder="0" applyAlignment="0" applyProtection="0">
      <alignment vertical="center"/>
    </xf>
    <xf numFmtId="0" fontId="8" fillId="29" borderId="0" applyNumberFormat="0" applyBorder="0" applyAlignment="0" applyProtection="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5" fillId="0" borderId="0"/>
    <xf numFmtId="0" fontId="8" fillId="0" borderId="0">
      <alignment vertical="center"/>
    </xf>
    <xf numFmtId="0" fontId="8" fillId="29"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30"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85"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 fillId="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42" fillId="44"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142" fillId="31" borderId="0" applyNumberFormat="0" applyBorder="0" applyAlignment="0" applyProtection="0">
      <alignment vertical="center"/>
    </xf>
    <xf numFmtId="0" fontId="8" fillId="12" borderId="0" applyNumberFormat="0" applyBorder="0" applyAlignment="0" applyProtection="0">
      <alignment vertical="center"/>
    </xf>
    <xf numFmtId="0" fontId="150" fillId="0" borderId="165"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5" fillId="0" borderId="0">
      <alignment vertical="center"/>
    </xf>
    <xf numFmtId="0" fontId="8" fillId="2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37"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28"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53" fillId="0" borderId="167"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28"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36"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53" fillId="0" borderId="167"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20"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42" fillId="31" borderId="0" applyNumberFormat="0" applyBorder="0" applyAlignment="0" applyProtection="0">
      <alignment vertical="center"/>
    </xf>
    <xf numFmtId="0" fontId="141" fillId="23" borderId="160" applyNumberFormat="0" applyFont="0" applyAlignment="0" applyProtection="0">
      <alignment vertical="center"/>
    </xf>
    <xf numFmtId="0" fontId="148" fillId="41" borderId="162" applyNumberFormat="0" applyAlignment="0" applyProtection="0">
      <alignment vertical="center"/>
    </xf>
    <xf numFmtId="0" fontId="8" fillId="12"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42" fillId="24"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8" fillId="41" borderId="162" applyNumberFormat="0" applyAlignment="0" applyProtection="0">
      <alignment vertical="center"/>
    </xf>
    <xf numFmtId="0" fontId="8" fillId="12"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42" fillId="33"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56" fillId="0" borderId="0" applyNumberFormat="0" applyFill="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42" fillId="40"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36"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25" borderId="0" applyNumberFormat="0" applyBorder="0" applyAlignment="0" applyProtection="0">
      <alignment vertical="center"/>
    </xf>
    <xf numFmtId="0" fontId="141" fillId="23" borderId="160" applyNumberFormat="0" applyFont="0" applyAlignment="0" applyProtection="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143" fillId="0" borderId="163" applyNumberFormat="0" applyFill="0" applyAlignment="0" applyProtection="0">
      <alignment vertical="center"/>
    </xf>
    <xf numFmtId="0" fontId="153" fillId="0" borderId="167"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54" fillId="45" borderId="161" applyNumberFormat="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22"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30" borderId="0" applyNumberFormat="0" applyBorder="0" applyAlignment="0" applyProtection="0">
      <alignment vertical="center"/>
    </xf>
    <xf numFmtId="0" fontId="85" fillId="0" borderId="0"/>
    <xf numFmtId="0" fontId="8" fillId="28"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5" fillId="0" borderId="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26"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25" borderId="0" applyNumberFormat="0" applyBorder="0" applyAlignment="0" applyProtection="0">
      <alignment vertical="center"/>
    </xf>
    <xf numFmtId="0" fontId="142" fillId="24"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5" fillId="0" borderId="0"/>
    <xf numFmtId="0" fontId="8" fillId="12" borderId="0" applyNumberFormat="0" applyBorder="0" applyAlignment="0" applyProtection="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27" borderId="0" applyNumberFormat="0" applyBorder="0" applyAlignment="0" applyProtection="0">
      <alignment vertical="center"/>
    </xf>
    <xf numFmtId="0" fontId="142" fillId="39" borderId="0" applyNumberFormat="0" applyBorder="0" applyAlignment="0" applyProtection="0">
      <alignment vertical="center"/>
    </xf>
    <xf numFmtId="0" fontId="85" fillId="0" borderId="0">
      <alignment vertical="center"/>
    </xf>
    <xf numFmtId="0" fontId="8" fillId="12"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5" fillId="0" borderId="0"/>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21"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 fillId="26"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2" fillId="34"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142" fillId="34" borderId="0" applyNumberFormat="0" applyBorder="0" applyAlignment="0" applyProtection="0">
      <alignment vertical="center"/>
    </xf>
    <xf numFmtId="0" fontId="8" fillId="22" borderId="0" applyNumberFormat="0" applyBorder="0" applyAlignment="0" applyProtection="0">
      <alignment vertical="center"/>
    </xf>
    <xf numFmtId="0" fontId="8" fillId="26" borderId="0" applyNumberFormat="0" applyBorder="0" applyAlignment="0" applyProtection="0">
      <alignment vertical="center"/>
    </xf>
    <xf numFmtId="0" fontId="8" fillId="25"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4" fillId="32"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26" borderId="0" applyNumberFormat="0" applyBorder="0" applyAlignment="0" applyProtection="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142" fillId="37" borderId="0" applyNumberFormat="0" applyBorder="0" applyAlignment="0" applyProtection="0">
      <alignment vertical="center"/>
    </xf>
    <xf numFmtId="0" fontId="85" fillId="0" borderId="0"/>
    <xf numFmtId="0" fontId="150" fillId="0" borderId="165" applyNumberFormat="0" applyFill="0" applyAlignment="0" applyProtection="0">
      <alignment vertical="center"/>
    </xf>
    <xf numFmtId="0" fontId="8" fillId="26"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5" fillId="0" borderId="0"/>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12" borderId="0" applyNumberFormat="0" applyBorder="0" applyAlignment="0" applyProtection="0">
      <alignment vertical="center"/>
    </xf>
    <xf numFmtId="0" fontId="8" fillId="28"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26" borderId="0" applyNumberFormat="0" applyBorder="0" applyAlignment="0" applyProtection="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147" fillId="0" borderId="0" applyNumberFormat="0" applyFill="0" applyBorder="0" applyAlignment="0" applyProtection="0">
      <alignment vertical="center"/>
    </xf>
    <xf numFmtId="0" fontId="85" fillId="0" borderId="0"/>
    <xf numFmtId="0" fontId="8" fillId="2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147" fillId="0" borderId="0" applyNumberFormat="0" applyFill="0" applyBorder="0" applyAlignment="0" applyProtection="0">
      <alignment vertical="center"/>
    </xf>
    <xf numFmtId="0" fontId="85" fillId="0" borderId="0"/>
    <xf numFmtId="0" fontId="8" fillId="28" borderId="0" applyNumberFormat="0" applyBorder="0" applyAlignment="0" applyProtection="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142" fillId="43" borderId="0" applyNumberFormat="0" applyBorder="0" applyAlignment="0" applyProtection="0">
      <alignment vertical="center"/>
    </xf>
    <xf numFmtId="0" fontId="85" fillId="0" borderId="0"/>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4"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22" borderId="0" applyNumberFormat="0" applyBorder="0" applyAlignment="0" applyProtection="0">
      <alignment vertical="center"/>
    </xf>
    <xf numFmtId="0" fontId="143" fillId="0" borderId="163" applyNumberFormat="0" applyFill="0" applyAlignment="0" applyProtection="0">
      <alignment vertical="center"/>
    </xf>
    <xf numFmtId="0" fontId="142" fillId="38"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5" fillId="0" borderId="0"/>
    <xf numFmtId="0" fontId="8" fillId="12" borderId="0" applyNumberFormat="0" applyBorder="0" applyAlignment="0" applyProtection="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50" fillId="0" borderId="165" applyNumberFormat="0" applyFill="0" applyAlignment="0" applyProtection="0">
      <alignment vertical="center"/>
    </xf>
    <xf numFmtId="0" fontId="142" fillId="24" borderId="0" applyNumberFormat="0" applyBorder="0" applyAlignment="0" applyProtection="0">
      <alignment vertical="center"/>
    </xf>
    <xf numFmtId="0" fontId="85" fillId="0" borderId="0">
      <alignment vertical="center"/>
    </xf>
    <xf numFmtId="0" fontId="85" fillId="0" borderId="0"/>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8" fillId="20"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25"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2" fillId="44" borderId="0" applyNumberFormat="0" applyBorder="0" applyAlignment="0" applyProtection="0">
      <alignment vertical="center"/>
    </xf>
    <xf numFmtId="0" fontId="8" fillId="36" borderId="0" applyNumberFormat="0" applyBorder="0" applyAlignment="0" applyProtection="0">
      <alignment vertical="center"/>
    </xf>
    <xf numFmtId="0" fontId="8" fillId="20"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1" fillId="23" borderId="160" applyNumberFormat="0" applyFont="0" applyAlignment="0" applyProtection="0">
      <alignment vertical="center"/>
    </xf>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5" fillId="0" borderId="0">
      <alignment vertical="center"/>
    </xf>
    <xf numFmtId="0" fontId="8" fillId="0" borderId="0">
      <alignment vertical="center"/>
    </xf>
    <xf numFmtId="0" fontId="142" fillId="31"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5" fillId="0" borderId="0">
      <alignment vertical="center"/>
    </xf>
    <xf numFmtId="0" fontId="8" fillId="25" borderId="0" applyNumberFormat="0" applyBorder="0" applyAlignment="0" applyProtection="0">
      <alignment vertical="center"/>
    </xf>
    <xf numFmtId="0" fontId="142" fillId="24"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5" fillId="0" borderId="0"/>
    <xf numFmtId="0" fontId="85" fillId="0" borderId="0"/>
    <xf numFmtId="0" fontId="8" fillId="0" borderId="0">
      <alignment vertical="center"/>
    </xf>
    <xf numFmtId="0" fontId="8" fillId="30" borderId="0" applyNumberFormat="0" applyBorder="0" applyAlignment="0" applyProtection="0">
      <alignment vertical="center"/>
    </xf>
    <xf numFmtId="0" fontId="85" fillId="0" borderId="0"/>
    <xf numFmtId="0" fontId="8" fillId="0" borderId="0">
      <alignment vertical="center"/>
    </xf>
    <xf numFmtId="0" fontId="142" fillId="39"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153" fillId="0" borderId="167" applyNumberFormat="0" applyFill="0" applyAlignment="0" applyProtection="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26" borderId="0" applyNumberFormat="0" applyBorder="0" applyAlignment="0" applyProtection="0">
      <alignment vertical="center"/>
    </xf>
    <xf numFmtId="0" fontId="142" fillId="24"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155" fillId="46" borderId="0" applyNumberFormat="0" applyBorder="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142" fillId="24"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7"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5" fillId="0" borderId="0">
      <alignment vertical="center"/>
    </xf>
    <xf numFmtId="0" fontId="142" fillId="24"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3" fillId="0" borderId="0" applyNumberFormat="0" applyFill="0" applyBorder="0" applyAlignment="0" applyProtection="0">
      <alignment vertical="center"/>
    </xf>
    <xf numFmtId="0" fontId="8" fillId="26" borderId="0" applyNumberFormat="0" applyBorder="0" applyAlignment="0" applyProtection="0">
      <alignment vertical="center"/>
    </xf>
    <xf numFmtId="0" fontId="85" fillId="0" borderId="0">
      <alignment vertical="center"/>
    </xf>
    <xf numFmtId="0" fontId="142" fillId="38" borderId="0" applyNumberFormat="0" applyBorder="0" applyAlignment="0" applyProtection="0">
      <alignment vertical="center"/>
    </xf>
    <xf numFmtId="0" fontId="142"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5" fillId="0" borderId="0">
      <alignment vertical="center"/>
    </xf>
    <xf numFmtId="0" fontId="142" fillId="38" borderId="0" applyNumberFormat="0" applyBorder="0" applyAlignment="0" applyProtection="0">
      <alignment vertical="center"/>
    </xf>
    <xf numFmtId="0" fontId="142"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5" fillId="0" borderId="0">
      <alignment vertical="center"/>
    </xf>
    <xf numFmtId="0" fontId="8" fillId="0" borderId="0">
      <alignment vertical="center"/>
    </xf>
    <xf numFmtId="0" fontId="142" fillId="31"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9" fontId="85" fillId="0" borderId="0" applyFont="0" applyFill="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142" fillId="31"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142" fillId="24" borderId="0" applyNumberFormat="0" applyBorder="0" applyAlignment="0" applyProtection="0">
      <alignment vertical="center"/>
    </xf>
    <xf numFmtId="0" fontId="8" fillId="26" borderId="0" applyNumberFormat="0" applyBorder="0" applyAlignment="0" applyProtection="0">
      <alignment vertical="center"/>
    </xf>
    <xf numFmtId="0" fontId="8" fillId="22"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85" fillId="0" borderId="0"/>
    <xf numFmtId="0" fontId="8" fillId="30" borderId="0" applyNumberFormat="0" applyBorder="0" applyAlignment="0" applyProtection="0">
      <alignment vertical="center"/>
    </xf>
    <xf numFmtId="0" fontId="8" fillId="0" borderId="0">
      <alignment vertical="center"/>
    </xf>
    <xf numFmtId="0" fontId="85" fillId="0" borderId="0"/>
    <xf numFmtId="0" fontId="142" fillId="24" borderId="0" applyNumberFormat="0" applyBorder="0" applyAlignment="0" applyProtection="0">
      <alignment vertical="center"/>
    </xf>
    <xf numFmtId="0" fontId="85"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1" borderId="0" applyNumberFormat="0" applyBorder="0" applyAlignment="0" applyProtection="0">
      <alignment vertical="center"/>
    </xf>
    <xf numFmtId="0" fontId="8" fillId="26" borderId="0" applyNumberFormat="0" applyBorder="0" applyAlignment="0" applyProtection="0">
      <alignment vertical="center"/>
    </xf>
    <xf numFmtId="0" fontId="85" fillId="0" borderId="0"/>
    <xf numFmtId="0" fontId="8" fillId="0" borderId="0">
      <alignment vertical="center"/>
    </xf>
    <xf numFmtId="0" fontId="142" fillId="39" borderId="0" applyNumberFormat="0" applyBorder="0" applyAlignment="0" applyProtection="0">
      <alignment vertical="center"/>
    </xf>
    <xf numFmtId="0" fontId="142" fillId="33"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5" fillId="0" borderId="0"/>
    <xf numFmtId="0" fontId="8" fillId="22"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30" borderId="0" applyNumberFormat="0" applyBorder="0" applyAlignment="0" applyProtection="0">
      <alignment vertical="center"/>
    </xf>
    <xf numFmtId="0" fontId="142" fillId="39" borderId="0" applyNumberFormat="0" applyBorder="0" applyAlignment="0" applyProtection="0">
      <alignment vertical="center"/>
    </xf>
    <xf numFmtId="0" fontId="142" fillId="33" borderId="0" applyNumberFormat="0" applyBorder="0" applyAlignment="0" applyProtection="0">
      <alignment vertical="center"/>
    </xf>
    <xf numFmtId="0" fontId="8" fillId="26"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39" borderId="0" applyNumberFormat="0" applyBorder="0" applyAlignment="0" applyProtection="0">
      <alignment vertical="center"/>
    </xf>
    <xf numFmtId="0" fontId="8" fillId="22" borderId="0" applyNumberFormat="0" applyBorder="0" applyAlignment="0" applyProtection="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24" borderId="0" applyNumberFormat="0" applyBorder="0" applyAlignment="0" applyProtection="0">
      <alignment vertical="center"/>
    </xf>
    <xf numFmtId="0" fontId="155" fillId="46" borderId="0" applyNumberFormat="0" applyBorder="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22" borderId="0" applyNumberFormat="0" applyBorder="0" applyAlignment="0" applyProtection="0">
      <alignment vertical="center"/>
    </xf>
    <xf numFmtId="0" fontId="8" fillId="3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5" fillId="0" borderId="0"/>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6" borderId="0" applyNumberFormat="0" applyBorder="0" applyAlignment="0" applyProtection="0">
      <alignment vertical="center"/>
    </xf>
    <xf numFmtId="0" fontId="142" fillId="37" borderId="0" applyNumberFormat="0" applyBorder="0" applyAlignment="0" applyProtection="0">
      <alignment vertical="center"/>
    </xf>
    <xf numFmtId="0" fontId="8" fillId="22" borderId="0" applyNumberFormat="0" applyBorder="0" applyAlignment="0" applyProtection="0">
      <alignment vertical="center"/>
    </xf>
    <xf numFmtId="0" fontId="8" fillId="36"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36" borderId="0" applyNumberFormat="0" applyBorder="0" applyAlignment="0" applyProtection="0">
      <alignment vertical="center"/>
    </xf>
    <xf numFmtId="0" fontId="156"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22" borderId="0" applyNumberFormat="0" applyBorder="0" applyAlignment="0" applyProtection="0">
      <alignment vertical="center"/>
    </xf>
    <xf numFmtId="0" fontId="8" fillId="36" borderId="0" applyNumberFormat="0" applyBorder="0" applyAlignment="0" applyProtection="0">
      <alignment vertical="center"/>
    </xf>
    <xf numFmtId="0" fontId="85" fillId="0" borderId="0">
      <alignment vertical="center"/>
    </xf>
    <xf numFmtId="0" fontId="8" fillId="25"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53" fillId="0" borderId="167" applyNumberFormat="0" applyFill="0" applyAlignment="0" applyProtection="0">
      <alignment vertical="center"/>
    </xf>
    <xf numFmtId="0" fontId="8" fillId="36" borderId="0" applyNumberFormat="0" applyBorder="0" applyAlignment="0" applyProtection="0">
      <alignment vertical="center"/>
    </xf>
    <xf numFmtId="0" fontId="85"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144" fillId="32" borderId="0" applyNumberFormat="0" applyBorder="0" applyAlignment="0" applyProtection="0">
      <alignment vertical="center"/>
    </xf>
    <xf numFmtId="0" fontId="8" fillId="3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3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alignment vertical="center"/>
    </xf>
    <xf numFmtId="0" fontId="8" fillId="0" borderId="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142" fillId="33" borderId="0" applyNumberFormat="0" applyBorder="0" applyAlignment="0" applyProtection="0">
      <alignment vertical="center"/>
    </xf>
    <xf numFmtId="0" fontId="8" fillId="36" borderId="0" applyNumberFormat="0" applyBorder="0" applyAlignment="0" applyProtection="0">
      <alignment vertical="center"/>
    </xf>
    <xf numFmtId="0" fontId="85"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3" fillId="0" borderId="163" applyNumberFormat="0" applyFill="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30"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36" borderId="0" applyNumberFormat="0" applyBorder="0" applyAlignment="0" applyProtection="0">
      <alignment vertical="center"/>
    </xf>
    <xf numFmtId="0" fontId="142" fillId="33" borderId="0" applyNumberFormat="0" applyBorder="0" applyAlignment="0" applyProtection="0">
      <alignment vertical="center"/>
    </xf>
    <xf numFmtId="0" fontId="8" fillId="36" borderId="0" applyNumberFormat="0" applyBorder="0" applyAlignment="0" applyProtection="0">
      <alignment vertical="center"/>
    </xf>
    <xf numFmtId="0" fontId="142" fillId="33" borderId="0" applyNumberFormat="0" applyBorder="0" applyAlignment="0" applyProtection="0">
      <alignment vertical="center"/>
    </xf>
    <xf numFmtId="0" fontId="85" fillId="0" borderId="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36" borderId="0" applyNumberFormat="0" applyBorder="0" applyAlignment="0" applyProtection="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85" fillId="0" borderId="0">
      <alignment vertical="center"/>
    </xf>
    <xf numFmtId="0" fontId="8" fillId="6"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36"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156" fillId="0" borderId="0" applyNumberFormat="0" applyFill="0" applyBorder="0" applyAlignment="0" applyProtection="0">
      <alignment vertical="center"/>
    </xf>
    <xf numFmtId="0" fontId="8" fillId="21"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20"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5" fillId="0" borderId="0">
      <alignment vertical="center"/>
    </xf>
    <xf numFmtId="0" fontId="8" fillId="21"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2" fillId="37"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2" fillId="37" borderId="0" applyNumberFormat="0" applyBorder="0" applyAlignment="0" applyProtection="0">
      <alignment vertical="center"/>
    </xf>
    <xf numFmtId="0" fontId="144" fillId="32"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 fillId="25"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2" fillId="24" borderId="0" applyNumberFormat="0" applyBorder="0" applyAlignment="0" applyProtection="0">
      <alignment vertical="center"/>
    </xf>
    <xf numFmtId="0" fontId="8" fillId="22"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85" fillId="0" borderId="0"/>
    <xf numFmtId="0" fontId="85" fillId="0" borderId="0"/>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5" fillId="0" borderId="0"/>
    <xf numFmtId="0" fontId="8" fillId="0" borderId="0">
      <alignment vertical="center"/>
    </xf>
    <xf numFmtId="0" fontId="12" fillId="0" borderId="168" applyNumberFormat="0" applyFill="0" applyAlignment="0" applyProtection="0">
      <alignment vertical="center"/>
    </xf>
    <xf numFmtId="0" fontId="85" fillId="0" borderId="0"/>
    <xf numFmtId="0" fontId="8" fillId="22"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alignment vertical="center"/>
    </xf>
    <xf numFmtId="0" fontId="8" fillId="21"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5" fillId="0" borderId="0"/>
    <xf numFmtId="0" fontId="156" fillId="0" borderId="0" applyNumberFormat="0" applyFill="0" applyBorder="0" applyAlignment="0" applyProtection="0">
      <alignment vertical="center"/>
    </xf>
    <xf numFmtId="0" fontId="150" fillId="0" borderId="165" applyNumberFormat="0" applyFill="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5" fillId="0" borderId="0"/>
    <xf numFmtId="0" fontId="142" fillId="39" borderId="0" applyNumberFormat="0" applyBorder="0" applyAlignment="0" applyProtection="0">
      <alignment vertical="center"/>
    </xf>
    <xf numFmtId="0" fontId="12" fillId="0" borderId="168" applyNumberFormat="0" applyFill="0" applyAlignment="0" applyProtection="0">
      <alignment vertical="center"/>
    </xf>
    <xf numFmtId="0" fontId="143" fillId="0" borderId="163" applyNumberFormat="0" applyFill="0" applyAlignment="0" applyProtection="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24" borderId="0" applyNumberFormat="0" applyBorder="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28" borderId="0" applyNumberFormat="0" applyBorder="0" applyAlignment="0" applyProtection="0">
      <alignment vertical="center"/>
    </xf>
    <xf numFmtId="0" fontId="142" fillId="33" borderId="0" applyNumberFormat="0" applyBorder="0" applyAlignment="0" applyProtection="0">
      <alignment vertical="center"/>
    </xf>
    <xf numFmtId="0" fontId="8" fillId="36" borderId="0" applyNumberFormat="0" applyBorder="0" applyAlignment="0" applyProtection="0">
      <alignment vertical="center"/>
    </xf>
    <xf numFmtId="0" fontId="85" fillId="0" borderId="0">
      <alignment vertical="center"/>
    </xf>
    <xf numFmtId="0" fontId="8" fillId="3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30"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5"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5" fillId="0" borderId="0">
      <alignment vertical="center"/>
    </xf>
    <xf numFmtId="0" fontId="85" fillId="0" borderId="0"/>
    <xf numFmtId="0" fontId="8" fillId="3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36"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142" fillId="43" borderId="0" applyNumberFormat="0" applyBorder="0" applyAlignment="0" applyProtection="0">
      <alignment vertical="center"/>
    </xf>
    <xf numFmtId="0" fontId="142" fillId="33" borderId="0" applyNumberFormat="0" applyBorder="0" applyAlignment="0" applyProtection="0">
      <alignment vertical="center"/>
    </xf>
    <xf numFmtId="0" fontId="85" fillId="0" borderId="0"/>
    <xf numFmtId="0" fontId="8" fillId="36" borderId="0" applyNumberFormat="0" applyBorder="0" applyAlignment="0" applyProtection="0">
      <alignment vertical="center"/>
    </xf>
    <xf numFmtId="0" fontId="142" fillId="43" borderId="0" applyNumberFormat="0" applyBorder="0" applyAlignment="0" applyProtection="0">
      <alignment vertical="center"/>
    </xf>
    <xf numFmtId="0" fontId="85" fillId="0" borderId="0"/>
    <xf numFmtId="0" fontId="8" fillId="0" borderId="0">
      <alignment vertical="center"/>
    </xf>
    <xf numFmtId="0" fontId="8" fillId="36"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5" fillId="0" borderId="0">
      <alignment vertical="center"/>
    </xf>
    <xf numFmtId="0" fontId="142" fillId="43" borderId="0" applyNumberFormat="0" applyBorder="0" applyAlignment="0" applyProtection="0">
      <alignment vertical="center"/>
    </xf>
    <xf numFmtId="0" fontId="85" fillId="0" borderId="0"/>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5" fillId="0" borderId="0"/>
    <xf numFmtId="0" fontId="142" fillId="33" borderId="0" applyNumberFormat="0" applyBorder="0" applyAlignment="0" applyProtection="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6"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5"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8" fillId="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8" fillId="20" borderId="0" applyNumberFormat="0" applyBorder="0" applyAlignment="0" applyProtection="0">
      <alignment vertical="center"/>
    </xf>
    <xf numFmtId="0" fontId="8" fillId="25"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25"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5" fillId="0" borderId="0"/>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147" fillId="0" borderId="0" applyNumberFormat="0" applyFill="0" applyBorder="0" applyAlignment="0" applyProtection="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147"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143"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2" fillId="31" borderId="0" applyNumberFormat="0" applyBorder="0" applyAlignment="0" applyProtection="0">
      <alignment vertical="center"/>
    </xf>
    <xf numFmtId="0" fontId="8" fillId="3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2" fillId="47" borderId="0" applyNumberFormat="0" applyBorder="0" applyAlignment="0" applyProtection="0">
      <alignment vertical="center"/>
    </xf>
    <xf numFmtId="0" fontId="142" fillId="31" borderId="0" applyNumberFormat="0" applyBorder="0" applyAlignment="0" applyProtection="0">
      <alignment vertical="center"/>
    </xf>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 fillId="25"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5" fillId="0" borderId="0"/>
    <xf numFmtId="0" fontId="8" fillId="3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12" fillId="0" borderId="168" applyNumberFormat="0" applyFill="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142" fillId="43"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5" fillId="0" borderId="0">
      <alignment vertical="center"/>
    </xf>
    <xf numFmtId="0" fontId="8" fillId="20"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3" fillId="0" borderId="0" applyNumberFormat="0" applyFill="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36" borderId="0" applyNumberFormat="0" applyBorder="0" applyAlignment="0" applyProtection="0">
      <alignment vertical="center"/>
    </xf>
    <xf numFmtId="0" fontId="144" fillId="32" borderId="0" applyNumberFormat="0" applyBorder="0" applyAlignment="0" applyProtection="0">
      <alignment vertical="center"/>
    </xf>
    <xf numFmtId="0" fontId="8" fillId="36" borderId="0" applyNumberFormat="0" applyBorder="0" applyAlignment="0" applyProtection="0">
      <alignment vertical="center"/>
    </xf>
    <xf numFmtId="0" fontId="142" fillId="43" borderId="0" applyNumberFormat="0" applyBorder="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20" borderId="0" applyNumberFormat="0" applyBorder="0" applyAlignment="0" applyProtection="0">
      <alignment vertical="center"/>
    </xf>
    <xf numFmtId="0" fontId="144" fillId="32" borderId="0" applyNumberFormat="0" applyBorder="0" applyAlignment="0" applyProtection="0">
      <alignment vertical="center"/>
    </xf>
    <xf numFmtId="0" fontId="85" fillId="0" borderId="0"/>
    <xf numFmtId="0" fontId="8" fillId="36"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5" fillId="0" borderId="0"/>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30" borderId="0" applyNumberFormat="0" applyBorder="0" applyAlignment="0" applyProtection="0">
      <alignment vertical="center"/>
    </xf>
    <xf numFmtId="0" fontId="142" fillId="24" borderId="0" applyNumberFormat="0" applyBorder="0" applyAlignment="0" applyProtection="0">
      <alignment vertical="center"/>
    </xf>
    <xf numFmtId="0" fontId="142" fillId="39" borderId="0" applyNumberFormat="0" applyBorder="0" applyAlignment="0" applyProtection="0">
      <alignment vertical="center"/>
    </xf>
    <xf numFmtId="0" fontId="147" fillId="0" borderId="0" applyNumberFormat="0" applyFill="0" applyBorder="0" applyAlignment="0" applyProtection="0">
      <alignment vertical="center"/>
    </xf>
    <xf numFmtId="0" fontId="8" fillId="6" borderId="0" applyNumberFormat="0" applyBorder="0" applyAlignment="0" applyProtection="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142" fillId="24"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2" fillId="38" borderId="0" applyNumberFormat="0" applyBorder="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30"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30" borderId="0" applyNumberFormat="0" applyBorder="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2" fillId="39" borderId="0" applyNumberFormat="0" applyBorder="0" applyAlignment="0" applyProtection="0">
      <alignment vertical="center"/>
    </xf>
    <xf numFmtId="0" fontId="8" fillId="30" borderId="0" applyNumberFormat="0" applyBorder="0" applyAlignment="0" applyProtection="0">
      <alignment vertical="center"/>
    </xf>
    <xf numFmtId="0" fontId="147"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30" borderId="0" applyNumberFormat="0" applyBorder="0" applyAlignment="0" applyProtection="0">
      <alignment vertical="center"/>
    </xf>
    <xf numFmtId="0" fontId="142" fillId="24" borderId="0" applyNumberFormat="0" applyBorder="0" applyAlignment="0" applyProtection="0">
      <alignment vertical="center"/>
    </xf>
    <xf numFmtId="0" fontId="85" fillId="0" borderId="0"/>
    <xf numFmtId="0" fontId="8" fillId="30" borderId="0" applyNumberFormat="0" applyBorder="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42" fillId="39"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5" fillId="0" borderId="0"/>
    <xf numFmtId="0" fontId="142" fillId="31" borderId="0" applyNumberFormat="0" applyBorder="0" applyAlignment="0" applyProtection="0">
      <alignment vertical="center"/>
    </xf>
    <xf numFmtId="0" fontId="8" fillId="30" borderId="0" applyNumberFormat="0" applyBorder="0" applyAlignment="0" applyProtection="0">
      <alignment vertical="center"/>
    </xf>
    <xf numFmtId="0" fontId="8" fillId="6" borderId="0" applyNumberFormat="0" applyBorder="0" applyAlignment="0" applyProtection="0">
      <alignment vertical="center"/>
    </xf>
    <xf numFmtId="0" fontId="8" fillId="21" borderId="0" applyNumberFormat="0" applyBorder="0" applyAlignment="0" applyProtection="0">
      <alignment vertical="center"/>
    </xf>
    <xf numFmtId="0" fontId="85" fillId="0" borderId="0">
      <alignment vertical="center"/>
    </xf>
    <xf numFmtId="0" fontId="8" fillId="3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143"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5" fillId="0" borderId="0"/>
    <xf numFmtId="0" fontId="142" fillId="31" borderId="0" applyNumberFormat="0" applyBorder="0" applyAlignment="0" applyProtection="0">
      <alignment vertical="center"/>
    </xf>
    <xf numFmtId="0" fontId="8" fillId="21"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30"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5"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5" fillId="0" borderId="0"/>
    <xf numFmtId="0" fontId="85" fillId="0" borderId="0"/>
    <xf numFmtId="0" fontId="8" fillId="0" borderId="0">
      <alignment vertical="center"/>
    </xf>
    <xf numFmtId="0" fontId="8" fillId="30" borderId="0" applyNumberFormat="0" applyBorder="0" applyAlignment="0" applyProtection="0">
      <alignment vertical="center"/>
    </xf>
    <xf numFmtId="0" fontId="8" fillId="22" borderId="0" applyNumberFormat="0" applyBorder="0" applyAlignment="0" applyProtection="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12"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5" fillId="0" borderId="0"/>
    <xf numFmtId="0" fontId="8" fillId="2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22"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2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28" borderId="0" applyNumberFormat="0" applyBorder="0" applyAlignment="0" applyProtection="0">
      <alignment vertical="center"/>
    </xf>
    <xf numFmtId="0" fontId="8" fillId="30"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142" fillId="38" borderId="0" applyNumberFormat="0" applyBorder="0" applyAlignment="0" applyProtection="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3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12" borderId="0" applyNumberFormat="0" applyBorder="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24" borderId="0" applyNumberFormat="0" applyBorder="0" applyAlignment="0" applyProtection="0">
      <alignment vertical="center"/>
    </xf>
    <xf numFmtId="0" fontId="8" fillId="30"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30" borderId="0" applyNumberFormat="0" applyBorder="0" applyAlignment="0" applyProtection="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5" fillId="0" borderId="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5"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152" fillId="42" borderId="166" applyNumberFormat="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5"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5"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55" fillId="46" borderId="0" applyNumberFormat="0" applyBorder="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2"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149" fillId="0" borderId="164" applyNumberFormat="0" applyFill="0" applyAlignment="0" applyProtection="0">
      <alignment vertical="center"/>
    </xf>
    <xf numFmtId="0" fontId="8" fillId="22"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147" fillId="0" borderId="0" applyNumberFormat="0" applyFill="0" applyBorder="0" applyAlignment="0" applyProtection="0">
      <alignment vertical="center"/>
    </xf>
    <xf numFmtId="0" fontId="8" fillId="28"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8" fillId="25"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142" fillId="39" borderId="0" applyNumberFormat="0" applyBorder="0" applyAlignment="0" applyProtection="0">
      <alignment vertical="center"/>
    </xf>
    <xf numFmtId="0" fontId="143" fillId="0" borderId="163" applyNumberFormat="0" applyFill="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 fillId="2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146" fillId="35"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143" fillId="0" borderId="0" applyNumberFormat="0" applyFill="0" applyBorder="0" applyAlignment="0" applyProtection="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149" fillId="0" borderId="164" applyNumberFormat="0" applyFill="0" applyAlignment="0" applyProtection="0">
      <alignment vertical="center"/>
    </xf>
    <xf numFmtId="0" fontId="8" fillId="25" borderId="0" applyNumberFormat="0" applyBorder="0" applyAlignment="0" applyProtection="0">
      <alignment vertical="center"/>
    </xf>
    <xf numFmtId="0" fontId="8" fillId="30"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2" fillId="4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30" borderId="0" applyNumberFormat="0" applyBorder="0" applyAlignment="0" applyProtection="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12"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30"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30"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27" borderId="0" applyNumberFormat="0" applyBorder="0" applyAlignment="0" applyProtection="0">
      <alignment vertical="center"/>
    </xf>
    <xf numFmtId="0" fontId="8" fillId="20" borderId="0" applyNumberFormat="0" applyBorder="0" applyAlignment="0" applyProtection="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5" fillId="0" borderId="0"/>
    <xf numFmtId="0" fontId="8" fillId="20" borderId="0" applyNumberFormat="0" applyBorder="0" applyAlignment="0" applyProtection="0">
      <alignment vertical="center"/>
    </xf>
    <xf numFmtId="0" fontId="142" fillId="24"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5" fillId="0" borderId="0"/>
    <xf numFmtId="0" fontId="85" fillId="0" borderId="0"/>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20" borderId="0" applyNumberFormat="0" applyBorder="0" applyAlignment="0" applyProtection="0">
      <alignment vertical="center"/>
    </xf>
    <xf numFmtId="0" fontId="8" fillId="25"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20" borderId="0" applyNumberFormat="0" applyBorder="0" applyAlignment="0" applyProtection="0">
      <alignment vertical="center"/>
    </xf>
    <xf numFmtId="0" fontId="142" fillId="24"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 fillId="22"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 fillId="25" borderId="0" applyNumberFormat="0" applyBorder="0" applyAlignment="0" applyProtection="0">
      <alignment vertical="center"/>
    </xf>
    <xf numFmtId="0" fontId="146" fillId="35"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5" fillId="0" borderId="0">
      <alignment vertical="center"/>
    </xf>
    <xf numFmtId="0" fontId="8" fillId="27"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5" fillId="0" borderId="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141" fillId="23" borderId="160" applyNumberFormat="0" applyFont="0" applyAlignment="0" applyProtection="0">
      <alignment vertical="center"/>
    </xf>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143" fillId="0" borderId="0" applyNumberFormat="0" applyFill="0" applyBorder="0" applyAlignment="0" applyProtection="0">
      <alignment vertical="center"/>
    </xf>
    <xf numFmtId="0" fontId="8" fillId="20" borderId="0" applyNumberFormat="0" applyBorder="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28" borderId="0" applyNumberFormat="0" applyBorder="0" applyAlignment="0" applyProtection="0">
      <alignment vertical="center"/>
    </xf>
    <xf numFmtId="0" fontId="141" fillId="23" borderId="160" applyNumberFormat="0" applyFont="0" applyAlignment="0" applyProtection="0">
      <alignment vertical="center"/>
    </xf>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143" fillId="0" borderId="0" applyNumberFormat="0" applyFill="0" applyBorder="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143" fillId="0" borderId="0" applyNumberFormat="0" applyFill="0" applyBorder="0" applyAlignment="0" applyProtection="0">
      <alignment vertical="center"/>
    </xf>
    <xf numFmtId="0" fontId="8" fillId="25" borderId="0" applyNumberFormat="0" applyBorder="0" applyAlignment="0" applyProtection="0">
      <alignment vertical="center"/>
    </xf>
    <xf numFmtId="0" fontId="143"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43" fillId="0" borderId="163" applyNumberFormat="0" applyFill="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22" borderId="0" applyNumberFormat="0" applyBorder="0" applyAlignment="0" applyProtection="0">
      <alignment vertical="center"/>
    </xf>
    <xf numFmtId="0" fontId="143" fillId="0" borderId="163" applyNumberFormat="0" applyFill="0" applyAlignment="0" applyProtection="0">
      <alignment vertical="center"/>
    </xf>
    <xf numFmtId="0" fontId="8" fillId="20"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43"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27" borderId="0" applyNumberFormat="0" applyBorder="0" applyAlignment="0" applyProtection="0">
      <alignment vertical="center"/>
    </xf>
    <xf numFmtId="0" fontId="8" fillId="20" borderId="0" applyNumberFormat="0" applyBorder="0" applyAlignment="0" applyProtection="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0"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 fillId="20" borderId="0" applyNumberFormat="0" applyBorder="0" applyAlignment="0" applyProtection="0">
      <alignment vertical="center"/>
    </xf>
    <xf numFmtId="0" fontId="8" fillId="0" borderId="0">
      <alignment vertical="center"/>
    </xf>
    <xf numFmtId="0" fontId="85" fillId="0" borderId="0">
      <alignment vertical="center"/>
    </xf>
    <xf numFmtId="0" fontId="152" fillId="42" borderId="166" applyNumberFormat="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21" borderId="0" applyNumberFormat="0" applyBorder="0" applyAlignment="0" applyProtection="0">
      <alignment vertical="center"/>
    </xf>
    <xf numFmtId="0" fontId="8" fillId="20" borderId="0" applyNumberFormat="0" applyBorder="0" applyAlignment="0" applyProtection="0">
      <alignment vertical="center"/>
    </xf>
    <xf numFmtId="0" fontId="143" fillId="0" borderId="0" applyNumberFormat="0" applyFill="0" applyBorder="0" applyAlignment="0" applyProtection="0">
      <alignment vertical="center"/>
    </xf>
    <xf numFmtId="0" fontId="142" fillId="48" borderId="0" applyNumberFormat="0" applyBorder="0" applyAlignment="0" applyProtection="0">
      <alignment vertical="center"/>
    </xf>
    <xf numFmtId="0" fontId="85" fillId="0" borderId="0"/>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42" fillId="24" borderId="0" applyNumberFormat="0" applyBorder="0" applyAlignment="0" applyProtection="0">
      <alignment vertical="center"/>
    </xf>
    <xf numFmtId="0" fontId="85" fillId="0" borderId="0"/>
    <xf numFmtId="0" fontId="85" fillId="0" borderId="0"/>
    <xf numFmtId="0" fontId="8" fillId="12"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152" fillId="42" borderId="166" applyNumberFormat="0" applyAlignment="0" applyProtection="0">
      <alignment vertical="center"/>
    </xf>
    <xf numFmtId="0" fontId="85"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0"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20"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5" fillId="0" borderId="0"/>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42" fillId="39"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51" fillId="42" borderId="161" applyNumberFormat="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alignment vertical="center"/>
    </xf>
    <xf numFmtId="0" fontId="85" fillId="0" borderId="0"/>
    <xf numFmtId="0" fontId="8" fillId="25"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5"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25"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5"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5" fillId="0" borderId="0">
      <alignment vertical="center"/>
    </xf>
    <xf numFmtId="0" fontId="85" fillId="0" borderId="0"/>
    <xf numFmtId="0" fontId="8" fillId="25"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56"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6" borderId="0" applyNumberFormat="0" applyBorder="0" applyAlignment="0" applyProtection="0">
      <alignment vertical="center"/>
    </xf>
    <xf numFmtId="0" fontId="156"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5" fillId="0" borderId="0"/>
    <xf numFmtId="0" fontId="142" fillId="38"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20" borderId="0" applyNumberFormat="0" applyBorder="0" applyAlignment="0" applyProtection="0">
      <alignment vertical="center"/>
    </xf>
    <xf numFmtId="0" fontId="85" fillId="0" borderId="0">
      <alignment vertical="center"/>
    </xf>
    <xf numFmtId="0" fontId="155" fillId="4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25" borderId="0" applyNumberFormat="0" applyBorder="0" applyAlignment="0" applyProtection="0">
      <alignment vertical="center"/>
    </xf>
    <xf numFmtId="0" fontId="8" fillId="22"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3" fillId="0" borderId="0" applyNumberFormat="0" applyFill="0" applyBorder="0" applyAlignment="0" applyProtection="0">
      <alignment vertical="center"/>
    </xf>
    <xf numFmtId="0" fontId="8" fillId="20"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5" fillId="0" borderId="0"/>
    <xf numFmtId="0" fontId="8" fillId="20"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85" fillId="0" borderId="0"/>
    <xf numFmtId="0" fontId="8" fillId="20" borderId="0" applyNumberFormat="0" applyBorder="0" applyAlignment="0" applyProtection="0">
      <alignment vertical="center"/>
    </xf>
    <xf numFmtId="0" fontId="8" fillId="6" borderId="0" applyNumberFormat="0" applyBorder="0" applyAlignment="0" applyProtection="0">
      <alignment vertical="center"/>
    </xf>
    <xf numFmtId="0" fontId="142" fillId="38" borderId="0" applyNumberFormat="0" applyBorder="0" applyAlignment="0" applyProtection="0">
      <alignment vertical="center"/>
    </xf>
    <xf numFmtId="0" fontId="143"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5" fillId="0" borderId="0"/>
    <xf numFmtId="0" fontId="142" fillId="31"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5" fillId="0" borderId="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142" fillId="37"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153" fillId="0" borderId="167" applyNumberFormat="0" applyFill="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142" fillId="37"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5" fillId="0" borderId="0"/>
    <xf numFmtId="0" fontId="142" fillId="37" borderId="0" applyNumberFormat="0" applyBorder="0" applyAlignment="0" applyProtection="0">
      <alignment vertical="center"/>
    </xf>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153" fillId="0" borderId="167" applyNumberFormat="0" applyFill="0" applyAlignment="0" applyProtection="0">
      <alignment vertical="center"/>
    </xf>
    <xf numFmtId="0" fontId="142" fillId="37"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2" fillId="0" borderId="168" applyNumberFormat="0" applyFill="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142" fillId="37"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5" fillId="0" borderId="0"/>
    <xf numFmtId="0" fontId="153" fillId="0" borderId="167" applyNumberFormat="0" applyFill="0" applyAlignment="0" applyProtection="0">
      <alignment vertical="center"/>
    </xf>
    <xf numFmtId="0" fontId="142" fillId="37" borderId="0" applyNumberFormat="0" applyBorder="0" applyAlignment="0" applyProtection="0">
      <alignment vertical="center"/>
    </xf>
    <xf numFmtId="0" fontId="143" fillId="0" borderId="163" applyNumberFormat="0" applyFill="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53" fillId="0" borderId="167" applyNumberFormat="0" applyFill="0" applyAlignment="0" applyProtection="0">
      <alignment vertical="center"/>
    </xf>
    <xf numFmtId="0" fontId="142" fillId="37" borderId="0" applyNumberFormat="0" applyBorder="0" applyAlignment="0" applyProtection="0">
      <alignment vertical="center"/>
    </xf>
    <xf numFmtId="0" fontId="156" fillId="0" borderId="0" applyNumberFormat="0" applyFill="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7" borderId="0" applyNumberFormat="0" applyBorder="0" applyAlignment="0" applyProtection="0">
      <alignment vertical="center"/>
    </xf>
    <xf numFmtId="0" fontId="8" fillId="21" borderId="0" applyNumberFormat="0" applyBorder="0" applyAlignment="0" applyProtection="0">
      <alignment vertical="center"/>
    </xf>
    <xf numFmtId="0" fontId="156" fillId="0" borderId="0" applyNumberFormat="0" applyFill="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8" fillId="28"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85" fillId="0" borderId="0"/>
    <xf numFmtId="0" fontId="8" fillId="21" borderId="0" applyNumberFormat="0" applyBorder="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21" borderId="0" applyNumberFormat="0" applyBorder="0" applyAlignment="0" applyProtection="0">
      <alignment vertical="center"/>
    </xf>
    <xf numFmtId="0" fontId="142" fillId="47"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150" fillId="0" borderId="165"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142" fillId="43"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44" fillId="32"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144" fillId="3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56" fillId="0" borderId="0" applyNumberFormat="0" applyFill="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142" fillId="24" borderId="0" applyNumberFormat="0" applyBorder="0" applyAlignment="0" applyProtection="0">
      <alignment vertical="center"/>
    </xf>
    <xf numFmtId="0" fontId="8" fillId="0" borderId="0">
      <alignment vertical="center"/>
    </xf>
    <xf numFmtId="0" fontId="85" fillId="0" borderId="0"/>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8" fillId="21"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5" fillId="0" borderId="0"/>
    <xf numFmtId="0" fontId="143" fillId="0" borderId="0" applyNumberFormat="0" applyFill="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5" fillId="0" borderId="0">
      <alignment vertical="center"/>
    </xf>
    <xf numFmtId="0" fontId="85" fillId="0" borderId="0"/>
    <xf numFmtId="0" fontId="142" fillId="38"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5" fillId="0" borderId="0">
      <alignment vertical="center"/>
    </xf>
    <xf numFmtId="0" fontId="8" fillId="21" borderId="0" applyNumberFormat="0" applyBorder="0" applyAlignment="0" applyProtection="0">
      <alignment vertical="center"/>
    </xf>
    <xf numFmtId="0" fontId="85" fillId="0" borderId="0">
      <alignment vertical="center"/>
    </xf>
    <xf numFmtId="0" fontId="85" fillId="0" borderId="0"/>
    <xf numFmtId="0" fontId="142" fillId="31" borderId="0" applyNumberFormat="0" applyBorder="0" applyAlignment="0" applyProtection="0">
      <alignment vertical="center"/>
    </xf>
    <xf numFmtId="0" fontId="85" fillId="0" borderId="0">
      <alignment vertical="center"/>
    </xf>
    <xf numFmtId="0" fontId="8" fillId="21"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5"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21" borderId="0" applyNumberFormat="0" applyBorder="0" applyAlignment="0" applyProtection="0">
      <alignment vertical="center"/>
    </xf>
    <xf numFmtId="0" fontId="85" fillId="0" borderId="0"/>
    <xf numFmtId="0" fontId="85"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5"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5"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21" borderId="0" applyNumberFormat="0" applyBorder="0" applyAlignment="0" applyProtection="0">
      <alignment vertical="center"/>
    </xf>
    <xf numFmtId="0" fontId="85" fillId="0" borderId="0">
      <alignment vertical="center"/>
    </xf>
    <xf numFmtId="0" fontId="142" fillId="3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142" fillId="31" borderId="0" applyNumberFormat="0" applyBorder="0" applyAlignment="0" applyProtection="0">
      <alignment vertical="center"/>
    </xf>
    <xf numFmtId="0" fontId="8" fillId="21" borderId="0" applyNumberFormat="0" applyBorder="0" applyAlignment="0" applyProtection="0">
      <alignment vertical="center"/>
    </xf>
    <xf numFmtId="0" fontId="85"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5" fillId="0" borderId="0"/>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2" fillId="31"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8"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8"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5" fillId="0" borderId="0"/>
    <xf numFmtId="0" fontId="8" fillId="25"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28" borderId="0" applyNumberFormat="0" applyBorder="0" applyAlignment="0" applyProtection="0">
      <alignment vertical="center"/>
    </xf>
    <xf numFmtId="0" fontId="85" fillId="0" borderId="0">
      <alignment vertical="center"/>
    </xf>
    <xf numFmtId="0" fontId="8" fillId="25"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25"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5" fillId="0" borderId="0"/>
    <xf numFmtId="0" fontId="142" fillId="31"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25"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5" fillId="0" borderId="0"/>
    <xf numFmtId="0" fontId="142" fillId="31" borderId="0" applyNumberFormat="0" applyBorder="0" applyAlignment="0" applyProtection="0">
      <alignment vertical="center"/>
    </xf>
    <xf numFmtId="0" fontId="85" fillId="0" borderId="0">
      <alignment vertical="center"/>
    </xf>
    <xf numFmtId="0" fontId="8" fillId="25"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25" borderId="0" applyNumberFormat="0" applyBorder="0" applyAlignment="0" applyProtection="0">
      <alignment vertical="center"/>
    </xf>
    <xf numFmtId="0" fontId="85" fillId="0" borderId="0"/>
    <xf numFmtId="0" fontId="142" fillId="31"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148" fillId="41" borderId="162" applyNumberFormat="0" applyAlignment="0" applyProtection="0">
      <alignment vertical="center"/>
    </xf>
    <xf numFmtId="0" fontId="8" fillId="12" borderId="0" applyNumberFormat="0" applyBorder="0" applyAlignment="0" applyProtection="0">
      <alignment vertical="center"/>
    </xf>
    <xf numFmtId="0" fontId="8" fillId="25"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2" fillId="34" borderId="0" applyNumberFormat="0" applyBorder="0" applyAlignment="0" applyProtection="0">
      <alignment vertical="center"/>
    </xf>
    <xf numFmtId="0" fontId="148" fillId="41" borderId="162" applyNumberForma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5" fillId="0" borderId="0"/>
    <xf numFmtId="0" fontId="85" fillId="0" borderId="0"/>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154" fillId="45" borderId="161" applyNumberFormat="0" applyAlignment="0" applyProtection="0">
      <alignment vertical="center"/>
    </xf>
    <xf numFmtId="0" fontId="8" fillId="28" borderId="0" applyNumberFormat="0" applyBorder="0" applyAlignment="0" applyProtection="0">
      <alignment vertical="center"/>
    </xf>
    <xf numFmtId="0" fontId="8" fillId="25" borderId="0" applyNumberFormat="0" applyBorder="0" applyAlignment="0" applyProtection="0">
      <alignment vertical="center"/>
    </xf>
    <xf numFmtId="0" fontId="85" fillId="0" borderId="0"/>
    <xf numFmtId="0" fontId="142" fillId="31" borderId="0" applyNumberFormat="0" applyBorder="0" applyAlignment="0" applyProtection="0">
      <alignment vertical="center"/>
    </xf>
    <xf numFmtId="0" fontId="8" fillId="25" borderId="0" applyNumberFormat="0" applyBorder="0" applyAlignment="0" applyProtection="0">
      <alignment vertical="center"/>
    </xf>
    <xf numFmtId="0" fontId="85"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142" fillId="37"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28" borderId="0" applyNumberFormat="0" applyBorder="0" applyAlignment="0" applyProtection="0">
      <alignment vertical="center"/>
    </xf>
    <xf numFmtId="0" fontId="142" fillId="4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5" fillId="0" borderId="0"/>
    <xf numFmtId="0" fontId="8" fillId="25"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5" fillId="0" borderId="0"/>
    <xf numFmtId="0" fontId="149" fillId="0" borderId="164" applyNumberFormat="0" applyFill="0" applyAlignment="0" applyProtection="0">
      <alignment vertical="center"/>
    </xf>
    <xf numFmtId="0" fontId="8" fillId="25"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5" fillId="0" borderId="0"/>
    <xf numFmtId="0" fontId="149" fillId="0" borderId="164" applyNumberFormat="0" applyFill="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141" fillId="23" borderId="160" applyNumberFormat="0" applyFont="0" applyAlignment="0" applyProtection="0">
      <alignment vertical="center"/>
    </xf>
    <xf numFmtId="0" fontId="8" fillId="25" borderId="0" applyNumberFormat="0" applyBorder="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8" fillId="25" borderId="0" applyNumberFormat="0" applyBorder="0" applyAlignment="0" applyProtection="0">
      <alignment vertical="center"/>
    </xf>
    <xf numFmtId="0" fontId="85"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145" fillId="0" borderId="0" applyNumberFormat="0" applyFill="0" applyBorder="0" applyAlignment="0" applyProtection="0">
      <alignment vertical="center"/>
    </xf>
    <xf numFmtId="0" fontId="85"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25"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2" fillId="24"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42" fillId="33"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25" borderId="0" applyNumberFormat="0" applyBorder="0" applyAlignment="0" applyProtection="0">
      <alignment vertical="center"/>
    </xf>
    <xf numFmtId="0" fontId="142" fillId="33"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143" fillId="0" borderId="0" applyNumberFormat="0" applyFill="0" applyBorder="0" applyAlignment="0" applyProtection="0">
      <alignment vertical="center"/>
    </xf>
    <xf numFmtId="0" fontId="85" fillId="0" borderId="0"/>
    <xf numFmtId="0" fontId="8" fillId="25" borderId="0" applyNumberFormat="0" applyBorder="0" applyAlignment="0" applyProtection="0">
      <alignment vertical="center"/>
    </xf>
    <xf numFmtId="0" fontId="8" fillId="27" borderId="0" applyNumberFormat="0" applyBorder="0" applyAlignment="0" applyProtection="0">
      <alignment vertical="center"/>
    </xf>
    <xf numFmtId="0" fontId="142" fillId="34" borderId="0" applyNumberFormat="0" applyBorder="0" applyAlignment="0" applyProtection="0">
      <alignment vertical="center"/>
    </xf>
    <xf numFmtId="0" fontId="85" fillId="0" borderId="0">
      <alignment vertical="center"/>
    </xf>
    <xf numFmtId="0" fontId="85" fillId="0" borderId="0"/>
    <xf numFmtId="0" fontId="8" fillId="25" borderId="0" applyNumberFormat="0" applyBorder="0" applyAlignment="0" applyProtection="0">
      <alignment vertical="center"/>
    </xf>
    <xf numFmtId="0" fontId="85" fillId="0" borderId="0">
      <alignment vertical="center"/>
    </xf>
    <xf numFmtId="0" fontId="8" fillId="25"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5" fillId="0" borderId="0">
      <alignment vertical="center"/>
    </xf>
    <xf numFmtId="0" fontId="8" fillId="25"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 fillId="25" borderId="0" applyNumberFormat="0" applyBorder="0" applyAlignment="0" applyProtection="0">
      <alignment vertical="center"/>
    </xf>
    <xf numFmtId="0" fontId="85"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42" fillId="33"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52" fillId="42" borderId="166" applyNumberFormat="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52" fillId="42" borderId="166" applyNumberFormat="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5"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5"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42" fillId="47" borderId="0" applyNumberFormat="0" applyBorder="0" applyAlignment="0" applyProtection="0">
      <alignment vertical="center"/>
    </xf>
    <xf numFmtId="0" fontId="142" fillId="33" borderId="0" applyNumberFormat="0" applyBorder="0" applyAlignment="0" applyProtection="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142" fillId="40"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22"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5" fillId="0" borderId="0"/>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141" fillId="23" borderId="160" applyNumberFormat="0" applyFont="0" applyAlignment="0" applyProtection="0">
      <alignment vertical="center"/>
    </xf>
    <xf numFmtId="0" fontId="144" fillId="32"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153" fillId="0" borderId="167" applyNumberFormat="0" applyFill="0" applyAlignment="0" applyProtection="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46" fillId="35"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5" fillId="0" borderId="0">
      <alignment vertical="center"/>
    </xf>
    <xf numFmtId="0" fontId="8" fillId="0" borderId="0">
      <alignment vertical="center"/>
    </xf>
    <xf numFmtId="0" fontId="8" fillId="28" borderId="0" applyNumberFormat="0" applyBorder="0" applyAlignment="0" applyProtection="0">
      <alignment vertical="center"/>
    </xf>
    <xf numFmtId="0" fontId="8" fillId="22"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8" fillId="28"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154" fillId="45" borderId="161" applyNumberFormat="0" applyAlignment="0" applyProtection="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143" fillId="0" borderId="0" applyNumberFormat="0" applyFill="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28" borderId="0" applyNumberFormat="0" applyBorder="0" applyAlignment="0" applyProtection="0">
      <alignment vertical="center"/>
    </xf>
    <xf numFmtId="0" fontId="85"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142" fillId="47"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43" borderId="0" applyNumberFormat="0" applyBorder="0" applyAlignment="0" applyProtection="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47" fillId="0" borderId="0" applyNumberFormat="0" applyFill="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28" borderId="0" applyNumberFormat="0" applyBorder="0" applyAlignment="0" applyProtection="0">
      <alignment vertical="center"/>
    </xf>
    <xf numFmtId="0" fontId="150" fillId="0" borderId="165" applyNumberFormat="0" applyFill="0" applyAlignment="0" applyProtection="0">
      <alignment vertical="center"/>
    </xf>
    <xf numFmtId="0" fontId="142" fillId="3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146" fillId="35" borderId="0" applyNumberFormat="0" applyBorder="0" applyAlignment="0" applyProtection="0">
      <alignment vertical="center"/>
    </xf>
    <xf numFmtId="0" fontId="85"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12"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2" fillId="24"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6" fillId="35" borderId="0" applyNumberFormat="0" applyBorder="0" applyAlignment="0" applyProtection="0">
      <alignment vertical="center"/>
    </xf>
    <xf numFmtId="0" fontId="85" fillId="0" borderId="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142" fillId="37"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53" fillId="0" borderId="167" applyNumberFormat="0" applyFill="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42" fillId="39" borderId="0" applyNumberFormat="0" applyBorder="0" applyAlignment="0" applyProtection="0">
      <alignment vertical="center"/>
    </xf>
    <xf numFmtId="0" fontId="142" fillId="38"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53" fillId="0" borderId="167" applyNumberFormat="0" applyFill="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50" fillId="0" borderId="165" applyNumberFormat="0" applyFill="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5" fillId="0" borderId="0"/>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12" borderId="0" applyNumberFormat="0" applyBorder="0" applyAlignment="0" applyProtection="0">
      <alignment vertical="center"/>
    </xf>
    <xf numFmtId="0" fontId="150" fillId="0" borderId="165" applyNumberFormat="0" applyFill="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142" fillId="39"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142" fillId="24" borderId="0" applyNumberFormat="0" applyBorder="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144" fillId="32"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52" fillId="42" borderId="166" applyNumberForma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12" borderId="0" applyNumberFormat="0" applyBorder="0" applyAlignment="0" applyProtection="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8" fillId="1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52" fillId="42" borderId="166" applyNumberFormat="0" applyAlignment="0" applyProtection="0">
      <alignment vertical="center"/>
    </xf>
    <xf numFmtId="0" fontId="8" fillId="12"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9" fillId="0" borderId="164" applyNumberFormat="0" applyFill="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5" fillId="0" borderId="0"/>
    <xf numFmtId="0" fontId="8" fillId="0" borderId="0">
      <alignment vertical="center"/>
    </xf>
    <xf numFmtId="0" fontId="142" fillId="37"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5" fillId="0" borderId="0"/>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42" fillId="38" borderId="0" applyNumberFormat="0" applyBorder="0" applyAlignment="0" applyProtection="0">
      <alignment vertical="center"/>
    </xf>
    <xf numFmtId="0" fontId="85" fillId="0" borderId="0"/>
    <xf numFmtId="0" fontId="142" fillId="34"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85" fillId="0" borderId="0"/>
    <xf numFmtId="0" fontId="85" fillId="0" borderId="0"/>
    <xf numFmtId="0" fontId="85" fillId="0" borderId="0"/>
    <xf numFmtId="0" fontId="8" fillId="22" borderId="0" applyNumberFormat="0" applyBorder="0" applyAlignment="0" applyProtection="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85" fillId="0" borderId="0"/>
    <xf numFmtId="0" fontId="8" fillId="0" borderId="0">
      <alignment vertical="center"/>
    </xf>
    <xf numFmtId="0" fontId="142" fillId="34"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6" borderId="0" applyNumberFormat="0" applyBorder="0" applyAlignment="0" applyProtection="0">
      <alignment vertical="center"/>
    </xf>
    <xf numFmtId="0" fontId="8" fillId="22" borderId="0" applyNumberFormat="0" applyBorder="0" applyAlignment="0" applyProtection="0">
      <alignment vertical="center"/>
    </xf>
    <xf numFmtId="0" fontId="152" fillId="42" borderId="166" applyNumberFormat="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44" fillId="32" borderId="0" applyNumberFormat="0" applyBorder="0" applyAlignment="0" applyProtection="0">
      <alignment vertical="center"/>
    </xf>
    <xf numFmtId="0" fontId="8" fillId="22"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22"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22"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5" fillId="0" borderId="0"/>
    <xf numFmtId="0" fontId="149" fillId="0" borderId="164" applyNumberFormat="0" applyFill="0" applyAlignment="0" applyProtection="0">
      <alignment vertical="center"/>
    </xf>
    <xf numFmtId="0" fontId="8" fillId="6"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5" fillId="0" borderId="0"/>
    <xf numFmtId="0" fontId="8" fillId="22" borderId="0" applyNumberFormat="0" applyBorder="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5" fillId="0" borderId="0"/>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 fillId="22" borderId="0" applyNumberFormat="0" applyBorder="0" applyAlignment="0" applyProtection="0">
      <alignment vertical="center"/>
    </xf>
    <xf numFmtId="0" fontId="144" fillId="32" borderId="0" applyNumberFormat="0" applyBorder="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42" fillId="43" borderId="0" applyNumberFormat="0" applyBorder="0" applyAlignment="0" applyProtection="0">
      <alignment vertical="center"/>
    </xf>
    <xf numFmtId="0" fontId="85" fillId="0" borderId="0"/>
    <xf numFmtId="0" fontId="149" fillId="0" borderId="164" applyNumberFormat="0" applyFill="0" applyAlignment="0" applyProtection="0">
      <alignment vertical="center"/>
    </xf>
    <xf numFmtId="0" fontId="8" fillId="22" borderId="0" applyNumberFormat="0" applyBorder="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5" fillId="0" borderId="0"/>
    <xf numFmtId="0" fontId="8" fillId="22" borderId="0" applyNumberFormat="0" applyBorder="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5" fillId="0" borderId="0"/>
    <xf numFmtId="0" fontId="142" fillId="31"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 fillId="22" borderId="0" applyNumberFormat="0" applyBorder="0" applyAlignment="0" applyProtection="0">
      <alignment vertical="center"/>
    </xf>
    <xf numFmtId="0" fontId="85" fillId="0" borderId="0">
      <alignment vertical="center"/>
    </xf>
    <xf numFmtId="0" fontId="8" fillId="0" borderId="0">
      <alignment vertical="center"/>
    </xf>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22" borderId="0" applyNumberFormat="0" applyBorder="0" applyAlignment="0" applyProtection="0">
      <alignment vertical="center"/>
    </xf>
    <xf numFmtId="0" fontId="142" fillId="39"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5" fillId="0" borderId="0"/>
    <xf numFmtId="0" fontId="8" fillId="22" borderId="0" applyNumberFormat="0" applyBorder="0" applyAlignment="0" applyProtection="0">
      <alignment vertical="center"/>
    </xf>
    <xf numFmtId="0" fontId="142" fillId="37" borderId="0" applyNumberFormat="0" applyBorder="0" applyAlignment="0" applyProtection="0">
      <alignment vertical="center"/>
    </xf>
    <xf numFmtId="0" fontId="8" fillId="22" borderId="0" applyNumberFormat="0" applyBorder="0" applyAlignment="0" applyProtection="0">
      <alignment vertical="center"/>
    </xf>
    <xf numFmtId="0" fontId="142" fillId="24" borderId="0" applyNumberFormat="0" applyBorder="0" applyAlignment="0" applyProtection="0">
      <alignment vertical="center"/>
    </xf>
    <xf numFmtId="0" fontId="85" fillId="0" borderId="0"/>
    <xf numFmtId="0" fontId="8" fillId="0" borderId="0">
      <alignment vertical="center"/>
    </xf>
    <xf numFmtId="0" fontId="147" fillId="0" borderId="0" applyNumberFormat="0" applyFill="0" applyBorder="0" applyAlignment="0" applyProtection="0">
      <alignment vertical="center"/>
    </xf>
    <xf numFmtId="0" fontId="8" fillId="22"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5" fillId="0" borderId="0">
      <alignment vertical="center"/>
    </xf>
    <xf numFmtId="0" fontId="8" fillId="6"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43" fillId="0" borderId="0" applyNumberFormat="0" applyFill="0" applyBorder="0" applyAlignment="0" applyProtection="0">
      <alignment vertical="center"/>
    </xf>
    <xf numFmtId="0" fontId="142" fillId="37" borderId="0" applyNumberFormat="0" applyBorder="0" applyAlignment="0" applyProtection="0">
      <alignment vertical="center"/>
    </xf>
    <xf numFmtId="0" fontId="142" fillId="40" borderId="0" applyNumberFormat="0" applyBorder="0" applyAlignment="0" applyProtection="0">
      <alignment vertical="center"/>
    </xf>
    <xf numFmtId="0" fontId="155" fillId="4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2" fillId="38"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150" fillId="0" borderId="165" applyNumberFormat="0" applyFill="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142" fillId="37" borderId="0" applyNumberFormat="0" applyBorder="0" applyAlignment="0" applyProtection="0">
      <alignment vertical="center"/>
    </xf>
    <xf numFmtId="0" fontId="8" fillId="0" borderId="0">
      <alignment vertical="center"/>
    </xf>
    <xf numFmtId="0" fontId="85" fillId="0" borderId="0"/>
    <xf numFmtId="0" fontId="142" fillId="37"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85" fillId="0" borderId="0">
      <alignment vertical="center"/>
    </xf>
    <xf numFmtId="0" fontId="143" fillId="0" borderId="0" applyNumberFormat="0" applyFill="0" applyBorder="0" applyAlignment="0" applyProtection="0">
      <alignment vertical="center"/>
    </xf>
    <xf numFmtId="0" fontId="8" fillId="6" borderId="0" applyNumberFormat="0" applyBorder="0" applyAlignment="0" applyProtection="0">
      <alignment vertical="center"/>
    </xf>
    <xf numFmtId="0" fontId="85" fillId="0" borderId="0"/>
    <xf numFmtId="0" fontId="85" fillId="0" borderId="0">
      <alignment vertical="center"/>
    </xf>
    <xf numFmtId="0" fontId="8" fillId="6" borderId="0" applyNumberFormat="0" applyBorder="0" applyAlignment="0" applyProtection="0">
      <alignment vertical="center"/>
    </xf>
    <xf numFmtId="0" fontId="8" fillId="0" borderId="0">
      <alignment vertical="center"/>
    </xf>
    <xf numFmtId="0" fontId="85" fillId="0" borderId="0"/>
    <xf numFmtId="0" fontId="85" fillId="0" borderId="0">
      <alignment vertical="center"/>
    </xf>
    <xf numFmtId="0" fontId="8" fillId="6" borderId="0" applyNumberFormat="0" applyBorder="0" applyAlignment="0" applyProtection="0">
      <alignment vertical="center"/>
    </xf>
    <xf numFmtId="0" fontId="8" fillId="0" borderId="0">
      <alignment vertical="center"/>
    </xf>
    <xf numFmtId="0" fontId="85" fillId="0" borderId="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85" fillId="0" borderId="0">
      <alignment vertical="center"/>
    </xf>
    <xf numFmtId="0" fontId="8" fillId="6" borderId="0" applyNumberFormat="0" applyBorder="0" applyAlignment="0" applyProtection="0">
      <alignment vertical="center"/>
    </xf>
    <xf numFmtId="0" fontId="8" fillId="0" borderId="0">
      <alignment vertical="center"/>
    </xf>
    <xf numFmtId="0" fontId="85" fillId="0" borderId="0"/>
    <xf numFmtId="0" fontId="85" fillId="0" borderId="0">
      <alignment vertical="center"/>
    </xf>
    <xf numFmtId="0" fontId="8" fillId="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6"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2" fillId="37" borderId="0" applyNumberFormat="0" applyBorder="0" applyAlignment="0" applyProtection="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5" fillId="0" borderId="0"/>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143" fillId="0" borderId="163" applyNumberFormat="0" applyFill="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5" fillId="0" borderId="0"/>
    <xf numFmtId="0" fontId="143" fillId="0" borderId="163" applyNumberFormat="0" applyFill="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6" borderId="0" applyNumberFormat="0" applyBorder="0" applyAlignment="0" applyProtection="0">
      <alignment vertical="center"/>
    </xf>
    <xf numFmtId="0" fontId="142" fillId="48"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5" fillId="0" borderId="0"/>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41" fillId="23" borderId="160" applyNumberFormat="0" applyFont="0" applyAlignment="0" applyProtection="0">
      <alignment vertical="center"/>
    </xf>
    <xf numFmtId="0" fontId="144" fillId="32"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42" fillId="37"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142" fillId="37"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43"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27"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155" fillId="4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6" borderId="0" applyNumberFormat="0" applyBorder="0" applyAlignment="0" applyProtection="0">
      <alignment vertical="center"/>
    </xf>
    <xf numFmtId="0" fontId="85" fillId="0" borderId="0"/>
    <xf numFmtId="0" fontId="8" fillId="0" borderId="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41" fillId="23" borderId="160" applyNumberFormat="0" applyFont="0" applyAlignment="0" applyProtection="0">
      <alignment vertical="center"/>
    </xf>
    <xf numFmtId="0" fontId="155" fillId="46" borderId="0" applyNumberFormat="0" applyBorder="0" applyAlignment="0" applyProtection="0">
      <alignment vertical="center"/>
    </xf>
    <xf numFmtId="0" fontId="8" fillId="6" borderId="0" applyNumberFormat="0" applyBorder="0" applyAlignment="0" applyProtection="0">
      <alignment vertical="center"/>
    </xf>
    <xf numFmtId="0" fontId="144" fillId="32" borderId="0" applyNumberFormat="0" applyBorder="0" applyAlignment="0" applyProtection="0">
      <alignment vertical="center"/>
    </xf>
    <xf numFmtId="0" fontId="143"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2" fillId="43" borderId="0" applyNumberFormat="0" applyBorder="0" applyAlignment="0" applyProtection="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42" fillId="24" borderId="0" applyNumberFormat="0" applyBorder="0" applyAlignment="0" applyProtection="0">
      <alignment vertical="center"/>
    </xf>
    <xf numFmtId="0" fontId="85" fillId="0" borderId="0"/>
    <xf numFmtId="0" fontId="150" fillId="0" borderId="165" applyNumberFormat="0" applyFill="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52" fillId="42" borderId="166" applyNumberFormat="0" applyAlignment="0" applyProtection="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8" fillId="41" borderId="162" applyNumberForma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27"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5" fillId="0" borderId="0">
      <alignment vertical="center"/>
    </xf>
    <xf numFmtId="0" fontId="142" fillId="40" borderId="0" applyNumberFormat="0" applyBorder="0" applyAlignment="0" applyProtection="0">
      <alignment vertical="center"/>
    </xf>
    <xf numFmtId="0" fontId="144" fillId="32"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8" fillId="27" borderId="0" applyNumberFormat="0" applyBorder="0" applyAlignment="0" applyProtection="0">
      <alignment vertical="center"/>
    </xf>
    <xf numFmtId="0" fontId="142" fillId="40"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8" fillId="27" borderId="0" applyNumberFormat="0" applyBorder="0" applyAlignment="0" applyProtection="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6" fillId="35"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3" fillId="0" borderId="0" applyNumberFormat="0" applyFill="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2" fillId="4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2" fillId="24" borderId="0" applyNumberFormat="0" applyBorder="0" applyAlignment="0" applyProtection="0">
      <alignment vertical="center"/>
    </xf>
    <xf numFmtId="0" fontId="143" fillId="0" borderId="0" applyNumberFormat="0" applyFill="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5" fillId="0" borderId="0"/>
    <xf numFmtId="0" fontId="85" fillId="0" borderId="0"/>
    <xf numFmtId="0" fontId="8" fillId="27" borderId="0" applyNumberFormat="0" applyBorder="0" applyAlignment="0" applyProtection="0">
      <alignment vertical="center"/>
    </xf>
    <xf numFmtId="0" fontId="142" fillId="39" borderId="0" applyNumberFormat="0" applyBorder="0" applyAlignment="0" applyProtection="0">
      <alignment vertical="center"/>
    </xf>
    <xf numFmtId="0" fontId="8" fillId="27" borderId="0" applyNumberFormat="0" applyBorder="0" applyAlignment="0" applyProtection="0">
      <alignment vertical="center"/>
    </xf>
    <xf numFmtId="0" fontId="142" fillId="39"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50" fillId="0" borderId="165"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142" fillId="40"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141" fillId="23" borderId="160" applyNumberFormat="0" applyFont="0" applyAlignment="0" applyProtection="0">
      <alignment vertical="center"/>
    </xf>
    <xf numFmtId="0" fontId="150" fillId="0" borderId="165"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1" fillId="23" borderId="160" applyNumberFormat="0" applyFont="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24"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143" fillId="0" borderId="0" applyNumberFormat="0" applyFill="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142" fillId="34" borderId="0" applyNumberFormat="0" applyBorder="0" applyAlignment="0" applyProtection="0">
      <alignment vertical="center"/>
    </xf>
    <xf numFmtId="0" fontId="142" fillId="33"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142" fillId="34"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8" fillId="0" borderId="0">
      <alignment vertical="center"/>
    </xf>
    <xf numFmtId="0" fontId="85" fillId="0" borderId="0"/>
    <xf numFmtId="0" fontId="85" fillId="0" borderId="0"/>
    <xf numFmtId="0" fontId="8" fillId="27" borderId="0" applyNumberFormat="0" applyBorder="0" applyAlignment="0" applyProtection="0">
      <alignment vertical="center"/>
    </xf>
    <xf numFmtId="0" fontId="85" fillId="0" borderId="0"/>
    <xf numFmtId="0" fontId="85" fillId="0" borderId="0"/>
    <xf numFmtId="0" fontId="8" fillId="27"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alignment vertical="center"/>
    </xf>
    <xf numFmtId="0" fontId="85" fillId="0" borderId="0">
      <alignment vertical="center"/>
    </xf>
    <xf numFmtId="0" fontId="142" fillId="24"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5" fillId="0" borderId="0">
      <alignment vertical="center"/>
    </xf>
    <xf numFmtId="0" fontId="142" fillId="24" borderId="0" applyNumberFormat="0" applyBorder="0" applyAlignment="0" applyProtection="0">
      <alignment vertical="center"/>
    </xf>
    <xf numFmtId="0" fontId="8" fillId="0" borderId="0">
      <alignment vertical="center"/>
    </xf>
    <xf numFmtId="0" fontId="154" fillId="45" borderId="161" applyNumberFormat="0" applyAlignment="0" applyProtection="0">
      <alignment vertical="center"/>
    </xf>
    <xf numFmtId="0" fontId="85" fillId="0" borderId="0">
      <alignment vertical="center"/>
    </xf>
    <xf numFmtId="0" fontId="142" fillId="24" borderId="0" applyNumberFormat="0" applyBorder="0" applyAlignment="0" applyProtection="0">
      <alignment vertical="center"/>
    </xf>
    <xf numFmtId="0" fontId="85" fillId="0" borderId="0">
      <alignment vertical="center"/>
    </xf>
    <xf numFmtId="0" fontId="142" fillId="24"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2" fillId="2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51" fillId="42" borderId="161" applyNumberFormat="0" applyAlignment="0" applyProtection="0">
      <alignment vertical="center"/>
    </xf>
    <xf numFmtId="0" fontId="85" fillId="0" borderId="0"/>
    <xf numFmtId="0" fontId="142" fillId="37"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5" fillId="0" borderId="0">
      <alignment vertical="center"/>
    </xf>
    <xf numFmtId="0" fontId="8" fillId="0" borderId="0">
      <alignment vertical="center"/>
    </xf>
    <xf numFmtId="0" fontId="142" fillId="2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2" fillId="24" borderId="0" applyNumberFormat="0" applyBorder="0" applyAlignment="0" applyProtection="0">
      <alignment vertical="center"/>
    </xf>
    <xf numFmtId="0" fontId="141" fillId="23" borderId="160" applyNumberFormat="0" applyFont="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142" fillId="40"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31"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5" fillId="0" borderId="0"/>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141" fillId="23" borderId="160" applyNumberFormat="0" applyFont="0" applyAlignment="0" applyProtection="0">
      <alignment vertical="center"/>
    </xf>
    <xf numFmtId="0" fontId="85" fillId="0" borderId="0"/>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85" fillId="0" borderId="0"/>
    <xf numFmtId="0" fontId="142" fillId="24" borderId="0" applyNumberFormat="0" applyBorder="0" applyAlignment="0" applyProtection="0">
      <alignment vertical="center"/>
    </xf>
    <xf numFmtId="0" fontId="142" fillId="39"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141" fillId="23" borderId="160" applyNumberFormat="0" applyFont="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142" fillId="2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142" fillId="34" borderId="0" applyNumberFormat="0" applyBorder="0" applyAlignment="0" applyProtection="0">
      <alignment vertical="center"/>
    </xf>
    <xf numFmtId="0" fontId="85" fillId="0" borderId="0"/>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5" fillId="0" borderId="0"/>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12" fillId="0" borderId="168" applyNumberFormat="0" applyFill="0" applyAlignment="0" applyProtection="0">
      <alignment vertical="center"/>
    </xf>
    <xf numFmtId="0" fontId="142" fillId="37" borderId="0" applyNumberFormat="0" applyBorder="0" applyAlignment="0" applyProtection="0">
      <alignment vertical="center"/>
    </xf>
    <xf numFmtId="0" fontId="142" fillId="24" borderId="0" applyNumberFormat="0" applyBorder="0" applyAlignment="0" applyProtection="0">
      <alignment vertical="center"/>
    </xf>
    <xf numFmtId="0" fontId="142" fillId="37"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56" fillId="0" borderId="0" applyNumberFormat="0" applyFill="0" applyBorder="0" applyAlignment="0" applyProtection="0">
      <alignment vertical="center"/>
    </xf>
    <xf numFmtId="0" fontId="150" fillId="0" borderId="165" applyNumberFormat="0" applyFill="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34" borderId="0" applyNumberFormat="0" applyBorder="0" applyAlignment="0" applyProtection="0">
      <alignment vertical="center"/>
    </xf>
    <xf numFmtId="0" fontId="142" fillId="40" borderId="0" applyNumberFormat="0" applyBorder="0" applyAlignment="0" applyProtection="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42" fillId="37" borderId="0" applyNumberFormat="0" applyBorder="0" applyAlignment="0" applyProtection="0">
      <alignment vertical="center"/>
    </xf>
    <xf numFmtId="0" fontId="142" fillId="40" borderId="0" applyNumberFormat="0" applyBorder="0" applyAlignment="0" applyProtection="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53" fillId="0" borderId="167" applyNumberFormat="0" applyFill="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5"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5" fillId="0" borderId="0"/>
    <xf numFmtId="0" fontId="141" fillId="23" borderId="160" applyNumberFormat="0" applyFont="0" applyAlignment="0" applyProtection="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144" fillId="32" borderId="0" applyNumberFormat="0" applyBorder="0" applyAlignment="0" applyProtection="0">
      <alignment vertical="center"/>
    </xf>
    <xf numFmtId="0" fontId="142" fillId="31" borderId="0" applyNumberFormat="0" applyBorder="0" applyAlignment="0" applyProtection="0">
      <alignment vertical="center"/>
    </xf>
    <xf numFmtId="0" fontId="153" fillId="0" borderId="167" applyNumberFormat="0" applyFill="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31"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2" fillId="47" borderId="0" applyNumberFormat="0" applyBorder="0" applyAlignment="0" applyProtection="0">
      <alignment vertical="center"/>
    </xf>
    <xf numFmtId="0" fontId="85" fillId="0" borderId="0"/>
    <xf numFmtId="0" fontId="142" fillId="31"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5"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43"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85" fillId="0" borderId="0">
      <alignment vertical="center"/>
    </xf>
    <xf numFmtId="0" fontId="142" fillId="33" borderId="0" applyNumberFormat="0" applyBorder="0" applyAlignment="0" applyProtection="0">
      <alignment vertical="center"/>
    </xf>
    <xf numFmtId="0" fontId="85" fillId="0" borderId="0">
      <alignment vertical="center"/>
    </xf>
    <xf numFmtId="0" fontId="142" fillId="3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85" fillId="0" borderId="0">
      <alignment vertical="center"/>
    </xf>
    <xf numFmtId="0" fontId="8" fillId="0" borderId="0">
      <alignment vertical="center"/>
    </xf>
    <xf numFmtId="0" fontId="142" fillId="33"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53" fillId="0" borderId="167" applyNumberFormat="0" applyFill="0" applyAlignment="0" applyProtection="0">
      <alignment vertical="center"/>
    </xf>
    <xf numFmtId="0" fontId="142" fillId="33"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5" fillId="0" borderId="0"/>
    <xf numFmtId="0" fontId="85"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53" fillId="0" borderId="167" applyNumberFormat="0" applyFill="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5"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150" fillId="0" borderId="165" applyNumberFormat="0" applyFill="0" applyAlignment="0" applyProtection="0">
      <alignment vertical="center"/>
    </xf>
    <xf numFmtId="0" fontId="142" fillId="47"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4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142" fillId="31"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2" fillId="31"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47"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142" fillId="31"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5" fillId="0" borderId="0">
      <alignment vertical="center"/>
    </xf>
    <xf numFmtId="0" fontId="141" fillId="23" borderId="160" applyNumberFormat="0" applyFont="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1" fillId="23" borderId="160" applyNumberFormat="0" applyFont="0" applyAlignment="0" applyProtection="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5"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142" fillId="48"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31" borderId="0" applyNumberFormat="0" applyBorder="0" applyAlignment="0" applyProtection="0">
      <alignment vertical="center"/>
    </xf>
    <xf numFmtId="0" fontId="142" fillId="48" borderId="0" applyNumberFormat="0" applyBorder="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5"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142" fillId="31" borderId="0" applyNumberFormat="0" applyBorder="0" applyAlignment="0" applyProtection="0">
      <alignment vertical="center"/>
    </xf>
    <xf numFmtId="0" fontId="149" fillId="0" borderId="164" applyNumberFormat="0" applyFill="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85" fillId="0" borderId="0"/>
    <xf numFmtId="0" fontId="142" fillId="33" borderId="0" applyNumberFormat="0" applyBorder="0" applyAlignment="0" applyProtection="0">
      <alignment vertical="center"/>
    </xf>
    <xf numFmtId="0" fontId="142" fillId="44" borderId="0" applyNumberFormat="0" applyBorder="0" applyAlignment="0" applyProtection="0">
      <alignment vertical="center"/>
    </xf>
    <xf numFmtId="0" fontId="85" fillId="0" borderId="0"/>
    <xf numFmtId="0" fontId="142" fillId="33"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142" fillId="38" borderId="0" applyNumberFormat="0" applyBorder="0" applyAlignment="0" applyProtection="0">
      <alignment vertical="center"/>
    </xf>
    <xf numFmtId="0" fontId="142" fillId="33" borderId="0" applyNumberFormat="0" applyBorder="0" applyAlignment="0" applyProtection="0">
      <alignment vertical="center"/>
    </xf>
    <xf numFmtId="0" fontId="154" fillId="45" borderId="161" applyNumberFormat="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5" fillId="0" borderId="0"/>
    <xf numFmtId="0" fontId="142" fillId="44"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54" fillId="45" borderId="161" applyNumberFormat="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33" borderId="0" applyNumberFormat="0" applyBorder="0" applyAlignment="0" applyProtection="0">
      <alignment vertical="center"/>
    </xf>
    <xf numFmtId="0" fontId="142" fillId="4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142" fillId="47" borderId="0" applyNumberFormat="0" applyBorder="0" applyAlignment="0" applyProtection="0">
      <alignment vertical="center"/>
    </xf>
    <xf numFmtId="0" fontId="85" fillId="0" borderId="0"/>
    <xf numFmtId="0" fontId="142" fillId="33" borderId="0" applyNumberFormat="0" applyBorder="0" applyAlignment="0" applyProtection="0">
      <alignment vertical="center"/>
    </xf>
    <xf numFmtId="0" fontId="85" fillId="0" borderId="0"/>
    <xf numFmtId="0" fontId="8" fillId="0" borderId="0">
      <alignment vertical="center"/>
    </xf>
    <xf numFmtId="0" fontId="142" fillId="47" borderId="0" applyNumberFormat="0" applyBorder="0" applyAlignment="0" applyProtection="0">
      <alignment vertical="center"/>
    </xf>
    <xf numFmtId="0" fontId="85" fillId="0" borderId="0"/>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5" fillId="0" borderId="0">
      <alignment vertical="center"/>
    </xf>
    <xf numFmtId="0" fontId="141" fillId="23" borderId="160" applyNumberFormat="0" applyFont="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142" fillId="38" borderId="0" applyNumberFormat="0" applyBorder="0" applyAlignment="0" applyProtection="0">
      <alignment vertical="center"/>
    </xf>
    <xf numFmtId="0" fontId="142" fillId="33" borderId="0" applyNumberFormat="0" applyBorder="0" applyAlignment="0" applyProtection="0">
      <alignment vertical="center"/>
    </xf>
    <xf numFmtId="0" fontId="154" fillId="45" borderId="161" applyNumberFormat="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154" fillId="45" borderId="161" applyNumberFormat="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42" fillId="4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2" fillId="33" borderId="0" applyNumberFormat="0" applyBorder="0" applyAlignment="0" applyProtection="0">
      <alignment vertical="center"/>
    </xf>
    <xf numFmtId="0" fontId="147" fillId="0" borderId="0" applyNumberFormat="0" applyFill="0" applyBorder="0" applyAlignment="0" applyProtection="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85" fillId="0" borderId="0">
      <alignment vertical="center"/>
    </xf>
    <xf numFmtId="0" fontId="8" fillId="0" borderId="0">
      <alignment vertical="center"/>
    </xf>
    <xf numFmtId="0" fontId="142" fillId="38" borderId="0" applyNumberFormat="0" applyBorder="0" applyAlignment="0" applyProtection="0">
      <alignment vertical="center"/>
    </xf>
    <xf numFmtId="0" fontId="85" fillId="0" borderId="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2" fillId="37"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34"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7" fillId="0" borderId="0" applyNumberFormat="0" applyFill="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2" fillId="34" borderId="0" applyNumberFormat="0" applyBorder="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5" fillId="0" borderId="0"/>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149" fillId="0" borderId="164" applyNumberFormat="0" applyFill="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2" fillId="38" borderId="0" applyNumberFormat="0" applyBorder="0" applyAlignment="0" applyProtection="0">
      <alignment vertical="center"/>
    </xf>
    <xf numFmtId="0" fontId="146" fillId="35"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34" borderId="0" applyNumberFormat="0" applyBorder="0" applyAlignment="0" applyProtection="0">
      <alignment vertical="center"/>
    </xf>
    <xf numFmtId="0" fontId="145" fillId="0" borderId="0" applyNumberFormat="0" applyFill="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142" fillId="38" borderId="0" applyNumberFormat="0" applyBorder="0" applyAlignment="0" applyProtection="0">
      <alignment vertical="center"/>
    </xf>
    <xf numFmtId="0" fontId="144" fillId="3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2" fillId="38"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39"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2" fillId="43" borderId="0" applyNumberFormat="0" applyBorder="0" applyAlignment="0" applyProtection="0">
      <alignment vertical="center"/>
    </xf>
    <xf numFmtId="0" fontId="85" fillId="0" borderId="0">
      <alignment vertical="center"/>
    </xf>
    <xf numFmtId="0" fontId="147" fillId="0" borderId="0" applyNumberFormat="0" applyFill="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144" fillId="3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5" fillId="0" borderId="0">
      <alignment vertical="center"/>
    </xf>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6" fillId="35" borderId="0" applyNumberFormat="0" applyBorder="0" applyAlignment="0" applyProtection="0">
      <alignment vertical="center"/>
    </xf>
    <xf numFmtId="0" fontId="142" fillId="37" borderId="0" applyNumberFormat="0" applyBorder="0" applyAlignment="0" applyProtection="0">
      <alignment vertical="center"/>
    </xf>
    <xf numFmtId="0" fontId="142" fillId="38" borderId="0" applyNumberFormat="0" applyBorder="0" applyAlignment="0" applyProtection="0">
      <alignment vertical="center"/>
    </xf>
    <xf numFmtId="0" fontId="85"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5" fillId="0" borderId="0"/>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5" fillId="0" borderId="0"/>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5" fillId="0" borderId="0"/>
    <xf numFmtId="0" fontId="85" fillId="0" borderId="0"/>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47"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34"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5" fillId="0" borderId="0"/>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50" fillId="0" borderId="165" applyNumberFormat="0" applyFill="0" applyAlignment="0" applyProtection="0">
      <alignment vertical="center"/>
    </xf>
    <xf numFmtId="0" fontId="142" fillId="34" borderId="0" applyNumberFormat="0" applyBorder="0" applyAlignment="0" applyProtection="0">
      <alignment vertical="center"/>
    </xf>
    <xf numFmtId="0" fontId="146" fillId="35" borderId="0" applyNumberFormat="0" applyBorder="0" applyAlignment="0" applyProtection="0">
      <alignment vertical="center"/>
    </xf>
    <xf numFmtId="0" fontId="142" fillId="40"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53" fillId="0" borderId="167" applyNumberFormat="0" applyFill="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85" fillId="0" borderId="0">
      <alignment vertical="center"/>
    </xf>
    <xf numFmtId="0" fontId="142" fillId="37" borderId="0" applyNumberFormat="0" applyBorder="0" applyAlignment="0" applyProtection="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142" fillId="37" borderId="0" applyNumberFormat="0" applyBorder="0" applyAlignment="0" applyProtection="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5" fillId="0" borderId="0"/>
    <xf numFmtId="0" fontId="142" fillId="34"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5" fillId="0" borderId="0"/>
    <xf numFmtId="0" fontId="142" fillId="34"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5" fillId="0" borderId="0"/>
    <xf numFmtId="0" fontId="153" fillId="0" borderId="167"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2" fillId="37" borderId="0" applyNumberFormat="0" applyBorder="0" applyAlignment="0" applyProtection="0">
      <alignment vertical="center"/>
    </xf>
    <xf numFmtId="0" fontId="145" fillId="0" borderId="0" applyNumberFormat="0" applyFill="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8" fillId="0" borderId="0">
      <alignment vertical="center"/>
    </xf>
    <xf numFmtId="0" fontId="85" fillId="0" borderId="0"/>
    <xf numFmtId="0" fontId="142" fillId="34" borderId="0" applyNumberFormat="0" applyBorder="0" applyAlignment="0" applyProtection="0">
      <alignment vertical="center"/>
    </xf>
    <xf numFmtId="0" fontId="85" fillId="0" borderId="0"/>
    <xf numFmtId="0" fontId="8" fillId="0" borderId="0">
      <alignment vertical="center"/>
    </xf>
    <xf numFmtId="0" fontId="85" fillId="0" borderId="0"/>
    <xf numFmtId="0" fontId="142" fillId="34"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5" fillId="0" borderId="0">
      <alignment vertical="center"/>
    </xf>
    <xf numFmtId="0" fontId="142" fillId="34"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6" fillId="35"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51" fillId="42" borderId="161" applyNumberFormat="0" applyAlignment="0" applyProtection="0">
      <alignment vertical="center"/>
    </xf>
    <xf numFmtId="0" fontId="142" fillId="37"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52" fillId="42" borderId="166" applyNumberFormat="0" applyAlignment="0" applyProtection="0">
      <alignment vertical="center"/>
    </xf>
    <xf numFmtId="0" fontId="151" fillId="42" borderId="161" applyNumberFormat="0" applyAlignment="0" applyProtection="0">
      <alignment vertical="center"/>
    </xf>
    <xf numFmtId="0" fontId="85" fillId="0" borderId="0"/>
    <xf numFmtId="0" fontId="142" fillId="37" borderId="0" applyNumberFormat="0" applyBorder="0" applyAlignment="0" applyProtection="0">
      <alignment vertical="center"/>
    </xf>
    <xf numFmtId="0" fontId="8" fillId="0" borderId="0">
      <alignment vertical="center"/>
    </xf>
    <xf numFmtId="0" fontId="151" fillId="42" borderId="161" applyNumberFormat="0" applyAlignment="0" applyProtection="0">
      <alignment vertical="center"/>
    </xf>
    <xf numFmtId="0" fontId="142" fillId="37" borderId="0" applyNumberFormat="0" applyBorder="0" applyAlignment="0" applyProtection="0">
      <alignment vertical="center"/>
    </xf>
    <xf numFmtId="0" fontId="151" fillId="42" borderId="161" applyNumberFormat="0" applyAlignment="0" applyProtection="0">
      <alignment vertical="center"/>
    </xf>
    <xf numFmtId="0" fontId="142" fillId="37" borderId="0" applyNumberFormat="0" applyBorder="0" applyAlignment="0" applyProtection="0">
      <alignment vertical="center"/>
    </xf>
    <xf numFmtId="0" fontId="151" fillId="42" borderId="161" applyNumberFormat="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5" fillId="0" borderId="0"/>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9" borderId="0" applyNumberFormat="0" applyBorder="0" applyAlignment="0" applyProtection="0">
      <alignment vertical="center"/>
    </xf>
    <xf numFmtId="0" fontId="85" fillId="0" borderId="0"/>
    <xf numFmtId="0" fontId="85"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9" fillId="0" borderId="164"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3" fillId="0" borderId="163" applyNumberFormat="0" applyFill="0" applyAlignment="0" applyProtection="0">
      <alignment vertical="center"/>
    </xf>
    <xf numFmtId="0" fontId="142" fillId="37" borderId="0" applyNumberFormat="0" applyBorder="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5" fillId="0" borderId="0"/>
    <xf numFmtId="0" fontId="154" fillId="45" borderId="161" applyNumberFormat="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5" fillId="0" borderId="0"/>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9" fillId="0" borderId="164" applyNumberFormat="0" applyFill="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142" fillId="37" borderId="0" applyNumberFormat="0" applyBorder="0" applyAlignment="0" applyProtection="0">
      <alignment vertical="center"/>
    </xf>
    <xf numFmtId="0" fontId="141" fillId="23" borderId="160" applyNumberFormat="0" applyFont="0" applyAlignment="0" applyProtection="0">
      <alignment vertical="center"/>
    </xf>
    <xf numFmtId="0" fontId="85" fillId="0" borderId="0"/>
    <xf numFmtId="0" fontId="142" fillId="37" borderId="0" applyNumberFormat="0" applyBorder="0" applyAlignment="0" applyProtection="0">
      <alignment vertical="center"/>
    </xf>
    <xf numFmtId="0" fontId="85" fillId="0" borderId="0"/>
    <xf numFmtId="0" fontId="142" fillId="37" borderId="0" applyNumberFormat="0" applyBorder="0" applyAlignment="0" applyProtection="0">
      <alignment vertical="center"/>
    </xf>
    <xf numFmtId="0" fontId="85" fillId="0" borderId="0"/>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142" fillId="37" borderId="0" applyNumberFormat="0" applyBorder="0" applyAlignment="0" applyProtection="0">
      <alignment vertical="center"/>
    </xf>
    <xf numFmtId="0" fontId="85" fillId="0" borderId="0"/>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142" fillId="37" borderId="0" applyNumberFormat="0" applyBorder="0" applyAlignment="0" applyProtection="0">
      <alignment vertical="center"/>
    </xf>
    <xf numFmtId="0" fontId="85" fillId="0" borderId="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5" fillId="0" borderId="0"/>
    <xf numFmtId="0" fontId="149" fillId="0" borderId="164" applyNumberFormat="0" applyFill="0" applyAlignment="0" applyProtection="0">
      <alignment vertical="center"/>
    </xf>
    <xf numFmtId="0" fontId="85" fillId="0" borderId="0"/>
    <xf numFmtId="0" fontId="8" fillId="0" borderId="0">
      <alignment vertical="center"/>
    </xf>
    <xf numFmtId="0" fontId="142" fillId="37"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142" fillId="37"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145" fillId="0" borderId="0" applyNumberFormat="0" applyFill="0" applyBorder="0" applyAlignment="0" applyProtection="0">
      <alignment vertical="center"/>
    </xf>
    <xf numFmtId="0" fontId="85" fillId="0" borderId="0"/>
    <xf numFmtId="0" fontId="142" fillId="37"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144" fillId="32"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4" fillId="32"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47"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2" fillId="39" borderId="0" applyNumberFormat="0" applyBorder="0" applyAlignment="0" applyProtection="0">
      <alignment vertical="center"/>
    </xf>
    <xf numFmtId="0" fontId="85" fillId="0" borderId="0"/>
    <xf numFmtId="0" fontId="85" fillId="0" borderId="0"/>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9" fillId="0" borderId="164" applyNumberFormat="0" applyFill="0" applyAlignment="0" applyProtection="0">
      <alignment vertical="center"/>
    </xf>
    <xf numFmtId="0" fontId="142" fillId="40"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9" fillId="0" borderId="164" applyNumberFormat="0" applyFill="0" applyAlignment="0" applyProtection="0">
      <alignment vertical="center"/>
    </xf>
    <xf numFmtId="0" fontId="85" fillId="0" borderId="0"/>
    <xf numFmtId="0" fontId="149" fillId="0" borderId="164" applyNumberFormat="0" applyFill="0" applyAlignment="0" applyProtection="0">
      <alignment vertical="center"/>
    </xf>
    <xf numFmtId="0" fontId="142" fillId="40" borderId="0" applyNumberFormat="0" applyBorder="0" applyAlignment="0" applyProtection="0">
      <alignment vertical="center"/>
    </xf>
    <xf numFmtId="0" fontId="149" fillId="0" borderId="164" applyNumberFormat="0" applyFill="0" applyAlignment="0" applyProtection="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85" fillId="0" borderId="0"/>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85" fillId="0" borderId="0"/>
    <xf numFmtId="0" fontId="149" fillId="0" borderId="164" applyNumberFormat="0" applyFill="0" applyAlignment="0" applyProtection="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5" fillId="0" borderId="0"/>
    <xf numFmtId="0" fontId="85" fillId="0" borderId="0"/>
    <xf numFmtId="0" fontId="149" fillId="0" borderId="164" applyNumberFormat="0" applyFill="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5" fillId="0" borderId="0"/>
    <xf numFmtId="0" fontId="85" fillId="0" borderId="0"/>
    <xf numFmtId="0" fontId="149" fillId="0" borderId="164" applyNumberFormat="0" applyFill="0" applyAlignment="0" applyProtection="0">
      <alignment vertical="center"/>
    </xf>
    <xf numFmtId="0" fontId="85" fillId="0" borderId="0"/>
    <xf numFmtId="0" fontId="85" fillId="0" borderId="0"/>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5" fillId="0" borderId="0"/>
    <xf numFmtId="0" fontId="85" fillId="0" borderId="0"/>
    <xf numFmtId="0" fontId="149" fillId="0" borderId="164" applyNumberFormat="0" applyFill="0" applyAlignment="0" applyProtection="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5" fillId="0" borderId="0">
      <alignment vertical="center"/>
    </xf>
    <xf numFmtId="0" fontId="8" fillId="0" borderId="0">
      <alignment vertical="center"/>
    </xf>
    <xf numFmtId="0" fontId="149" fillId="0" borderId="164" applyNumberFormat="0" applyFill="0" applyAlignment="0" applyProtection="0">
      <alignment vertical="center"/>
    </xf>
    <xf numFmtId="0" fontId="142" fillId="39"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5" fillId="0" borderId="0">
      <alignment vertical="center"/>
    </xf>
    <xf numFmtId="0" fontId="85"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5" fillId="0" borderId="0"/>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5" fillId="0" borderId="0"/>
    <xf numFmtId="0" fontId="8" fillId="0" borderId="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5" fillId="0" borderId="0"/>
    <xf numFmtId="0" fontId="150" fillId="0" borderId="165" applyNumberFormat="0" applyFill="0" applyAlignment="0" applyProtection="0">
      <alignment vertical="center"/>
    </xf>
    <xf numFmtId="0" fontId="142" fillId="43" borderId="0" applyNumberFormat="0" applyBorder="0" applyAlignment="0" applyProtection="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156" fillId="0" borderId="0" applyNumberFormat="0" applyFill="0" applyBorder="0" applyAlignment="0" applyProtection="0">
      <alignment vertical="center"/>
    </xf>
    <xf numFmtId="0" fontId="85" fillId="0" borderId="0"/>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143" fillId="0" borderId="163" applyNumberFormat="0" applyFill="0" applyAlignment="0" applyProtection="0">
      <alignment vertical="center"/>
    </xf>
    <xf numFmtId="0" fontId="153" fillId="0" borderId="167" applyNumberFormat="0" applyFill="0" applyAlignment="0" applyProtection="0">
      <alignment vertical="center"/>
    </xf>
    <xf numFmtId="0" fontId="143" fillId="0" borderId="163" applyNumberFormat="0" applyFill="0" applyAlignment="0" applyProtection="0">
      <alignment vertical="center"/>
    </xf>
    <xf numFmtId="0" fontId="153" fillId="0" borderId="167"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53" fillId="0" borderId="167" applyNumberFormat="0" applyFill="0" applyAlignment="0" applyProtection="0">
      <alignment vertical="center"/>
    </xf>
    <xf numFmtId="0" fontId="143" fillId="0" borderId="163" applyNumberFormat="0" applyFill="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53" fillId="0" borderId="167"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53" fillId="0" borderId="167" applyNumberFormat="0" applyFill="0" applyAlignment="0" applyProtection="0">
      <alignment vertical="center"/>
    </xf>
    <xf numFmtId="0" fontId="85" fillId="0" borderId="0"/>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5" fillId="0" borderId="0"/>
    <xf numFmtId="0" fontId="143" fillId="0" borderId="163" applyNumberFormat="0" applyFill="0" applyAlignment="0" applyProtection="0">
      <alignment vertical="center"/>
    </xf>
    <xf numFmtId="0" fontId="85" fillId="0" borderId="0"/>
    <xf numFmtId="0" fontId="143" fillId="0" borderId="163" applyNumberFormat="0" applyFill="0" applyAlignment="0" applyProtection="0">
      <alignment vertical="center"/>
    </xf>
    <xf numFmtId="0" fontId="85"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5" fillId="0" borderId="0"/>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5" fillId="0" borderId="0"/>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142" fillId="39" borderId="0" applyNumberFormat="0" applyBorder="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5" fillId="0" borderId="0"/>
    <xf numFmtId="0" fontId="8" fillId="0" borderId="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5" fillId="0" borderId="0"/>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52" fillId="42" borderId="166" applyNumberFormat="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2" fillId="43"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3" fillId="0" borderId="0" applyNumberFormat="0" applyFill="0" applyBorder="0" applyAlignment="0" applyProtection="0">
      <alignment vertical="center"/>
    </xf>
    <xf numFmtId="0" fontId="142" fillId="43"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5" fillId="0" borderId="0"/>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5" fillId="0" borderId="0">
      <alignment vertical="center"/>
    </xf>
    <xf numFmtId="0" fontId="85" fillId="0" borderId="0"/>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2" fillId="43"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2" fillId="43"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5" fillId="0" borderId="0"/>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7" fillId="0" borderId="0" applyNumberFormat="0" applyFill="0" applyBorder="0" applyAlignment="0" applyProtection="0">
      <alignment vertical="center"/>
    </xf>
    <xf numFmtId="0" fontId="142" fillId="44"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2" fillId="44" borderId="0" applyNumberFormat="0" applyBorder="0" applyAlignment="0" applyProtection="0">
      <alignment vertical="center"/>
    </xf>
    <xf numFmtId="0" fontId="147" fillId="0" borderId="0" applyNumberFormat="0" applyFill="0" applyBorder="0" applyAlignment="0" applyProtection="0">
      <alignment vertical="center"/>
    </xf>
    <xf numFmtId="0" fontId="142" fillId="44"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57"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7" fillId="0" borderId="0" applyNumberFormat="0" applyFill="0" applyBorder="0" applyAlignment="0" applyProtection="0">
      <alignment vertical="center"/>
    </xf>
    <xf numFmtId="0" fontId="85" fillId="0" borderId="0"/>
    <xf numFmtId="0" fontId="147" fillId="0" borderId="0" applyNumberFormat="0" applyFill="0" applyBorder="0" applyAlignment="0" applyProtection="0">
      <alignment vertical="center"/>
    </xf>
    <xf numFmtId="0" fontId="85" fillId="0" borderId="0"/>
    <xf numFmtId="0" fontId="147" fillId="0" borderId="0" applyNumberFormat="0" applyFill="0" applyBorder="0" applyAlignment="0" applyProtection="0">
      <alignment vertical="center"/>
    </xf>
    <xf numFmtId="0" fontId="85" fillId="0" borderId="0"/>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7" fillId="0" borderId="0" applyNumberFormat="0" applyFill="0" applyBorder="0" applyAlignment="0" applyProtection="0">
      <alignment vertical="center"/>
    </xf>
    <xf numFmtId="0" fontId="85" fillId="0" borderId="0"/>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5" fillId="0" borderId="0">
      <alignment vertical="center"/>
    </xf>
    <xf numFmtId="0" fontId="141" fillId="23" borderId="160" applyNumberFormat="0" applyFont="0" applyAlignment="0" applyProtection="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5"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5" fillId="0" borderId="0"/>
    <xf numFmtId="0" fontId="8" fillId="0" borderId="0">
      <alignment vertical="center"/>
    </xf>
    <xf numFmtId="0" fontId="144" fillId="32" borderId="0" applyNumberFormat="0" applyBorder="0" applyAlignment="0" applyProtection="0">
      <alignment vertical="center"/>
    </xf>
    <xf numFmtId="0" fontId="85" fillId="0" borderId="0"/>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5" fillId="0" borderId="0"/>
    <xf numFmtId="0" fontId="144" fillId="32" borderId="0" applyNumberFormat="0" applyBorder="0" applyAlignment="0" applyProtection="0">
      <alignment vertical="center"/>
    </xf>
    <xf numFmtId="0" fontId="85" fillId="0" borderId="0"/>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5" fillId="0" borderId="0"/>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5" fillId="0" borderId="0"/>
    <xf numFmtId="0" fontId="85" fillId="0" borderId="0"/>
    <xf numFmtId="0" fontId="153" fillId="0" borderId="167"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142" fillId="39" borderId="0" applyNumberFormat="0" applyBorder="0" applyAlignment="0" applyProtection="0">
      <alignment vertical="center"/>
    </xf>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141" fillId="23" borderId="160" applyNumberFormat="0" applyFont="0" applyAlignment="0" applyProtection="0">
      <alignment vertical="center"/>
    </xf>
    <xf numFmtId="0" fontId="85" fillId="0" borderId="0"/>
    <xf numFmtId="0" fontId="142" fillId="39" borderId="0" applyNumberFormat="0" applyBorder="0" applyAlignment="0" applyProtection="0">
      <alignment vertical="center"/>
    </xf>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142" fillId="39"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153" fillId="0" borderId="167" applyNumberFormat="0" applyFill="0" applyAlignment="0" applyProtection="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153" fillId="0" borderId="167" applyNumberFormat="0" applyFill="0" applyAlignment="0" applyProtection="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142" fillId="43" borderId="0" applyNumberFormat="0" applyBorder="0" applyAlignment="0" applyProtection="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85" fillId="0" borderId="0">
      <alignment vertical="center"/>
    </xf>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alignment vertical="center"/>
    </xf>
    <xf numFmtId="0" fontId="85" fillId="0" borderId="0"/>
    <xf numFmtId="0" fontId="154" fillId="45" borderId="161" applyNumberForma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alignment vertical="center"/>
    </xf>
    <xf numFmtId="0" fontId="85" fillId="0" borderId="0"/>
    <xf numFmtId="0" fontId="85" fillId="0" borderId="0"/>
    <xf numFmtId="0" fontId="85" fillId="0" borderId="0"/>
    <xf numFmtId="0" fontId="85"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85"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154" fillId="45" borderId="161" applyNumberFormat="0" applyAlignment="0" applyProtection="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154" fillId="45" borderId="161" applyNumberFormat="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154" fillId="45" borderId="161"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xf numFmtId="0" fontId="85" fillId="0" borderId="0">
      <alignment vertical="center"/>
    </xf>
    <xf numFmtId="0" fontId="8" fillId="0" borderId="0">
      <alignment vertical="center"/>
    </xf>
    <xf numFmtId="0" fontId="85" fillId="0" borderId="0"/>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142" fillId="39" borderId="0" applyNumberFormat="0" applyBorder="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141" fillId="23" borderId="160" applyNumberFormat="0" applyFont="0" applyAlignment="0" applyProtection="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154" fillId="45" borderId="161" applyNumberFormat="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154" fillId="45" borderId="161" applyNumberFormat="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154" fillId="45" borderId="161" applyNumberFormat="0" applyAlignment="0" applyProtection="0">
      <alignment vertical="center"/>
    </xf>
    <xf numFmtId="0" fontId="85" fillId="0" borderId="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154" fillId="45" borderId="161" applyNumberFormat="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5" fillId="0" borderId="0">
      <alignment vertical="center"/>
    </xf>
    <xf numFmtId="0" fontId="12" fillId="0" borderId="168" applyNumberFormat="0" applyFill="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142" fillId="40" borderId="0" applyNumberFormat="0" applyBorder="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2" fillId="40" borderId="0" applyNumberFormat="0" applyBorder="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154" fillId="45"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5" fillId="0" borderId="0"/>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xf numFmtId="0" fontId="85" fillId="0" borderId="0">
      <alignment vertical="center"/>
    </xf>
    <xf numFmtId="0" fontId="8" fillId="0" borderId="0">
      <alignment vertical="center"/>
    </xf>
    <xf numFmtId="0" fontId="85" fillId="0" borderId="0"/>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xf numFmtId="0" fontId="85" fillId="0" borderId="0">
      <alignment vertical="center"/>
    </xf>
    <xf numFmtId="0" fontId="8" fillId="0" borderId="0">
      <alignment vertical="center"/>
    </xf>
    <xf numFmtId="0" fontId="85" fillId="0" borderId="0"/>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alignment vertical="center"/>
    </xf>
    <xf numFmtId="0" fontId="85" fillId="0" borderId="0"/>
    <xf numFmtId="0" fontId="85" fillId="0" borderId="0">
      <alignment vertical="center"/>
    </xf>
    <xf numFmtId="0" fontId="142" fillId="44"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5" fillId="0" borderId="0">
      <alignment vertical="center"/>
    </xf>
    <xf numFmtId="0" fontId="85" fillId="0" borderId="0">
      <alignment vertical="center"/>
    </xf>
    <xf numFmtId="0" fontId="8" fillId="0" borderId="0">
      <alignment vertical="center"/>
    </xf>
    <xf numFmtId="0" fontId="85" fillId="0" borderId="0"/>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155" fillId="4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43" borderId="0" applyNumberFormat="0" applyBorder="0" applyAlignment="0" applyProtection="0">
      <alignment vertical="center"/>
    </xf>
    <xf numFmtId="0" fontId="85" fillId="0" borderId="0"/>
    <xf numFmtId="0" fontId="8" fillId="0" borderId="0">
      <alignment vertical="center"/>
    </xf>
    <xf numFmtId="0" fontId="142" fillId="43"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5" fillId="0" borderId="0"/>
    <xf numFmtId="0" fontId="8" fillId="0" borderId="0">
      <alignment vertical="center"/>
    </xf>
    <xf numFmtId="0" fontId="142" fillId="43"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6" fillId="35"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8" fillId="41" borderId="162" applyNumberFormat="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12" fillId="0" borderId="168" applyNumberFormat="0" applyFill="0" applyAlignment="0" applyProtection="0">
      <alignment vertical="center"/>
    </xf>
    <xf numFmtId="0" fontId="85" fillId="0" borderId="0">
      <alignment vertical="center"/>
    </xf>
    <xf numFmtId="0" fontId="85" fillId="0" borderId="0"/>
    <xf numFmtId="0" fontId="8" fillId="0" borderId="0">
      <alignment vertical="center"/>
    </xf>
    <xf numFmtId="0" fontId="12" fillId="0" borderId="168" applyNumberFormat="0" applyFill="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5" fillId="0" borderId="0"/>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5" fillId="0" borderId="0"/>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52" fillId="42" borderId="166" applyNumberForma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52" fillId="42" borderId="166" applyNumberFormat="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155" fillId="46"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5" fillId="0" borderId="0"/>
    <xf numFmtId="0" fontId="8" fillId="0" borderId="0">
      <alignment vertical="center"/>
    </xf>
    <xf numFmtId="0" fontId="157" fillId="0" borderId="0">
      <alignment vertical="center"/>
    </xf>
    <xf numFmtId="0" fontId="8" fillId="0" borderId="0">
      <alignment vertical="center"/>
    </xf>
    <xf numFmtId="0" fontId="10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152" fillId="42" borderId="166" applyNumberFormat="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alignment vertical="center"/>
    </xf>
    <xf numFmtId="0" fontId="85" fillId="0" borderId="0"/>
    <xf numFmtId="0" fontId="85" fillId="0" borderId="0"/>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154" fillId="45" borderId="161" applyNumberFormat="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54" fillId="45" borderId="161" applyNumberFormat="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4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54" fillId="45" borderId="161" applyNumberFormat="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152" fillId="42" borderId="166" applyNumberFormat="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152" fillId="42" borderId="166" applyNumberFormat="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85" fillId="0" borderId="0"/>
    <xf numFmtId="0" fontId="85" fillId="0" borderId="0"/>
    <xf numFmtId="0" fontId="151" fillId="42" borderId="161" applyNumberFormat="0" applyAlignment="0" applyProtection="0">
      <alignment vertical="center"/>
    </xf>
    <xf numFmtId="0" fontId="8" fillId="0" borderId="0">
      <alignment vertical="center"/>
    </xf>
    <xf numFmtId="0" fontId="85" fillId="0" borderId="0"/>
    <xf numFmtId="0" fontId="151" fillId="42" borderId="161" applyNumberFormat="0" applyAlignment="0" applyProtection="0">
      <alignment vertical="center"/>
    </xf>
    <xf numFmtId="0" fontId="8" fillId="0" borderId="0">
      <alignment vertical="center"/>
    </xf>
    <xf numFmtId="0" fontId="85" fillId="0" borderId="0"/>
    <xf numFmtId="0" fontId="85" fillId="0" borderId="0"/>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 fillId="0" borderId="0">
      <alignment vertical="center"/>
    </xf>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85" fillId="0" borderId="0"/>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2" fillId="39" borderId="0" applyNumberFormat="0" applyBorder="0" applyAlignment="0" applyProtection="0">
      <alignment vertical="center"/>
    </xf>
    <xf numFmtId="0" fontId="85" fillId="0" borderId="0"/>
    <xf numFmtId="0" fontId="8" fillId="0" borderId="0">
      <alignment vertical="center"/>
    </xf>
    <xf numFmtId="0" fontId="85" fillId="0" borderId="0"/>
    <xf numFmtId="0" fontId="142" fillId="39" borderId="0" applyNumberFormat="0" applyBorder="0" applyAlignment="0" applyProtection="0">
      <alignment vertical="center"/>
    </xf>
    <xf numFmtId="0" fontId="85" fillId="0" borderId="0"/>
    <xf numFmtId="0" fontId="8" fillId="0" borderId="0">
      <alignment vertical="center"/>
    </xf>
    <xf numFmtId="0" fontId="85" fillId="0" borderId="0"/>
    <xf numFmtId="0" fontId="142" fillId="39" borderId="0" applyNumberFormat="0" applyBorder="0" applyAlignment="0" applyProtection="0">
      <alignment vertical="center"/>
    </xf>
    <xf numFmtId="0" fontId="85" fillId="0" borderId="0"/>
    <xf numFmtId="0" fontId="85" fillId="0" borderId="0"/>
    <xf numFmtId="0" fontId="151" fillId="42" borderId="161" applyNumberFormat="0" applyAlignment="0" applyProtection="0">
      <alignment vertical="center"/>
    </xf>
    <xf numFmtId="0" fontId="85" fillId="0" borderId="0"/>
    <xf numFmtId="0" fontId="142" fillId="39" borderId="0" applyNumberFormat="0" applyBorder="0" applyAlignment="0" applyProtection="0">
      <alignment vertical="center"/>
    </xf>
    <xf numFmtId="0" fontId="85" fillId="0" borderId="0"/>
    <xf numFmtId="0" fontId="8" fillId="0" borderId="0">
      <alignment vertical="center"/>
    </xf>
    <xf numFmtId="0" fontId="85" fillId="0" borderId="0"/>
    <xf numFmtId="0" fontId="151" fillId="42" borderId="161" applyNumberFormat="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142" fillId="39" borderId="0" applyNumberFormat="0" applyBorder="0" applyAlignment="0" applyProtection="0">
      <alignment vertical="center"/>
    </xf>
    <xf numFmtId="0" fontId="85" fillId="0" borderId="0"/>
    <xf numFmtId="0" fontId="142" fillId="39" borderId="0" applyNumberFormat="0" applyBorder="0" applyAlignment="0" applyProtection="0">
      <alignment vertical="center"/>
    </xf>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xf numFmtId="0" fontId="85" fillId="0" borderId="0"/>
    <xf numFmtId="0" fontId="85" fillId="0" borderId="0"/>
    <xf numFmtId="0" fontId="152" fillId="42" borderId="166" applyNumberFormat="0" applyAlignment="0" applyProtection="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xf numFmtId="0" fontId="85" fillId="0" borderId="0">
      <alignment vertical="center"/>
    </xf>
    <xf numFmtId="0" fontId="85" fillId="0" borderId="0"/>
    <xf numFmtId="0" fontId="85" fillId="0" borderId="0"/>
    <xf numFmtId="0" fontId="8" fillId="0" borderId="0">
      <alignment vertical="center"/>
    </xf>
    <xf numFmtId="0" fontId="85" fillId="0" borderId="0">
      <alignment vertical="center"/>
    </xf>
    <xf numFmtId="0" fontId="85" fillId="0" borderId="0"/>
    <xf numFmtId="0" fontId="152" fillId="42" borderId="166" applyNumberFormat="0" applyAlignment="0" applyProtection="0">
      <alignment vertical="center"/>
    </xf>
    <xf numFmtId="0" fontId="85" fillId="0" borderId="0">
      <alignment vertical="center"/>
    </xf>
    <xf numFmtId="0" fontId="85" fillId="0" borderId="0"/>
    <xf numFmtId="0" fontId="85" fillId="0" borderId="0">
      <alignment vertical="center"/>
    </xf>
    <xf numFmtId="0" fontId="85" fillId="0" borderId="0"/>
    <xf numFmtId="0" fontId="85" fillId="0" borderId="0"/>
    <xf numFmtId="0" fontId="8" fillId="0" borderId="0">
      <alignment vertical="center"/>
    </xf>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152" fillId="42" borderId="166" applyNumberFormat="0" applyAlignment="0" applyProtection="0">
      <alignment vertical="center"/>
    </xf>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152" fillId="42" borderId="166" applyNumberFormat="0" applyAlignment="0" applyProtection="0">
      <alignment vertical="center"/>
    </xf>
    <xf numFmtId="0" fontId="85" fillId="0" borderId="0">
      <alignment vertical="center"/>
    </xf>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alignment vertical="center"/>
    </xf>
    <xf numFmtId="0" fontId="85" fillId="0" borderId="0"/>
    <xf numFmtId="0" fontId="142" fillId="48" borderId="0" applyNumberFormat="0" applyBorder="0" applyAlignment="0" applyProtection="0">
      <alignment vertical="center"/>
    </xf>
    <xf numFmtId="0" fontId="85" fillId="0" borderId="0"/>
    <xf numFmtId="0" fontId="85" fillId="0" borderId="0">
      <alignment vertical="center"/>
    </xf>
    <xf numFmtId="0" fontId="85" fillId="0" borderId="0"/>
    <xf numFmtId="0" fontId="156" fillId="0" borderId="0" applyNumberFormat="0" applyFill="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152" fillId="42" borderId="166" applyNumberFormat="0" applyAlignment="0" applyProtection="0">
      <alignment vertical="center"/>
    </xf>
    <xf numFmtId="0" fontId="85" fillId="0" borderId="0">
      <alignment vertical="center"/>
    </xf>
    <xf numFmtId="0" fontId="85" fillId="0" borderId="0"/>
    <xf numFmtId="0" fontId="152" fillId="42" borderId="166" applyNumberFormat="0" applyAlignment="0" applyProtection="0">
      <alignment vertical="center"/>
    </xf>
    <xf numFmtId="0" fontId="85" fillId="0" borderId="0">
      <alignment vertical="center"/>
    </xf>
    <xf numFmtId="0" fontId="85" fillId="0" borderId="0"/>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xf numFmtId="0" fontId="8"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151" fillId="42" borderId="161" applyNumberFormat="0" applyAlignment="0" applyProtection="0">
      <alignment vertical="center"/>
    </xf>
    <xf numFmtId="0" fontId="85" fillId="0" borderId="0">
      <alignment vertical="center"/>
    </xf>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alignment vertical="center"/>
    </xf>
    <xf numFmtId="0" fontId="85" fillId="0" borderId="0"/>
    <xf numFmtId="0" fontId="85" fillId="0" borderId="0"/>
    <xf numFmtId="0" fontId="142" fillId="39" borderId="0" applyNumberFormat="0" applyBorder="0" applyAlignment="0" applyProtection="0">
      <alignment vertical="center"/>
    </xf>
    <xf numFmtId="0" fontId="85" fillId="0" borderId="0"/>
    <xf numFmtId="0" fontId="142" fillId="39" borderId="0" applyNumberFormat="0" applyBorder="0" applyAlignment="0" applyProtection="0">
      <alignment vertical="center"/>
    </xf>
    <xf numFmtId="0" fontId="153" fillId="0" borderId="167" applyNumberFormat="0" applyFill="0" applyAlignment="0" applyProtection="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alignment vertical="center"/>
    </xf>
    <xf numFmtId="0" fontId="85" fillId="0" borderId="0"/>
    <xf numFmtId="0" fontId="142" fillId="40"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142" fillId="40" borderId="0" applyNumberFormat="0" applyBorder="0" applyAlignment="0" applyProtection="0">
      <alignment vertical="center"/>
    </xf>
    <xf numFmtId="0" fontId="85" fillId="0" borderId="0">
      <alignment vertical="center"/>
    </xf>
    <xf numFmtId="0" fontId="85" fillId="0" borderId="0"/>
    <xf numFmtId="0" fontId="142" fillId="40"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142" fillId="40" borderId="0" applyNumberFormat="0" applyBorder="0" applyAlignment="0" applyProtection="0">
      <alignment vertical="center"/>
    </xf>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142" fillId="40" borderId="0" applyNumberFormat="0" applyBorder="0" applyAlignment="0" applyProtection="0">
      <alignment vertical="center"/>
    </xf>
    <xf numFmtId="0" fontId="85" fillId="0" borderId="0"/>
    <xf numFmtId="0" fontId="8" fillId="0" borderId="0">
      <alignment vertical="center"/>
    </xf>
    <xf numFmtId="0" fontId="85" fillId="0" borderId="0"/>
    <xf numFmtId="0" fontId="85" fillId="0" borderId="0">
      <alignment vertical="center"/>
    </xf>
    <xf numFmtId="0" fontId="85" fillId="0" borderId="0"/>
    <xf numFmtId="0" fontId="8" fillId="0" borderId="0">
      <alignment vertical="center"/>
    </xf>
    <xf numFmtId="0" fontId="85" fillId="0" borderId="0"/>
    <xf numFmtId="0" fontId="85" fillId="0" borderId="0"/>
    <xf numFmtId="0" fontId="142" fillId="40" borderId="0" applyNumberFormat="0" applyBorder="0" applyAlignment="0" applyProtection="0">
      <alignment vertical="center"/>
    </xf>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152" fillId="42" borderId="166" applyNumberFormat="0" applyAlignment="0" applyProtection="0">
      <alignment vertical="center"/>
    </xf>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alignment vertical="center"/>
    </xf>
    <xf numFmtId="0" fontId="85" fillId="0" borderId="0"/>
    <xf numFmtId="0" fontId="142" fillId="48" borderId="0" applyNumberFormat="0" applyBorder="0" applyAlignment="0" applyProtection="0">
      <alignment vertical="center"/>
    </xf>
    <xf numFmtId="0" fontId="85" fillId="0" borderId="0">
      <alignment vertical="center"/>
    </xf>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153" fillId="0" borderId="167" applyNumberFormat="0" applyFill="0" applyAlignment="0" applyProtection="0">
      <alignment vertical="center"/>
    </xf>
    <xf numFmtId="0" fontId="85" fillId="0" borderId="0"/>
    <xf numFmtId="0" fontId="156"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153" fillId="0" borderId="167" applyNumberFormat="0" applyFill="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152" fillId="42" borderId="166" applyNumberFormat="0" applyAlignment="0" applyProtection="0">
      <alignment vertical="center"/>
    </xf>
    <xf numFmtId="0" fontId="8" fillId="0" borderId="0">
      <alignment vertical="center"/>
    </xf>
    <xf numFmtId="0" fontId="85" fillId="0" borderId="0"/>
    <xf numFmtId="0" fontId="152" fillId="42" borderId="166"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2" fillId="42" borderId="166" applyNumberFormat="0" applyAlignment="0" applyProtection="0">
      <alignment vertical="center"/>
    </xf>
    <xf numFmtId="0" fontId="85" fillId="0" borderId="0">
      <alignment vertical="center"/>
    </xf>
    <xf numFmtId="0" fontId="85" fillId="0" borderId="0"/>
    <xf numFmtId="0" fontId="85" fillId="0" borderId="0"/>
    <xf numFmtId="0" fontId="8" fillId="0" borderId="0">
      <alignment vertical="center"/>
    </xf>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6" fillId="35" borderId="0" applyNumberFormat="0" applyBorder="0" applyAlignment="0" applyProtection="0">
      <alignment vertical="center"/>
    </xf>
    <xf numFmtId="0" fontId="85" fillId="0" borderId="0"/>
    <xf numFmtId="0" fontId="146" fillId="35" borderId="0" applyNumberFormat="0" applyBorder="0" applyAlignment="0" applyProtection="0">
      <alignment vertical="center"/>
    </xf>
    <xf numFmtId="0" fontId="85" fillId="0" borderId="0"/>
    <xf numFmtId="0" fontId="146" fillId="35" borderId="0" applyNumberFormat="0" applyBorder="0" applyAlignment="0" applyProtection="0">
      <alignment vertical="center"/>
    </xf>
    <xf numFmtId="0" fontId="85" fillId="0" borderId="0"/>
    <xf numFmtId="0" fontId="146" fillId="35"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152" fillId="42" borderId="166" applyNumberFormat="0" applyAlignment="0" applyProtection="0">
      <alignment vertical="center"/>
    </xf>
    <xf numFmtId="0" fontId="85" fillId="0" borderId="0">
      <alignment vertical="center"/>
    </xf>
    <xf numFmtId="0" fontId="85" fillId="0" borderId="0"/>
    <xf numFmtId="0" fontId="152" fillId="42" borderId="166" applyNumberFormat="0" applyAlignment="0" applyProtection="0">
      <alignment vertical="center"/>
    </xf>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6" fillId="35" borderId="0" applyNumberFormat="0" applyBorder="0" applyAlignment="0" applyProtection="0">
      <alignment vertical="center"/>
    </xf>
    <xf numFmtId="0" fontId="85" fillId="0" borderId="0"/>
    <xf numFmtId="0" fontId="146" fillId="35"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151" fillId="42" borderId="161"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85" fillId="0" borderId="0"/>
    <xf numFmtId="0" fontId="142" fillId="48" borderId="0" applyNumberFormat="0" applyBorder="0" applyAlignment="0" applyProtection="0">
      <alignment vertical="center"/>
    </xf>
    <xf numFmtId="0" fontId="85" fillId="0" borderId="0"/>
    <xf numFmtId="0" fontId="8" fillId="0" borderId="0">
      <alignment vertical="center"/>
    </xf>
    <xf numFmtId="0" fontId="152" fillId="42" borderId="166" applyNumberFormat="0" applyAlignment="0" applyProtection="0">
      <alignment vertical="center"/>
    </xf>
    <xf numFmtId="0" fontId="85" fillId="0" borderId="0"/>
    <xf numFmtId="0" fontId="85" fillId="0" borderId="0"/>
    <xf numFmtId="0" fontId="85" fillId="0" borderId="0"/>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152" fillId="42" borderId="166"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154" fillId="45" borderId="161" applyNumberFormat="0" applyAlignment="0" applyProtection="0">
      <alignment vertical="center"/>
    </xf>
    <xf numFmtId="0" fontId="85" fillId="0" borderId="0"/>
    <xf numFmtId="0" fontId="154" fillId="45" borderId="161" applyNumberFormat="0" applyAlignment="0" applyProtection="0">
      <alignment vertical="center"/>
    </xf>
    <xf numFmtId="0" fontId="8" fillId="0" borderId="0">
      <alignment vertical="center"/>
    </xf>
    <xf numFmtId="0" fontId="85" fillId="0" borderId="0"/>
    <xf numFmtId="0" fontId="154" fillId="45" borderId="161" applyNumberFormat="0" applyAlignment="0" applyProtection="0">
      <alignment vertical="center"/>
    </xf>
    <xf numFmtId="0" fontId="8" fillId="0" borderId="0">
      <alignment vertical="center"/>
    </xf>
    <xf numFmtId="0" fontId="85" fillId="0" borderId="0"/>
    <xf numFmtId="0" fontId="154" fillId="45" borderId="161" applyNumberFormat="0" applyAlignment="0" applyProtection="0">
      <alignment vertical="center"/>
    </xf>
    <xf numFmtId="0" fontId="8" fillId="0" borderId="0">
      <alignment vertical="center"/>
    </xf>
    <xf numFmtId="0" fontId="85" fillId="0" borderId="0"/>
    <xf numFmtId="0" fontId="154" fillId="45" borderId="161" applyNumberFormat="0" applyAlignment="0" applyProtection="0">
      <alignment vertical="center"/>
    </xf>
    <xf numFmtId="0" fontId="8" fillId="0" borderId="0">
      <alignment vertical="center"/>
    </xf>
    <xf numFmtId="0" fontId="85" fillId="0" borderId="0"/>
    <xf numFmtId="0" fontId="154" fillId="45" borderId="161" applyNumberFormat="0" applyAlignment="0" applyProtection="0">
      <alignment vertical="center"/>
    </xf>
    <xf numFmtId="0" fontId="85" fillId="0" borderId="0"/>
    <xf numFmtId="0" fontId="154" fillId="45" borderId="161" applyNumberFormat="0" applyAlignment="0" applyProtection="0">
      <alignment vertical="center"/>
    </xf>
    <xf numFmtId="0" fontId="85" fillId="0" borderId="0"/>
    <xf numFmtId="0" fontId="154" fillId="45" borderId="161" applyNumberFormat="0" applyAlignment="0" applyProtection="0">
      <alignment vertical="center"/>
    </xf>
    <xf numFmtId="0" fontId="85" fillId="0" borderId="0"/>
    <xf numFmtId="0" fontId="154" fillId="45"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12" fillId="0" borderId="168" applyNumberFormat="0" applyFill="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141" fillId="23" borderId="160" applyNumberFormat="0" applyFont="0" applyAlignment="0" applyProtection="0">
      <alignment vertical="center"/>
    </xf>
    <xf numFmtId="0" fontId="8" fillId="0" borderId="0">
      <alignment vertical="center"/>
    </xf>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142" fillId="40"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168" applyNumberFormat="0" applyFill="0" applyAlignment="0" applyProtection="0">
      <alignment vertical="center"/>
    </xf>
    <xf numFmtId="0" fontId="85" fillId="0" borderId="0"/>
    <xf numFmtId="0" fontId="12" fillId="0" borderId="168" applyNumberFormat="0" applyFill="0" applyAlignment="0" applyProtection="0">
      <alignment vertical="center"/>
    </xf>
    <xf numFmtId="0" fontId="85" fillId="0" borderId="0"/>
    <xf numFmtId="0" fontId="12" fillId="0" borderId="168" applyNumberFormat="0" applyFill="0" applyAlignment="0" applyProtection="0">
      <alignment vertical="center"/>
    </xf>
    <xf numFmtId="0" fontId="85" fillId="0" borderId="0"/>
    <xf numFmtId="0" fontId="12" fillId="0" borderId="168" applyNumberFormat="0" applyFill="0" applyAlignment="0" applyProtection="0">
      <alignment vertical="center"/>
    </xf>
    <xf numFmtId="0" fontId="85" fillId="0" borderId="0"/>
    <xf numFmtId="0" fontId="12" fillId="0" borderId="168" applyNumberFormat="0" applyFill="0" applyAlignment="0" applyProtection="0">
      <alignment vertical="center"/>
    </xf>
    <xf numFmtId="0" fontId="85" fillId="0" borderId="0"/>
    <xf numFmtId="0" fontId="8" fillId="0" borderId="0">
      <alignment vertical="center"/>
    </xf>
    <xf numFmtId="0" fontId="12" fillId="0" borderId="168" applyNumberFormat="0" applyFill="0" applyAlignment="0" applyProtection="0">
      <alignment vertical="center"/>
    </xf>
    <xf numFmtId="0" fontId="85" fillId="0" borderId="0"/>
    <xf numFmtId="0" fontId="12" fillId="0" borderId="168" applyNumberFormat="0" applyFill="0" applyAlignment="0" applyProtection="0">
      <alignment vertical="center"/>
    </xf>
    <xf numFmtId="0" fontId="85" fillId="0" borderId="0"/>
    <xf numFmtId="0" fontId="12" fillId="0" borderId="168" applyNumberFormat="0" applyFill="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0"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6"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156"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3" fillId="0" borderId="167" applyNumberFormat="0" applyFill="0" applyAlignment="0" applyProtection="0">
      <alignment vertical="center"/>
    </xf>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8" fillId="0" borderId="0">
      <alignment vertical="center"/>
    </xf>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142" fillId="47" borderId="0" applyNumberFormat="0" applyBorder="0" applyAlignment="0" applyProtection="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153" fillId="0" borderId="167" applyNumberFormat="0" applyFill="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5" fillId="0" borderId="0" applyNumberFormat="0" applyFill="0" applyBorder="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153" fillId="0" borderId="167" applyNumberFormat="0" applyFill="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153" fillId="0" borderId="167" applyNumberFormat="0" applyFill="0" applyAlignment="0" applyProtection="0">
      <alignment vertical="center"/>
    </xf>
    <xf numFmtId="0" fontId="85" fillId="0" borderId="0"/>
    <xf numFmtId="0" fontId="153" fillId="0" borderId="167" applyNumberFormat="0" applyFill="0" applyAlignment="0" applyProtection="0">
      <alignment vertical="center"/>
    </xf>
    <xf numFmtId="0" fontId="85" fillId="0" borderId="0"/>
    <xf numFmtId="0" fontId="8" fillId="0" borderId="0">
      <alignment vertical="center"/>
    </xf>
    <xf numFmtId="0" fontId="153" fillId="0" borderId="167" applyNumberFormat="0" applyFill="0" applyAlignment="0" applyProtection="0">
      <alignment vertical="center"/>
    </xf>
    <xf numFmtId="0" fontId="85" fillId="0" borderId="0"/>
    <xf numFmtId="0" fontId="8" fillId="0" borderId="0">
      <alignment vertical="center"/>
    </xf>
    <xf numFmtId="0" fontId="153" fillId="0" borderId="167" applyNumberFormat="0" applyFill="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8" fillId="41" borderId="162" applyNumberFormat="0" applyAlignment="0" applyProtection="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153" fillId="0" borderId="167" applyNumberFormat="0" applyFill="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5" fillId="0" borderId="0"/>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5" fillId="0" borderId="0"/>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5" fillId="0" borderId="0"/>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5" fillId="0" borderId="0"/>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5" fillId="0" borderId="0"/>
    <xf numFmtId="0" fontId="85" fillId="0" borderId="0"/>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168" applyNumberFormat="0" applyFill="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3" borderId="0" applyNumberFormat="0" applyBorder="0" applyAlignment="0" applyProtection="0">
      <alignment vertical="center"/>
    </xf>
    <xf numFmtId="0" fontId="85" fillId="0" borderId="0"/>
    <xf numFmtId="0" fontId="85" fillId="0" borderId="0"/>
    <xf numFmtId="0" fontId="142" fillId="43" borderId="0" applyNumberFormat="0" applyBorder="0" applyAlignment="0" applyProtection="0">
      <alignment vertical="center"/>
    </xf>
    <xf numFmtId="0" fontId="142" fillId="47" borderId="0" applyNumberFormat="0" applyBorder="0" applyAlignment="0" applyProtection="0">
      <alignment vertical="center"/>
    </xf>
    <xf numFmtId="0" fontId="85" fillId="0" borderId="0"/>
    <xf numFmtId="0" fontId="142" fillId="43" borderId="0" applyNumberFormat="0" applyBorder="0" applyAlignment="0" applyProtection="0">
      <alignment vertical="center"/>
    </xf>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39"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alignment vertical="center"/>
    </xf>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3" fillId="0" borderId="167" applyNumberFormat="0" applyFill="0" applyAlignment="0" applyProtection="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146" fillId="35" borderId="0" applyNumberFormat="0" applyBorder="0" applyAlignment="0" applyProtection="0">
      <alignment vertical="center"/>
    </xf>
    <xf numFmtId="0" fontId="85" fillId="0" borderId="0"/>
    <xf numFmtId="0" fontId="146" fillId="35" borderId="0" applyNumberFormat="0" applyBorder="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155" fillId="46" borderId="0" applyNumberFormat="0" applyBorder="0" applyAlignment="0" applyProtection="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155" fillId="46"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151" fillId="42" borderId="161"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148" fillId="41" borderId="162"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148" fillId="41" borderId="162"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8" fillId="41" borderId="162"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142" fillId="43"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142" fillId="43"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152" fillId="42" borderId="166"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6" fillId="0" borderId="0" applyNumberFormat="0" applyFill="0" applyBorder="0" applyAlignment="0" applyProtection="0">
      <alignment vertical="center"/>
    </xf>
    <xf numFmtId="0" fontId="85" fillId="0" borderId="0"/>
    <xf numFmtId="0" fontId="156" fillId="0" borderId="0" applyNumberFormat="0" applyFill="0" applyBorder="0" applyAlignment="0" applyProtection="0">
      <alignment vertical="center"/>
    </xf>
    <xf numFmtId="0" fontId="85" fillId="0" borderId="0"/>
    <xf numFmtId="0" fontId="156" fillId="0" borderId="0" applyNumberFormat="0" applyFill="0" applyBorder="0" applyAlignment="0" applyProtection="0">
      <alignment vertical="center"/>
    </xf>
    <xf numFmtId="0" fontId="155" fillId="46" borderId="0" applyNumberFormat="0" applyBorder="0" applyAlignment="0" applyProtection="0">
      <alignment vertical="center"/>
    </xf>
    <xf numFmtId="0" fontId="85" fillId="0" borderId="0"/>
    <xf numFmtId="0" fontId="155" fillId="46"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142" fillId="43"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154" fillId="45" borderId="161"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151" fillId="42" borderId="161" applyNumberFormat="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3" borderId="0" applyNumberFormat="0" applyBorder="0" applyAlignment="0" applyProtection="0">
      <alignment vertical="center"/>
    </xf>
    <xf numFmtId="0" fontId="85" fillId="0" borderId="0"/>
    <xf numFmtId="0" fontId="85" fillId="0" borderId="0"/>
    <xf numFmtId="0" fontId="142" fillId="44" borderId="0" applyNumberFormat="0" applyBorder="0" applyAlignment="0" applyProtection="0">
      <alignment vertical="center"/>
    </xf>
    <xf numFmtId="0" fontId="85" fillId="0" borderId="0"/>
    <xf numFmtId="0" fontId="8" fillId="0" borderId="0">
      <alignment vertical="center"/>
    </xf>
    <xf numFmtId="0" fontId="85" fillId="0" borderId="0"/>
    <xf numFmtId="0" fontId="142" fillId="44" borderId="0" applyNumberFormat="0" applyBorder="0" applyAlignment="0" applyProtection="0">
      <alignment vertical="center"/>
    </xf>
    <xf numFmtId="0" fontId="85" fillId="0" borderId="0"/>
    <xf numFmtId="0" fontId="142" fillId="44"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85" fillId="0" borderId="0"/>
    <xf numFmtId="0" fontId="85" fillId="0" borderId="0"/>
    <xf numFmtId="0" fontId="151" fillId="42" borderId="161" applyNumberFormat="0" applyAlignment="0" applyProtection="0">
      <alignment vertical="center"/>
    </xf>
    <xf numFmtId="0" fontId="85" fillId="0" borderId="0"/>
    <xf numFmtId="0" fontId="151" fillId="42" borderId="161"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6" fillId="0" borderId="0" applyNumberFormat="0" applyFill="0" applyBorder="0" applyAlignment="0" applyProtection="0">
      <alignment vertical="center"/>
    </xf>
    <xf numFmtId="0" fontId="85" fillId="0" borderId="0"/>
    <xf numFmtId="0" fontId="156" fillId="0" borderId="0" applyNumberFormat="0" applyFill="0" applyBorder="0" applyAlignment="0" applyProtection="0">
      <alignment vertical="center"/>
    </xf>
    <xf numFmtId="0" fontId="85" fillId="0" borderId="0"/>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142" fillId="39" borderId="0" applyNumberFormat="0" applyBorder="0" applyAlignment="0" applyProtection="0">
      <alignment vertical="center"/>
    </xf>
    <xf numFmtId="0" fontId="157"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156" fillId="0" borderId="0" applyNumberFormat="0" applyFill="0" applyBorder="0" applyAlignment="0" applyProtection="0">
      <alignment vertical="center"/>
    </xf>
    <xf numFmtId="0" fontId="85" fillId="0" borderId="0"/>
    <xf numFmtId="0" fontId="156" fillId="0" borderId="0" applyNumberFormat="0" applyFill="0" applyBorder="0" applyAlignment="0" applyProtection="0">
      <alignment vertical="center"/>
    </xf>
    <xf numFmtId="0" fontId="85" fillId="0" borderId="0"/>
    <xf numFmtId="0" fontId="156"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85" fillId="0" borderId="0"/>
    <xf numFmtId="0" fontId="156" fillId="0" borderId="0" applyNumberFormat="0" applyFill="0" applyBorder="0" applyAlignment="0" applyProtection="0">
      <alignment vertical="center"/>
    </xf>
    <xf numFmtId="0" fontId="85" fillId="0" borderId="0"/>
    <xf numFmtId="0" fontId="156" fillId="0" borderId="0" applyNumberFormat="0" applyFill="0" applyBorder="0" applyAlignment="0" applyProtection="0">
      <alignment vertical="center"/>
    </xf>
    <xf numFmtId="0" fontId="85" fillId="0" borderId="0"/>
    <xf numFmtId="0" fontId="85" fillId="0" borderId="0"/>
    <xf numFmtId="0" fontId="85" fillId="0" borderId="0"/>
    <xf numFmtId="0" fontId="142" fillId="39"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39" borderId="0" applyNumberFormat="0" applyBorder="0" applyAlignment="0" applyProtection="0">
      <alignment vertical="center"/>
    </xf>
    <xf numFmtId="0" fontId="157"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39"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142" fillId="43"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153" fillId="0" borderId="167" applyNumberFormat="0" applyFill="0" applyAlignment="0" applyProtection="0">
      <alignment vertical="center"/>
    </xf>
    <xf numFmtId="0" fontId="85" fillId="0" borderId="0"/>
    <xf numFmtId="0" fontId="142" fillId="47" borderId="0" applyNumberFormat="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145" fillId="0" borderId="0" applyNumberFormat="0" applyFill="0" applyBorder="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142" fillId="47" borderId="0" applyNumberFormat="0" applyBorder="0" applyAlignment="0" applyProtection="0">
      <alignment vertical="center"/>
    </xf>
    <xf numFmtId="0" fontId="85" fillId="0" borderId="0"/>
    <xf numFmtId="0" fontId="8" fillId="0" borderId="0">
      <alignment vertical="center"/>
    </xf>
    <xf numFmtId="0" fontId="85" fillId="0" borderId="0"/>
    <xf numFmtId="0" fontId="142" fillId="47" borderId="0" applyNumberFormat="0" applyBorder="0" applyAlignment="0" applyProtection="0">
      <alignment vertical="center"/>
    </xf>
    <xf numFmtId="0" fontId="85" fillId="0" borderId="0"/>
    <xf numFmtId="0" fontId="142" fillId="47" borderId="0" applyNumberFormat="0" applyBorder="0" applyAlignment="0" applyProtection="0">
      <alignment vertical="center"/>
    </xf>
    <xf numFmtId="0" fontId="85" fillId="0" borderId="0"/>
    <xf numFmtId="0" fontId="8" fillId="0" borderId="0">
      <alignment vertical="center"/>
    </xf>
    <xf numFmtId="0" fontId="85" fillId="0" borderId="0"/>
    <xf numFmtId="0" fontId="142" fillId="47" borderId="0" applyNumberFormat="0" applyBorder="0" applyAlignment="0" applyProtection="0">
      <alignment vertical="center"/>
    </xf>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5" fillId="0" borderId="0">
      <alignment vertical="center"/>
    </xf>
    <xf numFmtId="0" fontId="8" fillId="0" borderId="0">
      <alignment vertical="center"/>
    </xf>
    <xf numFmtId="0" fontId="155" fillId="46"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152" fillId="42" borderId="166" applyNumberFormat="0" applyAlignment="0" applyProtection="0">
      <alignment vertical="center"/>
    </xf>
    <xf numFmtId="0" fontId="148" fillId="41" borderId="162" applyNumberFormat="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152" fillId="42" borderId="166" applyNumberFormat="0" applyAlignment="0" applyProtection="0">
      <alignment vertical="center"/>
    </xf>
    <xf numFmtId="0" fontId="85" fillId="0" borderId="0">
      <alignment vertical="center"/>
    </xf>
    <xf numFmtId="0" fontId="152" fillId="42" borderId="166"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52" fillId="42" borderId="166" applyNumberFormat="0" applyAlignment="0" applyProtection="0">
      <alignment vertical="center"/>
    </xf>
    <xf numFmtId="0" fontId="85" fillId="0" borderId="0">
      <alignment vertical="center"/>
    </xf>
    <xf numFmtId="0" fontId="85" fillId="0" borderId="0">
      <alignment vertical="center"/>
    </xf>
    <xf numFmtId="0" fontId="152" fillId="42" borderId="166" applyNumberFormat="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 fillId="0" borderId="0">
      <alignment vertical="center"/>
    </xf>
    <xf numFmtId="0" fontId="148" fillId="41" borderId="162" applyNumberFormat="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52" fillId="42" borderId="166" applyNumberFormat="0" applyAlignment="0" applyProtection="0">
      <alignment vertical="center"/>
    </xf>
    <xf numFmtId="0" fontId="85" fillId="0" borderId="0">
      <alignment vertical="center"/>
    </xf>
    <xf numFmtId="0" fontId="152" fillId="42" borderId="166"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52" fillId="42" borderId="166" applyNumberFormat="0" applyAlignment="0" applyProtection="0">
      <alignment vertical="center"/>
    </xf>
    <xf numFmtId="0" fontId="85" fillId="0" borderId="0">
      <alignment vertical="center"/>
    </xf>
    <xf numFmtId="0" fontId="85" fillId="0" borderId="0">
      <alignment vertical="center"/>
    </xf>
    <xf numFmtId="0" fontId="152" fillId="42" borderId="166"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5" fillId="0" borderId="0" applyNumberFormat="0" applyFill="0" applyBorder="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154" fillId="45" borderId="161"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154" fillId="45" borderId="161"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56" fillId="0" borderId="0" applyNumberFormat="0" applyFill="0" applyBorder="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12" fillId="0" borderId="168" applyNumberFormat="0" applyFill="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2" fillId="0" borderId="168" applyNumberFormat="0" applyFill="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2" fillId="39"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2" fillId="40"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2" fillId="44" borderId="0" applyNumberFormat="0" applyBorder="0" applyAlignment="0" applyProtection="0">
      <alignment vertical="center"/>
    </xf>
    <xf numFmtId="0" fontId="155" fillId="46" borderId="0" applyNumberFormat="0" applyBorder="0" applyAlignment="0" applyProtection="0">
      <alignment vertical="center"/>
    </xf>
    <xf numFmtId="0" fontId="142" fillId="44"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146" fillId="35" borderId="0" applyNumberFormat="0" applyBorder="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42" fillId="39" borderId="0" applyNumberFormat="0" applyBorder="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42" fillId="44"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45" fillId="0" borderId="0" applyNumberFormat="0" applyFill="0" applyBorder="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42" fillId="43"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42" fillId="39" borderId="0" applyNumberFormat="0" applyBorder="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3" fillId="0" borderId="167" applyNumberFormat="0" applyFill="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1" fillId="23" borderId="160" applyNumberFormat="0" applyFon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1" fillId="23" borderId="160" applyNumberFormat="0" applyFont="0" applyAlignment="0" applyProtection="0">
      <alignment vertical="center"/>
    </xf>
    <xf numFmtId="0" fontId="148" fillId="41" borderId="162" applyNumberFormat="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2" fillId="44" borderId="0" applyNumberFormat="0" applyBorder="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2" fillId="44" borderId="0" applyNumberFormat="0" applyBorder="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1" fillId="23" borderId="160" applyNumberFormat="0" applyFon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2" fillId="47" borderId="0" applyNumberFormat="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2" fillId="43" borderId="0" applyNumberFormat="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2" fillId="39" borderId="0" applyNumberFormat="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42" fillId="43"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3" fillId="0" borderId="167" applyNumberFormat="0" applyFill="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2" fillId="39"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2" fillId="39"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2" fillId="42" borderId="166" applyNumberFormat="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2" fillId="39"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1" fillId="23" borderId="160" applyNumberFormat="0" applyFont="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54" fillId="45" borderId="161" applyNumberFormat="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1" fillId="23" borderId="160" applyNumberFormat="0" applyFont="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54" fillId="45" borderId="161" applyNumberFormat="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2" fillId="44" borderId="0" applyNumberFormat="0" applyBorder="0" applyAlignment="0" applyProtection="0">
      <alignment vertical="center"/>
    </xf>
    <xf numFmtId="0" fontId="141" fillId="23" borderId="160" applyNumberFormat="0" applyFont="0" applyAlignment="0" applyProtection="0">
      <alignment vertical="center"/>
    </xf>
    <xf numFmtId="0" fontId="142" fillId="44"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1" fillId="23" borderId="160" applyNumberFormat="0" applyFont="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3"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42" fillId="47" borderId="0" applyNumberFormat="0" applyBorder="0" applyAlignment="0" applyProtection="0">
      <alignment vertical="center"/>
    </xf>
    <xf numFmtId="0" fontId="152" fillId="42" borderId="166" applyNumberFormat="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3"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1" fillId="23" borderId="160" applyNumberFormat="0" applyFont="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52" fillId="42" borderId="166" applyNumberFormat="0" applyAlignment="0" applyProtection="0">
      <alignment vertical="center"/>
    </xf>
    <xf numFmtId="0" fontId="141" fillId="23" borderId="160" applyNumberFormat="0" applyFont="0" applyAlignment="0" applyProtection="0">
      <alignment vertical="center"/>
    </xf>
    <xf numFmtId="0" fontId="152" fillId="42" borderId="166" applyNumberForma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141" fillId="23" borderId="160" applyNumberFormat="0" applyFont="0" applyAlignment="0" applyProtection="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141" fillId="23" borderId="160" applyNumberFormat="0" applyFon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41" fillId="23" borderId="160" applyNumberFormat="0" applyFon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23" borderId="160" applyNumberFormat="0" applyFont="0" applyAlignment="0" applyProtection="0">
      <alignment vertical="center"/>
    </xf>
    <xf numFmtId="0" fontId="8" fillId="23" borderId="160" applyNumberFormat="0" applyFont="0" applyAlignment="0" applyProtection="0">
      <alignment vertical="center"/>
    </xf>
    <xf numFmtId="0" fontId="141" fillId="23" borderId="160" applyNumberFormat="0" applyFont="0" applyAlignment="0" applyProtection="0">
      <alignment vertical="center"/>
    </xf>
    <xf numFmtId="0" fontId="8" fillId="23" borderId="160" applyNumberFormat="0" applyFont="0" applyAlignment="0" applyProtection="0">
      <alignment vertical="center"/>
    </xf>
    <xf numFmtId="0" fontId="8" fillId="23" borderId="160" applyNumberFormat="0" applyFont="0" applyAlignment="0" applyProtection="0">
      <alignment vertical="center"/>
    </xf>
    <xf numFmtId="0" fontId="8"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cellStyleXfs>
  <cellXfs count="362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25023" applyFont="1" applyFill="1"/>
    <xf numFmtId="0" fontId="9" fillId="0" borderId="0" xfId="25023" applyFont="1"/>
    <xf numFmtId="0" fontId="0" fillId="0" borderId="0" xfId="0" applyAlignment="1"/>
    <xf numFmtId="0" fontId="10" fillId="2" borderId="5" xfId="25023" applyFont="1" applyFill="1" applyBorder="1"/>
    <xf numFmtId="0" fontId="11" fillId="2" borderId="6" xfId="25023" applyFont="1" applyFill="1" applyBorder="1" applyAlignment="1">
      <alignment horizontal="center"/>
    </xf>
    <xf numFmtId="14" fontId="10" fillId="2" borderId="6" xfId="25023" applyNumberFormat="1" applyFont="1" applyFill="1" applyBorder="1" applyAlignment="1" applyProtection="1">
      <alignment horizontal="center"/>
    </xf>
    <xf numFmtId="0" fontId="10" fillId="2" borderId="6" xfId="25023" applyFont="1" applyFill="1" applyBorder="1" applyAlignment="1" applyProtection="1">
      <alignment horizontal="center"/>
    </xf>
    <xf numFmtId="10" fontId="10" fillId="2" borderId="6" xfId="25023" applyNumberFormat="1" applyFont="1" applyFill="1" applyBorder="1" applyAlignment="1">
      <alignment horizontal="center"/>
    </xf>
    <xf numFmtId="0" fontId="12" fillId="2" borderId="0" xfId="0" applyFont="1" applyFill="1" applyAlignment="1"/>
    <xf numFmtId="0" fontId="13" fillId="2" borderId="0" xfId="25023" applyFont="1" applyFill="1"/>
    <xf numFmtId="0" fontId="9" fillId="2" borderId="7" xfId="25023" applyFont="1" applyFill="1" applyBorder="1"/>
    <xf numFmtId="0" fontId="14" fillId="2" borderId="8" xfId="25023" applyFont="1" applyFill="1" applyBorder="1" applyAlignment="1">
      <alignment horizontal="center" vertical="center" wrapText="1"/>
    </xf>
    <xf numFmtId="0" fontId="9" fillId="2" borderId="9" xfId="25023" applyFont="1" applyFill="1" applyBorder="1" applyAlignment="1">
      <alignment horizontal="center"/>
    </xf>
    <xf numFmtId="0" fontId="14" fillId="2" borderId="7" xfId="25023" applyFont="1" applyFill="1" applyBorder="1" applyAlignment="1">
      <alignment horizontal="center" vertical="center" wrapText="1"/>
    </xf>
    <xf numFmtId="0" fontId="9" fillId="2" borderId="8" xfId="25023" applyNumberFormat="1" applyFont="1" applyFill="1" applyBorder="1" applyAlignment="1">
      <alignment horizontal="center"/>
    </xf>
    <xf numFmtId="0" fontId="9" fillId="2" borderId="10" xfId="25023" applyFont="1" applyFill="1" applyBorder="1"/>
    <xf numFmtId="0" fontId="14" fillId="2" borderId="1" xfId="25023" applyFont="1" applyFill="1" applyBorder="1" applyAlignment="1">
      <alignment horizontal="center" vertical="center" wrapText="1"/>
    </xf>
    <xf numFmtId="0" fontId="9" fillId="2" borderId="11" xfId="25023" applyFont="1" applyFill="1" applyBorder="1" applyAlignment="1">
      <alignment horizontal="center"/>
    </xf>
    <xf numFmtId="0" fontId="14" fillId="2" borderId="10" xfId="25023" applyFont="1" applyFill="1" applyBorder="1" applyAlignment="1">
      <alignment horizontal="center" vertical="center" wrapText="1"/>
    </xf>
    <xf numFmtId="0" fontId="9" fillId="2" borderId="1" xfId="25023" applyNumberFormat="1" applyFont="1" applyFill="1" applyBorder="1" applyAlignment="1">
      <alignment horizontal="center"/>
    </xf>
    <xf numFmtId="0" fontId="9" fillId="2" borderId="12" xfId="25023" applyFont="1" applyFill="1" applyBorder="1"/>
    <xf numFmtId="0" fontId="14" fillId="2" borderId="13" xfId="25023" applyFont="1" applyFill="1" applyBorder="1" applyAlignment="1">
      <alignment horizontal="center" vertical="center" wrapText="1"/>
    </xf>
    <xf numFmtId="0" fontId="9" fillId="2" borderId="14" xfId="25023" applyFont="1" applyFill="1" applyBorder="1" applyAlignment="1">
      <alignment horizontal="center"/>
    </xf>
    <xf numFmtId="0" fontId="14" fillId="2" borderId="12" xfId="25023" applyFont="1" applyFill="1" applyBorder="1" applyAlignment="1">
      <alignment horizontal="center" vertical="center" wrapText="1"/>
    </xf>
    <xf numFmtId="0" fontId="9" fillId="2" borderId="13" xfId="25023" applyNumberFormat="1" applyFont="1" applyFill="1" applyBorder="1" applyAlignment="1">
      <alignment horizontal="center"/>
    </xf>
    <xf numFmtId="0" fontId="9" fillId="2" borderId="0" xfId="25023" applyNumberFormat="1" applyFont="1" applyFill="1" applyAlignment="1">
      <alignment horizontal="center"/>
    </xf>
    <xf numFmtId="0" fontId="9" fillId="2" borderId="0" xfId="25023" applyFont="1" applyFill="1" applyAlignment="1">
      <alignment horizontal="right"/>
    </xf>
    <xf numFmtId="14" fontId="9" fillId="2" borderId="0" xfId="25023" applyNumberFormat="1" applyFont="1" applyFill="1" applyAlignment="1">
      <alignment horizontal="center"/>
    </xf>
    <xf numFmtId="0" fontId="15" fillId="2" borderId="0" xfId="25023" applyNumberFormat="1" applyFont="1" applyFill="1" applyAlignment="1">
      <alignment horizontal="center"/>
    </xf>
    <xf numFmtId="0" fontId="16" fillId="2" borderId="0" xfId="25023" applyFont="1" applyFill="1" applyAlignment="1">
      <alignment horizontal="left"/>
    </xf>
    <xf numFmtId="14" fontId="15" fillId="2" borderId="0" xfId="25023" applyNumberFormat="1" applyFont="1" applyFill="1" applyAlignment="1">
      <alignment horizontal="center"/>
    </xf>
    <xf numFmtId="0" fontId="15" fillId="2" borderId="0" xfId="25023" applyFont="1" applyFill="1"/>
    <xf numFmtId="0" fontId="17" fillId="2" borderId="0" xfId="25023" applyFont="1" applyFill="1"/>
    <xf numFmtId="0" fontId="18" fillId="2" borderId="0" xfId="25023" applyFont="1" applyFill="1"/>
    <xf numFmtId="0" fontId="14" fillId="2" borderId="0" xfId="25023" applyFont="1" applyFill="1" applyAlignment="1"/>
    <xf numFmtId="0" fontId="11" fillId="2" borderId="15" xfId="25023" applyFont="1" applyFill="1" applyBorder="1" applyAlignment="1">
      <alignment horizontal="center" vertical="center"/>
    </xf>
    <xf numFmtId="0" fontId="11" fillId="2" borderId="15" xfId="25023" applyFont="1" applyFill="1" applyBorder="1" applyAlignment="1">
      <alignment vertical="center"/>
    </xf>
    <xf numFmtId="0" fontId="11" fillId="2" borderId="2" xfId="25023" applyFont="1" applyFill="1" applyBorder="1" applyAlignment="1">
      <alignment vertical="center"/>
    </xf>
    <xf numFmtId="0" fontId="11" fillId="2" borderId="4" xfId="25023" applyFont="1" applyFill="1" applyBorder="1" applyAlignment="1">
      <alignment vertical="center"/>
    </xf>
    <xf numFmtId="0" fontId="11" fillId="2" borderId="3" xfId="25023" applyFont="1" applyFill="1" applyBorder="1" applyAlignment="1">
      <alignment vertical="center"/>
    </xf>
    <xf numFmtId="0" fontId="14" fillId="2" borderId="0" xfId="25023" applyFont="1" applyFill="1"/>
    <xf numFmtId="0" fontId="11" fillId="2" borderId="16" xfId="25023" applyFont="1" applyFill="1" applyBorder="1" applyAlignment="1">
      <alignment horizontal="center" vertical="center" wrapText="1"/>
    </xf>
    <xf numFmtId="0" fontId="11" fillId="2" borderId="16" xfId="25023" applyFont="1" applyFill="1" applyBorder="1" applyAlignment="1">
      <alignment vertical="center" wrapText="1"/>
    </xf>
    <xf numFmtId="0" fontId="9" fillId="2" borderId="1" xfId="25023" applyFont="1" applyFill="1" applyBorder="1"/>
    <xf numFmtId="0" fontId="19" fillId="2" borderId="0" xfId="25023" applyFont="1" applyFill="1" applyAlignment="1">
      <alignment vertical="center"/>
    </xf>
    <xf numFmtId="0" fontId="19" fillId="2" borderId="1" xfId="25023" applyFont="1" applyFill="1" applyBorder="1" applyAlignment="1">
      <alignment horizontal="left" vertical="center" wrapText="1"/>
    </xf>
    <xf numFmtId="179" fontId="19" fillId="2" borderId="1" xfId="25023" applyNumberFormat="1" applyFont="1" applyFill="1" applyBorder="1" applyAlignment="1">
      <alignment horizontal="center" vertical="center" wrapText="1"/>
    </xf>
    <xf numFmtId="0" fontId="19" fillId="2" borderId="1" xfId="25023" applyFont="1" applyFill="1" applyBorder="1" applyAlignment="1">
      <alignment horizontal="center" vertical="center" wrapText="1"/>
    </xf>
    <xf numFmtId="14" fontId="9" fillId="2" borderId="1" xfId="25023" applyNumberFormat="1" applyFont="1" applyFill="1" applyBorder="1" applyAlignment="1">
      <alignment horizontal="center" wrapText="1"/>
    </xf>
    <xf numFmtId="0" fontId="9" fillId="2" borderId="1" xfId="25023" applyFont="1" applyFill="1" applyBorder="1" applyAlignment="1">
      <alignment horizontal="center" wrapText="1"/>
    </xf>
    <xf numFmtId="14" fontId="20" fillId="2" borderId="1" xfId="25023" applyNumberFormat="1" applyFont="1" applyFill="1" applyBorder="1" applyAlignment="1">
      <alignment horizontal="center" wrapText="1"/>
    </xf>
    <xf numFmtId="0" fontId="20" fillId="2" borderId="1" xfId="25023" applyFont="1" applyFill="1" applyBorder="1" applyAlignment="1">
      <alignment horizontal="center" wrapText="1"/>
    </xf>
    <xf numFmtId="0" fontId="21" fillId="2" borderId="0" xfId="25023" applyFont="1" applyFill="1" applyAlignment="1">
      <alignment vertical="center"/>
    </xf>
    <xf numFmtId="0" fontId="21" fillId="2" borderId="1" xfId="25023" applyFont="1" applyFill="1" applyBorder="1" applyAlignment="1">
      <alignment horizontal="left" vertical="center" wrapText="1"/>
    </xf>
    <xf numFmtId="14" fontId="14" fillId="2" borderId="1" xfId="25023" applyNumberFormat="1" applyFont="1" applyFill="1" applyBorder="1" applyAlignment="1">
      <alignment horizontal="center" wrapText="1"/>
    </xf>
    <xf numFmtId="0" fontId="14" fillId="2" borderId="1" xfId="25023" applyFont="1" applyFill="1" applyBorder="1" applyAlignment="1">
      <alignment horizontal="center" wrapText="1"/>
    </xf>
    <xf numFmtId="180" fontId="11" fillId="2" borderId="5" xfId="25023" applyNumberFormat="1" applyFont="1" applyFill="1" applyBorder="1" applyAlignment="1">
      <alignment horizontal="center"/>
    </xf>
    <xf numFmtId="0" fontId="11" fillId="2" borderId="1" xfId="25023" applyFont="1" applyFill="1" applyBorder="1" applyAlignment="1">
      <alignment horizontal="center" vertical="center" wrapText="1"/>
    </xf>
    <xf numFmtId="14" fontId="19" fillId="2" borderId="1" xfId="25023" applyNumberFormat="1" applyFont="1" applyFill="1" applyBorder="1" applyAlignment="1">
      <alignment horizontal="center" vertical="center" wrapText="1"/>
    </xf>
    <xf numFmtId="177" fontId="22" fillId="2" borderId="1" xfId="25023" applyNumberFormat="1" applyFont="1" applyFill="1" applyBorder="1" applyAlignment="1">
      <alignment horizontal="center"/>
    </xf>
    <xf numFmtId="0" fontId="10" fillId="0" borderId="5" xfId="25023" applyFont="1" applyBorder="1"/>
    <xf numFmtId="0" fontId="15" fillId="0" borderId="0" xfId="25023" applyFont="1"/>
    <xf numFmtId="0" fontId="17" fillId="0" borderId="0" xfId="25023" applyFont="1"/>
    <xf numFmtId="0" fontId="14" fillId="0" borderId="0" xfId="25023" applyFont="1" applyAlignment="1"/>
    <xf numFmtId="0" fontId="14" fillId="0" borderId="0" xfId="25023" applyFont="1"/>
    <xf numFmtId="0" fontId="19" fillId="3" borderId="0" xfId="25023"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25023" applyFont="1" applyFill="1" applyBorder="1" applyAlignment="1">
      <alignment horizontal="center" wrapText="1"/>
    </xf>
    <xf numFmtId="14" fontId="9" fillId="2" borderId="0" xfId="2502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24254" applyFont="1" applyFill="1" applyBorder="1" applyAlignment="1" applyProtection="1">
      <alignment vertical="center"/>
    </xf>
    <xf numFmtId="0" fontId="29" fillId="2" borderId="38" xfId="24254" applyFont="1" applyFill="1" applyBorder="1" applyAlignment="1" applyProtection="1">
      <alignment vertical="center"/>
    </xf>
    <xf numFmtId="0" fontId="29" fillId="2" borderId="31" xfId="24254" applyFont="1" applyFill="1" applyBorder="1" applyAlignment="1" applyProtection="1">
      <alignment vertical="center"/>
    </xf>
    <xf numFmtId="0" fontId="29" fillId="2" borderId="0" xfId="24254" applyFont="1" applyFill="1" applyBorder="1" applyAlignment="1" applyProtection="1">
      <alignment vertical="center"/>
    </xf>
    <xf numFmtId="0" fontId="29" fillId="2" borderId="1" xfId="24254" applyFont="1" applyFill="1" applyBorder="1" applyAlignment="1" applyProtection="1">
      <alignment vertical="center"/>
    </xf>
    <xf numFmtId="180" fontId="29" fillId="2" borderId="1" xfId="24254" applyNumberFormat="1" applyFont="1" applyFill="1" applyBorder="1" applyAlignment="1" applyProtection="1">
      <alignment horizontal="right" vertical="center"/>
    </xf>
    <xf numFmtId="0" fontId="33" fillId="2" borderId="0" xfId="24254" applyFont="1" applyFill="1" applyBorder="1" applyAlignment="1" applyProtection="1">
      <alignment vertical="center"/>
    </xf>
    <xf numFmtId="0" fontId="29" fillId="2" borderId="15" xfId="24254" applyFont="1" applyFill="1" applyBorder="1" applyAlignment="1" applyProtection="1">
      <alignment vertical="center"/>
    </xf>
    <xf numFmtId="0" fontId="29" fillId="2" borderId="15" xfId="24254" applyFont="1" applyFill="1" applyBorder="1" applyAlignment="1" applyProtection="1">
      <alignment horizontal="right" vertical="center"/>
    </xf>
    <xf numFmtId="49" fontId="29" fillId="2" borderId="37" xfId="24254" applyNumberFormat="1" applyFont="1" applyFill="1" applyBorder="1" applyAlignment="1" applyProtection="1"/>
    <xf numFmtId="49" fontId="29" fillId="2" borderId="38" xfId="24254" applyNumberFormat="1" applyFont="1" applyFill="1" applyBorder="1" applyAlignment="1" applyProtection="1"/>
    <xf numFmtId="49" fontId="29" fillId="2" borderId="39" xfId="24254" applyNumberFormat="1" applyFont="1" applyFill="1" applyBorder="1" applyAlignment="1" applyProtection="1"/>
    <xf numFmtId="49" fontId="30" fillId="2" borderId="10" xfId="24254" applyNumberFormat="1" applyFont="1" applyFill="1" applyBorder="1" applyAlignment="1" applyProtection="1">
      <alignment horizontal="left"/>
    </xf>
    <xf numFmtId="0" fontId="30" fillId="2" borderId="2" xfId="24254" applyFont="1" applyFill="1" applyBorder="1" applyAlignment="1" applyProtection="1"/>
    <xf numFmtId="180" fontId="30" fillId="2" borderId="1" xfId="24254" applyNumberFormat="1" applyFont="1" applyFill="1" applyBorder="1" applyAlignment="1" applyProtection="1">
      <alignment horizontal="center"/>
    </xf>
    <xf numFmtId="0" fontId="30" fillId="2" borderId="1" xfId="24254" applyFont="1" applyFill="1" applyBorder="1" applyAlignment="1" applyProtection="1">
      <alignment horizontal="center"/>
    </xf>
    <xf numFmtId="0" fontId="30" fillId="2" borderId="11" xfId="24254" applyFont="1" applyFill="1" applyBorder="1" applyAlignment="1" applyProtection="1">
      <alignment horizontal="left"/>
    </xf>
    <xf numFmtId="49" fontId="31" fillId="2" borderId="10" xfId="24254" applyNumberFormat="1" applyFont="1" applyFill="1" applyBorder="1" applyAlignment="1" applyProtection="1">
      <alignment horizontal="center"/>
    </xf>
    <xf numFmtId="0" fontId="31" fillId="2" borderId="2" xfId="24254" applyFont="1" applyFill="1" applyBorder="1" applyAlignment="1" applyProtection="1"/>
    <xf numFmtId="180" fontId="31" fillId="0" borderId="1" xfId="24254" applyNumberFormat="1" applyFont="1" applyFill="1" applyBorder="1" applyAlignment="1" applyProtection="1">
      <alignment horizontal="center"/>
      <protection locked="0"/>
    </xf>
    <xf numFmtId="177" fontId="31" fillId="2" borderId="1" xfId="24254" applyNumberFormat="1" applyFont="1" applyFill="1" applyBorder="1" applyAlignment="1" applyProtection="1">
      <alignment horizontal="center"/>
    </xf>
    <xf numFmtId="0" fontId="31" fillId="2" borderId="1" xfId="24254" applyFont="1" applyFill="1" applyBorder="1" applyAlignment="1" applyProtection="1">
      <alignment horizontal="center"/>
    </xf>
    <xf numFmtId="0" fontId="31" fillId="2" borderId="11" xfId="24254" applyFont="1" applyFill="1" applyBorder="1" applyAlignment="1" applyProtection="1">
      <alignment horizontal="left"/>
    </xf>
    <xf numFmtId="180" fontId="31" fillId="2" borderId="1" xfId="24254" applyNumberFormat="1" applyFont="1" applyFill="1" applyBorder="1" applyAlignment="1" applyProtection="1">
      <alignment horizontal="center"/>
    </xf>
    <xf numFmtId="10" fontId="31" fillId="2" borderId="1" xfId="24254" applyNumberFormat="1" applyFont="1" applyFill="1" applyBorder="1" applyAlignment="1" applyProtection="1">
      <alignment horizontal="center"/>
    </xf>
    <xf numFmtId="180" fontId="31" fillId="2" borderId="1" xfId="24254" applyNumberFormat="1" applyFont="1" applyFill="1" applyBorder="1" applyAlignment="1" applyProtection="1"/>
    <xf numFmtId="0" fontId="34" fillId="3" borderId="11" xfId="24254" applyFont="1" applyFill="1" applyBorder="1" applyAlignment="1" applyProtection="1">
      <alignment horizontal="left" vertical="center"/>
      <protection locked="0"/>
    </xf>
    <xf numFmtId="0" fontId="35" fillId="2" borderId="10" xfId="24254" applyFont="1" applyFill="1" applyBorder="1" applyAlignment="1" applyProtection="1">
      <alignment horizontal="right"/>
    </xf>
    <xf numFmtId="0" fontId="35" fillId="2" borderId="2" xfId="24254" applyFont="1" applyFill="1" applyBorder="1" applyAlignment="1" applyProtection="1"/>
    <xf numFmtId="180" fontId="35" fillId="2" borderId="1" xfId="24254" applyNumberFormat="1" applyFont="1" applyFill="1" applyBorder="1" applyAlignment="1" applyProtection="1">
      <alignment horizontal="center"/>
    </xf>
    <xf numFmtId="0" fontId="35" fillId="2" borderId="1" xfId="24254" applyNumberFormat="1" applyFont="1" applyFill="1" applyBorder="1" applyAlignment="1" applyProtection="1"/>
    <xf numFmtId="0" fontId="31" fillId="2" borderId="11" xfId="24254" applyFont="1" applyFill="1" applyBorder="1" applyAlignment="1" applyProtection="1">
      <alignment vertical="center" wrapText="1"/>
    </xf>
    <xf numFmtId="0" fontId="31" fillId="2" borderId="10" xfId="24254" applyFont="1" applyFill="1" applyBorder="1" applyAlignment="1" applyProtection="1">
      <alignment horizontal="left"/>
    </xf>
    <xf numFmtId="0" fontId="31" fillId="2" borderId="1" xfId="24254" applyNumberFormat="1" applyFont="1" applyFill="1" applyBorder="1" applyAlignment="1" applyProtection="1">
      <alignment horizontal="center"/>
    </xf>
    <xf numFmtId="0" fontId="31" fillId="2" borderId="0" xfId="24254"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24254" applyNumberFormat="1" applyFont="1" applyFill="1" applyBorder="1" applyAlignment="1" applyProtection="1">
      <alignment horizontal="left"/>
    </xf>
    <xf numFmtId="0" fontId="30" fillId="2" borderId="1" xfId="24254" applyNumberFormat="1" applyFont="1" applyFill="1" applyBorder="1" applyAlignment="1" applyProtection="1">
      <alignment horizontal="center"/>
    </xf>
    <xf numFmtId="9" fontId="30" fillId="2" borderId="2" xfId="24254"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24254"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0" fontId="30" fillId="2" borderId="2" xfId="24254"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2"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77" fontId="31" fillId="2" borderId="2" xfId="24254"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24254" applyFont="1" applyFill="1" applyBorder="1" applyAlignment="1" applyProtection="1">
      <alignment vertical="center"/>
    </xf>
    <xf numFmtId="180" fontId="30" fillId="2" borderId="1" xfId="24254" applyNumberFormat="1" applyFont="1" applyFill="1" applyBorder="1" applyAlignment="1" applyProtection="1">
      <alignment horizontal="center" vertical="center"/>
    </xf>
    <xf numFmtId="9" fontId="30" fillId="2" borderId="2" xfId="24254"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24254" applyFont="1" applyFill="1" applyBorder="1" applyAlignment="1" applyProtection="1">
      <alignment horizontal="left"/>
    </xf>
    <xf numFmtId="180" fontId="31" fillId="2" borderId="1" xfId="24254" applyNumberFormat="1" applyFont="1" applyFill="1" applyBorder="1" applyAlignment="1" applyProtection="1">
      <alignment horizontal="center" vertical="center"/>
    </xf>
    <xf numFmtId="0" fontId="30" fillId="2" borderId="10" xfId="24254" applyFont="1" applyFill="1" applyBorder="1" applyAlignment="1" applyProtection="1">
      <alignment horizontal="left"/>
    </xf>
    <xf numFmtId="177" fontId="30" fillId="2" borderId="1" xfId="24254" applyNumberFormat="1" applyFont="1" applyFill="1" applyBorder="1" applyAlignment="1" applyProtection="1">
      <alignment horizontal="center"/>
    </xf>
    <xf numFmtId="9" fontId="30" fillId="2" borderId="1" xfId="24254" applyNumberFormat="1" applyFont="1" applyFill="1" applyBorder="1" applyAlignment="1" applyProtection="1">
      <alignment horizontal="center"/>
    </xf>
    <xf numFmtId="49" fontId="29" fillId="2" borderId="41" xfId="24254" applyNumberFormat="1" applyFont="1" applyFill="1" applyBorder="1" applyAlignment="1" applyProtection="1"/>
    <xf numFmtId="49" fontId="29" fillId="2" borderId="3" xfId="24254" applyNumberFormat="1" applyFont="1" applyFill="1" applyBorder="1" applyAlignment="1" applyProtection="1"/>
    <xf numFmtId="49" fontId="29" fillId="2" borderId="42" xfId="24254" applyNumberFormat="1" applyFont="1" applyFill="1" applyBorder="1" applyAlignment="1" applyProtection="1"/>
    <xf numFmtId="180" fontId="30" fillId="2" borderId="1" xfId="0" applyNumberFormat="1" applyFont="1" applyFill="1" applyBorder="1" applyAlignment="1" applyProtection="1">
      <alignment horizontal="center" vertical="center"/>
    </xf>
    <xf numFmtId="184" fontId="30" fillId="2" borderId="2" xfId="24254" applyNumberFormat="1" applyFont="1" applyFill="1" applyBorder="1" applyAlignment="1" applyProtection="1">
      <alignment horizontal="center"/>
    </xf>
    <xf numFmtId="10" fontId="31" fillId="2" borderId="2" xfId="24254"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24254"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5" fontId="30" fillId="2" borderId="1" xfId="0" applyNumberFormat="1" applyFont="1" applyFill="1" applyBorder="1" applyAlignment="1" applyProtection="1">
      <alignment horizontal="right" vertical="center"/>
    </xf>
    <xf numFmtId="10" fontId="30" fillId="2" borderId="1" xfId="24254" applyNumberFormat="1" applyFont="1" applyFill="1" applyBorder="1" applyAlignment="1" applyProtection="1">
      <alignment horizontal="center" vertical="center"/>
    </xf>
    <xf numFmtId="49" fontId="29" fillId="2" borderId="44" xfId="24254" applyNumberFormat="1" applyFont="1" applyFill="1" applyBorder="1" applyAlignment="1" applyProtection="1"/>
    <xf numFmtId="49" fontId="29" fillId="2" borderId="45" xfId="24254" applyNumberFormat="1" applyFont="1" applyFill="1" applyBorder="1" applyAlignment="1" applyProtection="1"/>
    <xf numFmtId="180" fontId="30" fillId="2" borderId="13" xfId="0" applyNumberFormat="1" applyFont="1" applyFill="1" applyBorder="1" applyAlignment="1" applyProtection="1">
      <alignment horizontal="center" vertical="center"/>
    </xf>
    <xf numFmtId="49" fontId="29" fillId="2" borderId="46" xfId="24254"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4" fontId="31" fillId="2" borderId="1" xfId="0" applyNumberFormat="1" applyFont="1" applyFill="1" applyBorder="1" applyAlignment="1" applyProtection="1">
      <alignment horizontal="center"/>
    </xf>
    <xf numFmtId="184" fontId="37" fillId="2"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30" fillId="3" borderId="44" xfId="24254"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24254"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11337" applyFont="1" applyAlignment="1">
      <alignment horizontal="left" vertical="center"/>
    </xf>
    <xf numFmtId="0" fontId="42" fillId="0" borderId="74" xfId="11337" applyFont="1" applyBorder="1" applyAlignment="1">
      <alignment horizontal="left" vertical="center"/>
    </xf>
    <xf numFmtId="0" fontId="42" fillId="8" borderId="0" xfId="11337" applyFont="1" applyFill="1" applyAlignment="1">
      <alignment horizontal="left" vertical="center"/>
    </xf>
    <xf numFmtId="0" fontId="42" fillId="0" borderId="0" xfId="11337" applyFont="1" applyFill="1" applyAlignment="1">
      <alignment horizontal="left" vertical="center"/>
    </xf>
    <xf numFmtId="0" fontId="42" fillId="9" borderId="0" xfId="11337" applyFont="1" applyFill="1" applyAlignment="1">
      <alignment horizontal="left" vertical="center"/>
    </xf>
    <xf numFmtId="0" fontId="43" fillId="9" borderId="0" xfId="11337" applyFont="1" applyFill="1" applyAlignment="1">
      <alignment horizontal="left" vertical="center"/>
    </xf>
    <xf numFmtId="0" fontId="6" fillId="3" borderId="0" xfId="11337" applyFont="1" applyFill="1" applyAlignment="1">
      <alignment horizontal="left" vertical="center"/>
    </xf>
    <xf numFmtId="0" fontId="6" fillId="0" borderId="21" xfId="11337" applyFont="1" applyBorder="1" applyAlignment="1">
      <alignment horizontal="left" vertical="center"/>
    </xf>
    <xf numFmtId="0" fontId="44" fillId="0" borderId="0" xfId="11337" applyFont="1" applyAlignment="1">
      <alignment horizontal="left" vertical="center"/>
    </xf>
    <xf numFmtId="0" fontId="6" fillId="0" borderId="0" xfId="11337" applyFont="1" applyAlignment="1">
      <alignment horizontal="left" vertical="center"/>
    </xf>
    <xf numFmtId="0" fontId="6" fillId="0" borderId="75" xfId="11337" applyFont="1" applyBorder="1" applyAlignment="1">
      <alignment horizontal="left" vertical="center"/>
    </xf>
    <xf numFmtId="0" fontId="46" fillId="2" borderId="74" xfId="8209" applyFont="1" applyFill="1" applyBorder="1" applyAlignment="1" applyProtection="1">
      <alignment horizontal="left" vertical="center"/>
    </xf>
    <xf numFmtId="0" fontId="47" fillId="2" borderId="74" xfId="8209" applyFont="1" applyFill="1" applyBorder="1" applyAlignment="1" applyProtection="1">
      <alignment horizontal="left" vertical="center"/>
    </xf>
    <xf numFmtId="0" fontId="42" fillId="0" borderId="76" xfId="11337" applyFont="1" applyBorder="1" applyAlignment="1">
      <alignment horizontal="left" vertical="center"/>
    </xf>
    <xf numFmtId="0" fontId="10" fillId="8" borderId="0" xfId="11337" applyFont="1" applyFill="1" applyAlignment="1">
      <alignment horizontal="left" vertical="center"/>
    </xf>
    <xf numFmtId="0" fontId="48" fillId="8" borderId="0" xfId="8209" applyFont="1" applyFill="1" applyAlignment="1" applyProtection="1">
      <alignment horizontal="left" vertical="center"/>
    </xf>
    <xf numFmtId="0" fontId="47" fillId="8" borderId="0" xfId="8209" applyFont="1" applyFill="1" applyAlignment="1" applyProtection="1">
      <alignment horizontal="left" vertical="center"/>
    </xf>
    <xf numFmtId="0" fontId="42" fillId="8" borderId="75" xfId="11337" applyFont="1" applyFill="1" applyBorder="1" applyAlignment="1">
      <alignment horizontal="left" vertical="center"/>
    </xf>
    <xf numFmtId="0" fontId="42" fillId="8" borderId="0" xfId="11337" applyFont="1" applyFill="1" applyBorder="1" applyAlignment="1">
      <alignment horizontal="left" vertical="center"/>
    </xf>
    <xf numFmtId="0" fontId="48" fillId="0" borderId="0" xfId="8209" applyFont="1" applyFill="1" applyAlignment="1" applyProtection="1">
      <alignment horizontal="left" vertical="center"/>
    </xf>
    <xf numFmtId="0" fontId="47" fillId="0" borderId="0" xfId="8209" applyFont="1" applyFill="1" applyAlignment="1" applyProtection="1">
      <alignment horizontal="left" vertical="center"/>
    </xf>
    <xf numFmtId="0" fontId="42" fillId="0" borderId="75" xfId="11337" applyFont="1" applyFill="1" applyBorder="1" applyAlignment="1">
      <alignment horizontal="left" vertical="center"/>
    </xf>
    <xf numFmtId="0" fontId="42" fillId="0" borderId="0" xfId="11337" applyFont="1" applyFill="1" applyBorder="1" applyAlignment="1">
      <alignment horizontal="left" vertical="center"/>
    </xf>
    <xf numFmtId="49" fontId="31" fillId="9" borderId="1" xfId="11337" applyNumberFormat="1" applyFont="1" applyFill="1" applyBorder="1" applyAlignment="1" applyProtection="1">
      <alignment horizontal="left" vertical="center" wrapText="1"/>
    </xf>
    <xf numFmtId="176" fontId="43" fillId="9" borderId="0" xfId="11337" applyNumberFormat="1" applyFont="1" applyFill="1" applyAlignment="1">
      <alignment horizontal="left" vertical="center"/>
    </xf>
    <xf numFmtId="0" fontId="49" fillId="10" borderId="77" xfId="11337" applyFont="1" applyFill="1" applyBorder="1" applyAlignment="1" applyProtection="1">
      <alignment horizontal="left" vertical="center" wrapText="1"/>
    </xf>
    <xf numFmtId="0" fontId="49" fillId="9" borderId="78" xfId="11337" applyFont="1" applyFill="1" applyBorder="1" applyAlignment="1" applyProtection="1">
      <alignment horizontal="left" vertical="center" wrapText="1"/>
    </xf>
    <xf numFmtId="49" fontId="31" fillId="2" borderId="1" xfId="11337" applyNumberFormat="1" applyFont="1" applyFill="1" applyBorder="1" applyAlignment="1" applyProtection="1">
      <alignment horizontal="left" vertical="center" wrapText="1"/>
    </xf>
    <xf numFmtId="176" fontId="6" fillId="0" borderId="0" xfId="11337" applyNumberFormat="1" applyFont="1" applyAlignment="1">
      <alignment horizontal="left" vertical="center"/>
    </xf>
    <xf numFmtId="0" fontId="49" fillId="11" borderId="78" xfId="11337" applyFont="1" applyFill="1" applyBorder="1" applyAlignment="1" applyProtection="1">
      <alignment horizontal="left" vertical="center" wrapText="1"/>
    </xf>
    <xf numFmtId="0" fontId="49" fillId="10" borderId="79" xfId="11337" applyFont="1" applyFill="1" applyBorder="1" applyAlignment="1" applyProtection="1">
      <alignment horizontal="left" vertical="center" wrapText="1"/>
    </xf>
    <xf numFmtId="176" fontId="42" fillId="10" borderId="79" xfId="11337" applyNumberFormat="1" applyFont="1" applyFill="1" applyBorder="1" applyAlignment="1" applyProtection="1">
      <alignment horizontal="left" vertical="center" wrapText="1"/>
    </xf>
    <xf numFmtId="176" fontId="42" fillId="10" borderId="80" xfId="11337" applyNumberFormat="1" applyFont="1" applyFill="1" applyBorder="1" applyAlignment="1" applyProtection="1">
      <alignment horizontal="left" vertical="center" wrapText="1"/>
    </xf>
    <xf numFmtId="0" fontId="49" fillId="10" borderId="78" xfId="11337" applyFont="1" applyFill="1" applyBorder="1" applyAlignment="1" applyProtection="1">
      <alignment horizontal="left" vertical="center" wrapText="1"/>
    </xf>
    <xf numFmtId="176" fontId="42" fillId="10" borderId="79" xfId="11337" applyNumberFormat="1" applyFont="1" applyFill="1" applyBorder="1" applyAlignment="1">
      <alignment horizontal="left" vertical="center" wrapText="1"/>
    </xf>
    <xf numFmtId="176" fontId="42" fillId="10" borderId="80" xfId="11337" applyNumberFormat="1" applyFont="1" applyFill="1" applyBorder="1" applyAlignment="1">
      <alignment horizontal="left" vertical="center" wrapText="1"/>
    </xf>
    <xf numFmtId="0" fontId="49" fillId="10" borderId="85" xfId="11337" applyFont="1" applyFill="1" applyBorder="1" applyAlignment="1" applyProtection="1">
      <alignment horizontal="left" vertical="center" wrapText="1"/>
    </xf>
    <xf numFmtId="0" fontId="49" fillId="11" borderId="79" xfId="11337" applyFont="1" applyFill="1" applyBorder="1" applyAlignment="1" applyProtection="1">
      <alignment horizontal="left" vertical="center" wrapText="1"/>
    </xf>
    <xf numFmtId="176" fontId="42" fillId="10" borderId="78" xfId="11337" applyNumberFormat="1" applyFont="1" applyFill="1" applyBorder="1" applyAlignment="1">
      <alignment horizontal="left" vertical="center" wrapText="1"/>
    </xf>
    <xf numFmtId="176" fontId="42" fillId="10" borderId="86" xfId="11337" applyNumberFormat="1" applyFont="1" applyFill="1" applyBorder="1" applyAlignment="1">
      <alignment horizontal="left" vertical="center" wrapText="1"/>
    </xf>
    <xf numFmtId="0" fontId="6" fillId="11" borderId="79" xfId="11337" applyFont="1" applyFill="1" applyBorder="1" applyAlignment="1" applyProtection="1">
      <alignment horizontal="left" vertical="center" wrapText="1"/>
    </xf>
    <xf numFmtId="49" fontId="31" fillId="3" borderId="1" xfId="11337" applyNumberFormat="1" applyFont="1" applyFill="1" applyBorder="1" applyAlignment="1" applyProtection="1">
      <alignment horizontal="left" vertical="center" wrapText="1"/>
    </xf>
    <xf numFmtId="176" fontId="6" fillId="3" borderId="0" xfId="11337" applyNumberFormat="1" applyFont="1" applyFill="1" applyAlignment="1">
      <alignment horizontal="left" vertical="center"/>
    </xf>
    <xf numFmtId="0" fontId="6" fillId="3" borderId="78" xfId="11337" applyFont="1" applyFill="1" applyBorder="1" applyAlignment="1" applyProtection="1">
      <alignment horizontal="left" vertical="center" wrapText="1"/>
    </xf>
    <xf numFmtId="0" fontId="6" fillId="10" borderId="85" xfId="11337" applyFont="1" applyFill="1" applyBorder="1" applyAlignment="1" applyProtection="1">
      <alignment horizontal="left" vertical="center" wrapText="1"/>
    </xf>
    <xf numFmtId="176" fontId="42" fillId="10" borderId="85" xfId="11337" applyNumberFormat="1" applyFont="1" applyFill="1" applyBorder="1" applyAlignment="1">
      <alignment horizontal="left" vertical="center" wrapText="1"/>
    </xf>
    <xf numFmtId="176" fontId="42" fillId="10" borderId="87" xfId="11337" applyNumberFormat="1" applyFont="1" applyFill="1" applyBorder="1" applyAlignment="1">
      <alignment horizontal="left" vertical="center" wrapText="1"/>
    </xf>
    <xf numFmtId="176" fontId="6" fillId="9" borderId="0" xfId="11337" applyNumberFormat="1" applyFont="1" applyFill="1" applyAlignment="1">
      <alignment horizontal="left" vertical="center"/>
    </xf>
    <xf numFmtId="176" fontId="6" fillId="0" borderId="21" xfId="11337" applyNumberFormat="1" applyFont="1" applyBorder="1" applyAlignment="1">
      <alignment horizontal="left" vertical="center"/>
    </xf>
    <xf numFmtId="0" fontId="49" fillId="11" borderId="88" xfId="11337" applyFont="1" applyFill="1" applyBorder="1" applyAlignment="1" applyProtection="1">
      <alignment horizontal="left" vertical="center" wrapText="1"/>
    </xf>
    <xf numFmtId="0" fontId="49" fillId="10" borderId="89" xfId="11337" applyFont="1" applyFill="1" applyBorder="1" applyAlignment="1" applyProtection="1">
      <alignment horizontal="left" vertical="center" wrapText="1"/>
    </xf>
    <xf numFmtId="0" fontId="43" fillId="8" borderId="0" xfId="11337" applyFont="1" applyFill="1" applyBorder="1" applyAlignment="1" applyProtection="1">
      <alignment horizontal="left" vertical="center"/>
      <protection locked="0"/>
    </xf>
    <xf numFmtId="0" fontId="42" fillId="0" borderId="0" xfId="11337" applyFont="1" applyFill="1" applyBorder="1" applyAlignment="1" applyProtection="1">
      <alignment horizontal="left" vertical="center"/>
      <protection locked="0"/>
    </xf>
    <xf numFmtId="0" fontId="43" fillId="9" borderId="0" xfId="11337" applyFont="1" applyFill="1" applyBorder="1" applyAlignment="1" applyProtection="1">
      <alignment horizontal="left" vertical="center"/>
      <protection locked="0"/>
    </xf>
    <xf numFmtId="10" fontId="43" fillId="9" borderId="90" xfId="11337" applyNumberFormat="1" applyFont="1" applyFill="1" applyBorder="1" applyAlignment="1">
      <alignment horizontal="left" vertical="center"/>
    </xf>
    <xf numFmtId="0" fontId="49" fillId="11" borderId="78" xfId="26476" applyFont="1" applyFill="1" applyBorder="1" applyAlignment="1" applyProtection="1">
      <alignment horizontal="left" vertical="center" wrapText="1"/>
    </xf>
    <xf numFmtId="0" fontId="49" fillId="11" borderId="91" xfId="26476" applyFont="1" applyFill="1" applyBorder="1" applyAlignment="1" applyProtection="1">
      <alignment horizontal="left" vertical="center" wrapText="1"/>
    </xf>
    <xf numFmtId="10" fontId="6" fillId="0" borderId="75" xfId="11337" applyNumberFormat="1" applyFont="1" applyBorder="1" applyAlignment="1">
      <alignment horizontal="left" vertical="center"/>
    </xf>
    <xf numFmtId="10" fontId="6" fillId="0" borderId="0" xfId="11337" applyNumberFormat="1" applyFont="1" applyAlignment="1">
      <alignment horizontal="left" vertical="center"/>
    </xf>
    <xf numFmtId="0" fontId="49" fillId="11" borderId="91" xfId="11337" applyFont="1" applyFill="1" applyBorder="1" applyAlignment="1" applyProtection="1">
      <alignment horizontal="left" vertical="center" wrapText="1"/>
    </xf>
    <xf numFmtId="0" fontId="49" fillId="10" borderId="92" xfId="11337" applyFont="1" applyFill="1" applyBorder="1" applyAlignment="1" applyProtection="1">
      <alignment horizontal="left" vertical="center" wrapText="1"/>
    </xf>
    <xf numFmtId="0" fontId="49" fillId="10" borderId="91" xfId="11337" applyFont="1" applyFill="1" applyBorder="1" applyAlignment="1" applyProtection="1">
      <alignment horizontal="left" vertical="center" wrapText="1"/>
    </xf>
    <xf numFmtId="0" fontId="49" fillId="10" borderId="93" xfId="11337" applyFont="1" applyFill="1" applyBorder="1" applyAlignment="1" applyProtection="1">
      <alignment horizontal="left" vertical="center" wrapText="1"/>
    </xf>
    <xf numFmtId="10" fontId="6" fillId="0" borderId="94" xfId="11337" applyNumberFormat="1" applyFont="1" applyBorder="1" applyAlignment="1">
      <alignment horizontal="left" vertical="center"/>
    </xf>
    <xf numFmtId="10" fontId="6" fillId="0" borderId="95" xfId="11337" applyNumberFormat="1" applyFont="1" applyBorder="1" applyAlignment="1">
      <alignment horizontal="left" vertical="center"/>
    </xf>
    <xf numFmtId="0" fontId="49" fillId="11" borderId="92" xfId="11337" applyFont="1" applyFill="1" applyBorder="1" applyAlignment="1" applyProtection="1">
      <alignment horizontal="left" vertical="center" wrapText="1"/>
    </xf>
    <xf numFmtId="10" fontId="6" fillId="0" borderId="0" xfId="11337" applyNumberFormat="1" applyFont="1" applyBorder="1" applyAlignment="1">
      <alignment horizontal="left" vertical="center"/>
    </xf>
    <xf numFmtId="10" fontId="6" fillId="0" borderId="90" xfId="11337" applyNumberFormat="1" applyFont="1" applyBorder="1" applyAlignment="1">
      <alignment horizontal="left" vertical="center"/>
    </xf>
    <xf numFmtId="10" fontId="6" fillId="0" borderId="96" xfId="11337" applyNumberFormat="1" applyFont="1" applyBorder="1" applyAlignment="1">
      <alignment horizontal="left" vertical="center"/>
    </xf>
    <xf numFmtId="0" fontId="6" fillId="11" borderId="92" xfId="11337" applyFont="1" applyFill="1" applyBorder="1" applyAlignment="1" applyProtection="1">
      <alignment horizontal="left" vertical="center" wrapText="1"/>
    </xf>
    <xf numFmtId="0" fontId="6" fillId="3" borderId="91" xfId="11337" applyFont="1" applyFill="1" applyBorder="1" applyAlignment="1" applyProtection="1">
      <alignment horizontal="left" vertical="center" wrapText="1"/>
    </xf>
    <xf numFmtId="10" fontId="6" fillId="3" borderId="75" xfId="11337" applyNumberFormat="1" applyFont="1" applyFill="1" applyBorder="1" applyAlignment="1">
      <alignment horizontal="left" vertical="center"/>
    </xf>
    <xf numFmtId="10" fontId="6" fillId="3" borderId="0" xfId="11337" applyNumberFormat="1" applyFont="1" applyFill="1" applyAlignment="1">
      <alignment horizontal="left" vertical="center"/>
    </xf>
    <xf numFmtId="0" fontId="6" fillId="10" borderId="93" xfId="11337" applyFont="1" applyFill="1" applyBorder="1" applyAlignment="1" applyProtection="1">
      <alignment horizontal="left" vertical="center" wrapText="1"/>
    </xf>
    <xf numFmtId="0" fontId="49" fillId="11" borderId="97" xfId="11337" applyFont="1" applyFill="1" applyBorder="1" applyAlignment="1" applyProtection="1">
      <alignment horizontal="left" vertical="center" wrapText="1"/>
    </xf>
    <xf numFmtId="10" fontId="6" fillId="0" borderId="98" xfId="11337" applyNumberFormat="1" applyFont="1" applyBorder="1" applyAlignment="1">
      <alignment horizontal="left" vertical="center"/>
    </xf>
    <xf numFmtId="10" fontId="6" fillId="0" borderId="21" xfId="11337" applyNumberFormat="1" applyFont="1" applyBorder="1" applyAlignment="1">
      <alignment horizontal="left" vertical="center"/>
    </xf>
    <xf numFmtId="0" fontId="49" fillId="10" borderId="99" xfId="11337" applyFont="1" applyFill="1" applyBorder="1" applyAlignment="1" applyProtection="1">
      <alignment horizontal="left" vertical="center" wrapText="1"/>
    </xf>
    <xf numFmtId="10" fontId="6" fillId="12" borderId="75" xfId="11337" applyNumberFormat="1" applyFont="1" applyFill="1" applyBorder="1" applyAlignment="1">
      <alignment horizontal="left" vertical="center"/>
    </xf>
    <xf numFmtId="10" fontId="6" fillId="12" borderId="0" xfId="11337" applyNumberFormat="1" applyFont="1" applyFill="1" applyAlignment="1">
      <alignment horizontal="left" vertical="center"/>
    </xf>
    <xf numFmtId="0" fontId="11" fillId="8" borderId="0" xfId="11337" applyFont="1" applyFill="1" applyAlignment="1">
      <alignment horizontal="left" vertical="center"/>
    </xf>
    <xf numFmtId="0" fontId="6" fillId="8" borderId="0" xfId="11337" applyFont="1" applyFill="1" applyAlignment="1">
      <alignment horizontal="left" vertical="center"/>
    </xf>
    <xf numFmtId="0" fontId="42" fillId="9" borderId="75" xfId="11337" applyFont="1" applyFill="1" applyBorder="1" applyAlignment="1">
      <alignment horizontal="left" vertical="center"/>
    </xf>
    <xf numFmtId="0" fontId="44" fillId="3" borderId="0" xfId="11337" applyFont="1" applyFill="1" applyAlignment="1">
      <alignment horizontal="left" vertical="center"/>
    </xf>
    <xf numFmtId="0" fontId="6" fillId="9" borderId="0" xfId="11337" applyFont="1" applyFill="1" applyAlignment="1">
      <alignment horizontal="left" vertical="center"/>
    </xf>
    <xf numFmtId="180" fontId="6" fillId="0" borderId="0" xfId="11337" applyNumberFormat="1" applyFont="1" applyAlignment="1">
      <alignment horizontal="left" vertical="center"/>
    </xf>
    <xf numFmtId="0" fontId="6" fillId="0" borderId="0" xfId="11337" applyFont="1" applyFill="1" applyAlignment="1">
      <alignment horizontal="left" vertical="center"/>
    </xf>
    <xf numFmtId="184" fontId="6" fillId="0" borderId="75" xfId="11337" applyNumberFormat="1" applyFont="1" applyBorder="1" applyAlignment="1">
      <alignment horizontal="left" vertical="center"/>
    </xf>
    <xf numFmtId="184" fontId="6" fillId="0" borderId="0" xfId="11337" applyNumberFormat="1" applyFont="1" applyAlignment="1">
      <alignment horizontal="left" vertical="center"/>
    </xf>
    <xf numFmtId="180" fontId="6" fillId="3" borderId="0" xfId="11337" applyNumberFormat="1" applyFont="1" applyFill="1" applyAlignment="1">
      <alignment horizontal="left" vertical="center"/>
    </xf>
    <xf numFmtId="10" fontId="6" fillId="3" borderId="90" xfId="11337" applyNumberFormat="1" applyFont="1" applyFill="1" applyBorder="1" applyAlignment="1">
      <alignment horizontal="left" vertical="center"/>
    </xf>
    <xf numFmtId="10" fontId="6" fillId="3" borderId="96" xfId="11337" applyNumberFormat="1" applyFont="1" applyFill="1" applyBorder="1" applyAlignment="1">
      <alignment horizontal="left" vertical="center"/>
    </xf>
    <xf numFmtId="0" fontId="14" fillId="3" borderId="0" xfId="11337" applyFont="1" applyFill="1" applyAlignment="1">
      <alignment horizontal="left" vertical="center"/>
    </xf>
    <xf numFmtId="0" fontId="6" fillId="3" borderId="0" xfId="11337" applyNumberFormat="1" applyFont="1" applyFill="1" applyAlignment="1">
      <alignment horizontal="left" vertical="center"/>
    </xf>
    <xf numFmtId="14" fontId="6" fillId="0" borderId="0" xfId="11337" applyNumberFormat="1" applyFont="1" applyAlignment="1">
      <alignment horizontal="left" vertical="center"/>
    </xf>
    <xf numFmtId="0" fontId="6" fillId="0" borderId="0" xfId="11337" applyNumberFormat="1" applyFont="1" applyAlignment="1">
      <alignment horizontal="left" vertical="center"/>
    </xf>
    <xf numFmtId="180" fontId="6" fillId="0" borderId="21" xfId="11337" applyNumberFormat="1" applyFont="1" applyBorder="1" applyAlignment="1">
      <alignment horizontal="left" vertical="center"/>
    </xf>
    <xf numFmtId="182" fontId="6" fillId="0" borderId="0" xfId="11337" applyNumberFormat="1" applyFont="1" applyAlignment="1">
      <alignment horizontal="left" vertical="center"/>
    </xf>
    <xf numFmtId="10" fontId="6" fillId="8" borderId="0" xfId="11337" applyNumberFormat="1" applyFont="1" applyFill="1" applyAlignment="1">
      <alignment horizontal="left" vertical="center"/>
    </xf>
    <xf numFmtId="10" fontId="6" fillId="9" borderId="0" xfId="11337" applyNumberFormat="1" applyFont="1" applyFill="1" applyAlignment="1">
      <alignment horizontal="left" vertical="center"/>
    </xf>
    <xf numFmtId="10" fontId="6" fillId="0" borderId="0" xfId="11337" applyNumberFormat="1" applyFont="1" applyFill="1" applyAlignment="1">
      <alignment horizontal="left" vertical="center"/>
    </xf>
    <xf numFmtId="0" fontId="14" fillId="0" borderId="0" xfId="11337" applyFont="1" applyAlignment="1">
      <alignment horizontal="left" vertical="center"/>
    </xf>
    <xf numFmtId="0" fontId="42" fillId="11" borderId="100" xfId="11337" applyFont="1" applyFill="1" applyBorder="1" applyAlignment="1">
      <alignment horizontal="left" vertical="center" wrapText="1"/>
    </xf>
    <xf numFmtId="0" fontId="42" fillId="11" borderId="101" xfId="11337" applyFont="1" applyFill="1" applyBorder="1" applyAlignment="1">
      <alignment horizontal="left" vertical="center" wrapText="1"/>
    </xf>
    <xf numFmtId="180" fontId="6" fillId="12" borderId="0" xfId="11337" applyNumberFormat="1" applyFont="1" applyFill="1" applyAlignment="1">
      <alignment horizontal="left" vertical="center"/>
    </xf>
    <xf numFmtId="0" fontId="49" fillId="11" borderId="85" xfId="11337" applyFont="1" applyFill="1" applyBorder="1" applyAlignment="1" applyProtection="1">
      <alignment horizontal="left" vertical="center" wrapText="1"/>
    </xf>
    <xf numFmtId="0" fontId="42" fillId="10" borderId="85" xfId="11337" applyFont="1" applyFill="1" applyBorder="1" applyAlignment="1">
      <alignment horizontal="left" vertical="center" wrapText="1"/>
    </xf>
    <xf numFmtId="0" fontId="42" fillId="10" borderId="87" xfId="11337" applyFont="1" applyFill="1" applyBorder="1" applyAlignment="1">
      <alignment horizontal="left" vertical="center" wrapText="1"/>
    </xf>
    <xf numFmtId="0" fontId="49" fillId="3" borderId="78" xfId="11337" applyFont="1" applyFill="1" applyBorder="1" applyAlignment="1" applyProtection="1">
      <alignment horizontal="left" vertical="center" wrapText="1"/>
    </xf>
    <xf numFmtId="0" fontId="42" fillId="10" borderId="102" xfId="11337" applyFont="1" applyFill="1" applyBorder="1" applyAlignment="1">
      <alignment horizontal="left" vertical="center" wrapText="1"/>
    </xf>
    <xf numFmtId="0" fontId="42" fillId="10" borderId="103" xfId="11337" applyFont="1" applyFill="1" applyBorder="1" applyAlignment="1">
      <alignment horizontal="left" vertical="center" wrapText="1"/>
    </xf>
    <xf numFmtId="0" fontId="42" fillId="10" borderId="104" xfId="11337" applyFont="1" applyFill="1" applyBorder="1" applyAlignment="1">
      <alignment horizontal="left" vertical="center" wrapText="1"/>
    </xf>
    <xf numFmtId="0" fontId="20" fillId="0" borderId="0" xfId="11337" applyFont="1" applyAlignment="1">
      <alignment horizontal="left" vertical="center"/>
    </xf>
    <xf numFmtId="0" fontId="44" fillId="0" borderId="75" xfId="11337" applyFont="1" applyBorder="1" applyAlignment="1">
      <alignment horizontal="left" vertical="center"/>
    </xf>
    <xf numFmtId="10" fontId="6" fillId="12" borderId="90" xfId="11337" applyNumberFormat="1" applyFont="1" applyFill="1" applyBorder="1" applyAlignment="1">
      <alignment horizontal="left" vertical="center"/>
    </xf>
    <xf numFmtId="10" fontId="6" fillId="12" borderId="96" xfId="11337" applyNumberFormat="1" applyFont="1" applyFill="1" applyBorder="1" applyAlignment="1">
      <alignment horizontal="left" vertical="center"/>
    </xf>
    <xf numFmtId="10" fontId="6" fillId="12" borderId="98" xfId="11337" applyNumberFormat="1" applyFont="1" applyFill="1" applyBorder="1" applyAlignment="1">
      <alignment horizontal="left" vertical="center"/>
    </xf>
    <xf numFmtId="10" fontId="6" fillId="12" borderId="21" xfId="11337" applyNumberFormat="1" applyFont="1" applyFill="1" applyBorder="1" applyAlignment="1">
      <alignment horizontal="left" vertical="center"/>
    </xf>
    <xf numFmtId="186" fontId="6" fillId="0" borderId="0" xfId="11337" applyNumberFormat="1" applyFont="1" applyAlignment="1">
      <alignment horizontal="left" vertical="center"/>
    </xf>
    <xf numFmtId="186" fontId="6" fillId="0" borderId="75" xfId="11337" applyNumberFormat="1" applyFont="1" applyBorder="1" applyAlignment="1">
      <alignment horizontal="left" vertical="center"/>
    </xf>
    <xf numFmtId="186" fontId="6" fillId="3" borderId="0" xfId="11337" applyNumberFormat="1" applyFont="1" applyFill="1" applyAlignment="1">
      <alignment horizontal="left" vertical="center"/>
    </xf>
    <xf numFmtId="0" fontId="6" fillId="3" borderId="75" xfId="11337" applyFont="1" applyFill="1" applyBorder="1" applyAlignment="1">
      <alignment horizontal="left" vertical="center"/>
    </xf>
    <xf numFmtId="186" fontId="44" fillId="0" borderId="0" xfId="11337" applyNumberFormat="1" applyFont="1" applyAlignment="1">
      <alignment horizontal="left" vertical="center"/>
    </xf>
    <xf numFmtId="186" fontId="44" fillId="0" borderId="75" xfId="11337" applyNumberFormat="1" applyFont="1" applyBorder="1" applyAlignment="1">
      <alignment horizontal="left" vertical="center"/>
    </xf>
    <xf numFmtId="182" fontId="6" fillId="0" borderId="21" xfId="11337" applyNumberFormat="1" applyFont="1" applyBorder="1" applyAlignment="1">
      <alignment horizontal="left" vertical="center"/>
    </xf>
    <xf numFmtId="182" fontId="6" fillId="3" borderId="0" xfId="11337" applyNumberFormat="1" applyFont="1" applyFill="1" applyAlignment="1">
      <alignment horizontal="left" vertical="center"/>
    </xf>
    <xf numFmtId="0" fontId="49" fillId="11" borderId="105" xfId="11337" applyFont="1" applyFill="1" applyBorder="1" applyAlignment="1">
      <alignment horizontal="left" vertical="center" wrapText="1"/>
    </xf>
    <xf numFmtId="0" fontId="49" fillId="11" borderId="79" xfId="11337" applyFont="1" applyFill="1" applyBorder="1" applyAlignment="1">
      <alignment horizontal="left" vertical="center" wrapText="1"/>
    </xf>
    <xf numFmtId="0" fontId="49" fillId="10" borderId="106" xfId="11337" applyFont="1" applyFill="1" applyBorder="1" applyAlignment="1">
      <alignment horizontal="left" vertical="center" wrapText="1"/>
    </xf>
    <xf numFmtId="0" fontId="49" fillId="10" borderId="78" xfId="11337" applyFont="1" applyFill="1" applyBorder="1" applyAlignment="1">
      <alignment horizontal="left" vertical="center" wrapText="1"/>
    </xf>
    <xf numFmtId="0" fontId="49" fillId="11" borderId="106" xfId="11337" applyFont="1" applyFill="1" applyBorder="1" applyAlignment="1">
      <alignment horizontal="left" vertical="center" wrapText="1"/>
    </xf>
    <xf numFmtId="0" fontId="49" fillId="11" borderId="78" xfId="11337" applyFont="1" applyFill="1" applyBorder="1" applyAlignment="1">
      <alignment horizontal="left" vertical="center" wrapText="1"/>
    </xf>
    <xf numFmtId="0" fontId="49" fillId="10" borderId="107" xfId="11337" applyFont="1" applyFill="1" applyBorder="1" applyAlignment="1">
      <alignment horizontal="left" vertical="center" wrapText="1"/>
    </xf>
    <xf numFmtId="0" fontId="49" fillId="10" borderId="85" xfId="11337"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51" fillId="0" borderId="96" xfId="15621" applyNumberFormat="1" applyFont="1" applyBorder="1" applyAlignment="1" applyProtection="1">
      <alignment vertical="center"/>
    </xf>
    <xf numFmtId="0" fontId="51" fillId="0" borderId="96" xfId="15621" applyNumberFormat="1" applyFont="1" applyBorder="1" applyAlignment="1" applyProtection="1">
      <alignment vertical="center"/>
    </xf>
    <xf numFmtId="177" fontId="52" fillId="2" borderId="1" xfId="15621" applyNumberFormat="1" applyFont="1" applyFill="1" applyBorder="1" applyAlignment="1" applyProtection="1">
      <alignment horizontal="center" vertical="center"/>
    </xf>
    <xf numFmtId="0" fontId="52" fillId="2" borderId="1" xfId="15621" applyNumberFormat="1" applyFont="1" applyFill="1" applyBorder="1" applyAlignment="1" applyProtection="1">
      <alignment horizontal="center" vertical="center"/>
    </xf>
    <xf numFmtId="0" fontId="52" fillId="2" borderId="1" xfId="15621" applyNumberFormat="1" applyFont="1" applyFill="1" applyBorder="1" applyAlignment="1" applyProtection="1">
      <alignment horizontal="center" vertical="center" wrapText="1"/>
    </xf>
    <xf numFmtId="0" fontId="53" fillId="2" borderId="1" xfId="15621" applyNumberFormat="1" applyFont="1" applyFill="1" applyBorder="1" applyAlignment="1" applyProtection="1">
      <alignment horizontal="center" vertical="center"/>
    </xf>
    <xf numFmtId="177" fontId="52" fillId="2" borderId="1" xfId="15621" applyNumberFormat="1" applyFont="1" applyFill="1" applyBorder="1" applyAlignment="1" applyProtection="1">
      <alignment horizontal="center" vertical="center" wrapText="1"/>
    </xf>
    <xf numFmtId="0" fontId="52" fillId="2" borderId="64" xfId="1562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8" fillId="2" borderId="10" xfId="0" applyFont="1" applyFill="1" applyBorder="1" applyAlignment="1" applyProtection="1">
      <alignment horizontal="left" vertical="center"/>
    </xf>
    <xf numFmtId="0" fontId="8" fillId="2" borderId="27" xfId="0" applyFont="1" applyFill="1" applyBorder="1" applyAlignment="1" applyProtection="1">
      <alignment horizontal="left" vertical="center"/>
    </xf>
    <xf numFmtId="182" fontId="0" fillId="2" borderId="50" xfId="0" applyNumberFormat="1" applyFill="1" applyBorder="1" applyAlignment="1" applyProtection="1">
      <alignment horizontal="left" vertical="center"/>
    </xf>
    <xf numFmtId="0" fontId="8"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left"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48" xfId="0" applyFont="1" applyFill="1" applyBorder="1" applyAlignment="1" applyProtection="1">
      <alignment horizontal="left" vertical="center" wrapText="1"/>
    </xf>
    <xf numFmtId="0" fontId="54" fillId="2" borderId="2"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32" xfId="0" applyFont="1" applyFill="1" applyBorder="1" applyAlignment="1" applyProtection="1">
      <alignment horizontal="left" vertical="center"/>
    </xf>
    <xf numFmtId="0" fontId="54" fillId="2" borderId="108" xfId="0" applyFont="1" applyFill="1" applyBorder="1" applyAlignment="1" applyProtection="1">
      <alignment horizontal="left" vertical="center"/>
    </xf>
    <xf numFmtId="0" fontId="54" fillId="2" borderId="9"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11" xfId="0" applyFont="1" applyFill="1" applyBorder="1" applyAlignment="1" applyProtection="1">
      <alignment horizontal="left" vertical="center"/>
    </xf>
    <xf numFmtId="0" fontId="54" fillId="2" borderId="33" xfId="0" applyFont="1" applyFill="1" applyBorder="1" applyAlignment="1" applyProtection="1">
      <alignment horizontal="left" vertical="center"/>
    </xf>
    <xf numFmtId="0" fontId="54" fillId="2" borderId="62"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9" xfId="0" applyFont="1" applyFill="1" applyBorder="1" applyAlignment="1" applyProtection="1">
      <alignment horizontal="left" vertical="center"/>
    </xf>
    <xf numFmtId="0" fontId="54" fillId="2" borderId="24" xfId="0" applyFont="1" applyFill="1" applyBorder="1" applyAlignment="1" applyProtection="1">
      <alignment horizontal="left" vertical="center"/>
    </xf>
    <xf numFmtId="0" fontId="54" fillId="2" borderId="109" xfId="0" applyFont="1" applyFill="1" applyBorder="1" applyAlignment="1" applyProtection="1">
      <alignment horizontal="left" vertical="center"/>
    </xf>
    <xf numFmtId="0" fontId="54" fillId="2" borderId="110" xfId="0" applyFont="1" applyFill="1" applyBorder="1" applyAlignment="1" applyProtection="1">
      <alignment horizontal="left" vertical="center"/>
    </xf>
    <xf numFmtId="0" fontId="54" fillId="2" borderId="26" xfId="0" applyFont="1" applyFill="1" applyBorder="1" applyAlignment="1" applyProtection="1">
      <alignment horizontal="left" vertical="center"/>
    </xf>
    <xf numFmtId="0" fontId="54" fillId="2"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5" xfId="0" applyFont="1" applyFill="1" applyBorder="1" applyAlignment="1" applyProtection="1">
      <alignment horizontal="center" vertical="center" wrapText="1"/>
    </xf>
    <xf numFmtId="0" fontId="54" fillId="2" borderId="16" xfId="0" applyFont="1" applyFill="1" applyBorder="1" applyAlignment="1" applyProtection="1">
      <alignment vertical="center" wrapText="1"/>
    </xf>
    <xf numFmtId="0" fontId="54" fillId="2" borderId="112" xfId="0" applyFont="1" applyFill="1" applyBorder="1" applyAlignment="1" applyProtection="1">
      <alignment vertical="center" wrapText="1"/>
    </xf>
    <xf numFmtId="0" fontId="54" fillId="2" borderId="4"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64"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54" fillId="2" borderId="40" xfId="0" applyFont="1" applyFill="1" applyBorder="1" applyAlignment="1" applyProtection="1">
      <alignment horizontal="left" vertical="center" wrapText="1"/>
    </xf>
    <xf numFmtId="0" fontId="54" fillId="2" borderId="0" xfId="0" applyFont="1" applyFill="1" applyAlignment="1" applyProtection="1">
      <alignment horizontal="center" vertical="center"/>
    </xf>
    <xf numFmtId="0" fontId="54" fillId="2" borderId="1" xfId="0" applyFont="1" applyFill="1" applyBorder="1" applyAlignment="1" applyProtection="1">
      <alignment horizontal="center" vertical="center"/>
    </xf>
    <xf numFmtId="9" fontId="54" fillId="2" borderId="1" xfId="0" applyNumberFormat="1" applyFont="1" applyFill="1" applyBorder="1" applyAlignment="1" applyProtection="1">
      <alignment horizontal="center" vertical="center"/>
    </xf>
    <xf numFmtId="9" fontId="54" fillId="2"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24254"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7" fontId="56"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95"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95" xfId="0" applyFont="1" applyFill="1" applyBorder="1" applyAlignment="1" applyProtection="1">
      <alignment vertical="center" wrapText="1"/>
    </xf>
    <xf numFmtId="0" fontId="56" fillId="2" borderId="95"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57" fillId="2" borderId="111"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87"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10942"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87" fontId="57"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51"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64" xfId="0" applyFont="1" applyFill="1" applyBorder="1" applyAlignment="1" applyProtection="1">
      <alignment horizontal="center" vertical="center" wrapText="1"/>
    </xf>
    <xf numFmtId="187" fontId="31" fillId="2" borderId="64" xfId="0" applyNumberFormat="1" applyFont="1" applyFill="1" applyBorder="1" applyAlignment="1" applyProtection="1">
      <alignment horizontal="center" vertical="center" wrapText="1"/>
    </xf>
    <xf numFmtId="187" fontId="31" fillId="2" borderId="50" xfId="0" applyNumberFormat="1" applyFont="1" applyFill="1" applyBorder="1" applyAlignment="1" applyProtection="1">
      <alignment horizontal="center" vertical="center" wrapText="1"/>
    </xf>
    <xf numFmtId="0" fontId="31" fillId="2" borderId="114" xfId="0" applyFont="1" applyFill="1" applyBorder="1" applyAlignment="1" applyProtection="1">
      <alignment vertical="center" wrapText="1"/>
    </xf>
    <xf numFmtId="0" fontId="31"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30" fillId="2" borderId="108"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111"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13"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12"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pplyProtection="1">
      <alignment vertical="center"/>
    </xf>
    <xf numFmtId="187"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0" fillId="2" borderId="37" xfId="0" applyFont="1" applyFill="1" applyBorder="1" applyAlignment="1" applyProtection="1">
      <alignment vertical="center"/>
    </xf>
    <xf numFmtId="187" fontId="61"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0" fillId="2" borderId="38" xfId="0" applyFont="1" applyFill="1" applyBorder="1" applyAlignment="1" applyProtection="1">
      <alignment vertical="center"/>
    </xf>
    <xf numFmtId="0" fontId="60" fillId="2" borderId="39"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15"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0" fontId="56" fillId="0" borderId="1" xfId="0" applyNumberFormat="1" applyFont="1" applyFill="1" applyBorder="1" applyAlignment="1" applyProtection="1">
      <alignment horizontal="center" vertical="center" wrapText="1"/>
      <protection locked="0"/>
    </xf>
    <xf numFmtId="0" fontId="56" fillId="2"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2" borderId="116"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15"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116"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6" fillId="2" borderId="31" xfId="10942" applyFont="1" applyFill="1" applyBorder="1" applyAlignment="1" applyProtection="1">
      <alignment horizontal="center" vertical="center" wrapText="1"/>
      <protection locked="0"/>
    </xf>
    <xf numFmtId="0" fontId="56" fillId="2" borderId="8" xfId="10942" applyFont="1" applyFill="1" applyBorder="1" applyAlignment="1" applyProtection="1">
      <alignment vertical="center" wrapText="1"/>
      <protection locked="0"/>
    </xf>
    <xf numFmtId="0" fontId="56" fillId="2" borderId="29" xfId="10942"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10942" applyFont="1" applyFill="1" applyBorder="1" applyAlignment="1" applyProtection="1">
      <alignment horizontal="center" vertical="center" wrapText="1"/>
    </xf>
    <xf numFmtId="10" fontId="56" fillId="0" borderId="4" xfId="10942" applyNumberFormat="1" applyFont="1" applyFill="1" applyBorder="1" applyAlignment="1" applyProtection="1">
      <alignment horizontal="center" vertical="center" wrapText="1"/>
      <protection locked="0"/>
    </xf>
    <xf numFmtId="10" fontId="31" fillId="2" borderId="11" xfId="10942"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10942" applyFont="1" applyFill="1" applyBorder="1" applyAlignment="1" applyProtection="1">
      <alignment horizontal="center" vertical="center" wrapText="1"/>
    </xf>
    <xf numFmtId="10" fontId="56" fillId="0" borderId="62" xfId="10942" applyNumberFormat="1" applyFont="1" applyFill="1" applyBorder="1" applyAlignment="1" applyProtection="1">
      <alignment horizontal="center" vertical="center" wrapText="1"/>
      <protection locked="0"/>
    </xf>
    <xf numFmtId="10" fontId="31" fillId="2" borderId="14" xfId="10942" applyNumberFormat="1" applyFont="1" applyFill="1" applyBorder="1" applyAlignment="1" applyProtection="1">
      <alignment horizontal="center" vertical="center" wrapText="1"/>
    </xf>
    <xf numFmtId="0" fontId="56" fillId="2" borderId="18" xfId="10942" applyFont="1" applyFill="1" applyBorder="1" applyAlignment="1" applyProtection="1">
      <alignment horizontal="center" vertical="center" wrapText="1"/>
      <protection locked="0"/>
    </xf>
    <xf numFmtId="0" fontId="56" fillId="2" borderId="0" xfId="10942" applyFont="1" applyFill="1" applyBorder="1" applyAlignment="1" applyProtection="1">
      <alignment vertical="center" wrapText="1"/>
      <protection locked="0"/>
    </xf>
    <xf numFmtId="10" fontId="31" fillId="2" borderId="40" xfId="10942"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08"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6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0942" applyFont="1" applyFill="1" applyBorder="1" applyAlignment="1" applyProtection="1">
      <alignment horizontal="center" vertical="center" wrapText="1"/>
    </xf>
    <xf numFmtId="0" fontId="31" fillId="2" borderId="0" xfId="10942" applyFont="1" applyFill="1" applyAlignment="1" applyProtection="1">
      <alignment vertical="center" wrapText="1"/>
      <protection locked="0"/>
    </xf>
    <xf numFmtId="0" fontId="28" fillId="0" borderId="1" xfId="10942" applyFont="1" applyFill="1" applyBorder="1" applyAlignment="1" applyProtection="1">
      <alignment horizontal="center" vertical="center" wrapText="1"/>
      <protection locked="0"/>
    </xf>
    <xf numFmtId="0" fontId="31" fillId="2" borderId="4" xfId="10942" applyFont="1" applyFill="1" applyBorder="1" applyAlignment="1" applyProtection="1">
      <alignment horizontal="center" vertical="center" wrapText="1"/>
      <protection locked="0"/>
    </xf>
    <xf numFmtId="0" fontId="31" fillId="2" borderId="1" xfId="10942" applyFont="1" applyFill="1" applyBorder="1" applyAlignment="1" applyProtection="1">
      <alignment horizontal="center" vertical="center" wrapText="1"/>
      <protection locked="0"/>
    </xf>
    <xf numFmtId="176" fontId="6" fillId="2" borderId="1" xfId="10942" applyNumberFormat="1" applyFont="1" applyFill="1" applyBorder="1" applyAlignment="1" applyProtection="1">
      <alignment horizontal="center" vertical="center"/>
    </xf>
    <xf numFmtId="0" fontId="31" fillId="2" borderId="1" xfId="10942" applyFont="1" applyFill="1" applyBorder="1" applyAlignment="1" applyProtection="1">
      <alignment horizontal="center" vertical="center" wrapText="1"/>
    </xf>
    <xf numFmtId="0" fontId="6" fillId="2" borderId="1" xfId="10942"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942" applyFont="1" applyFill="1" applyAlignment="1" applyProtection="1">
      <alignment horizontal="center" vertical="center" wrapText="1"/>
      <protection locked="0"/>
    </xf>
    <xf numFmtId="0" fontId="31" fillId="5" borderId="0" xfId="10942" applyFont="1" applyFill="1" applyAlignment="1" applyProtection="1">
      <alignment horizontal="center" vertical="center" wrapText="1"/>
    </xf>
    <xf numFmtId="0" fontId="56" fillId="2" borderId="0" xfId="10942" applyFont="1" applyFill="1" applyAlignment="1" applyProtection="1">
      <alignment horizontal="center" vertical="center" wrapText="1"/>
      <protection locked="0"/>
    </xf>
    <xf numFmtId="0" fontId="56" fillId="5" borderId="0" xfId="10942" applyFont="1" applyFill="1" applyAlignment="1" applyProtection="1">
      <alignment horizontal="center" vertical="center" wrapText="1"/>
    </xf>
    <xf numFmtId="177" fontId="31" fillId="2" borderId="1" xfId="10942" applyNumberFormat="1" applyFont="1" applyFill="1" applyBorder="1" applyAlignment="1" applyProtection="1">
      <alignment horizontal="center" vertical="center" wrapText="1"/>
      <protection locked="0"/>
    </xf>
    <xf numFmtId="0" fontId="6" fillId="2" borderId="1" xfId="10942" applyFont="1" applyFill="1" applyBorder="1" applyAlignment="1" applyProtection="1">
      <alignment horizontal="center" vertical="center"/>
    </xf>
    <xf numFmtId="180" fontId="44" fillId="0" borderId="1" xfId="10942" applyNumberFormat="1" applyFont="1" applyFill="1" applyBorder="1" applyAlignment="1" applyProtection="1">
      <alignment horizontal="center" vertical="center"/>
      <protection locked="0"/>
    </xf>
    <xf numFmtId="180" fontId="44" fillId="2" borderId="1" xfId="10942" applyNumberFormat="1" applyFont="1" applyFill="1" applyBorder="1" applyAlignment="1" applyProtection="1">
      <alignment horizontal="center" vertical="center"/>
    </xf>
    <xf numFmtId="187" fontId="44" fillId="2" borderId="1" xfId="10942" applyNumberFormat="1" applyFont="1" applyFill="1" applyBorder="1" applyAlignment="1" applyProtection="1">
      <alignment horizontal="center" vertical="center" wrapText="1"/>
    </xf>
    <xf numFmtId="0" fontId="31" fillId="2" borderId="1" xfId="10942" applyNumberFormat="1" applyFont="1" applyFill="1" applyBorder="1" applyAlignment="1" applyProtection="1">
      <alignment horizontal="center" vertical="center" wrapText="1"/>
    </xf>
    <xf numFmtId="0" fontId="31" fillId="5" borderId="0" xfId="10942" applyFont="1" applyFill="1" applyAlignment="1" applyProtection="1">
      <alignment horizontal="center" vertical="center" wrapText="1"/>
      <protection locked="0"/>
    </xf>
    <xf numFmtId="0" fontId="31" fillId="0" borderId="0" xfId="10942" applyFont="1" applyAlignment="1" applyProtection="1">
      <alignment horizontal="center" vertical="center" wrapText="1"/>
    </xf>
    <xf numFmtId="0" fontId="56" fillId="0" borderId="0" xfId="10942" applyFont="1" applyAlignment="1" applyProtection="1">
      <alignment horizontal="center" vertical="center" wrapText="1"/>
    </xf>
    <xf numFmtId="0" fontId="31" fillId="0" borderId="0" xfId="10942"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76"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0" fontId="44" fillId="2" borderId="1" xfId="0" applyNumberFormat="1" applyFont="1" applyFill="1" applyBorder="1" applyAlignment="1" applyProtection="1">
      <alignment horizontal="center" vertical="center"/>
    </xf>
    <xf numFmtId="187" fontId="44" fillId="2" borderId="1" xfId="0" applyNumberFormat="1" applyFont="1" applyFill="1" applyBorder="1" applyAlignment="1" applyProtection="1">
      <alignment horizontal="center" vertical="center" wrapText="1"/>
    </xf>
    <xf numFmtId="176" fontId="6" fillId="2" borderId="16" xfId="0" applyNumberFormat="1" applyFont="1" applyFill="1" applyBorder="1" applyAlignment="1" applyProtection="1">
      <alignment horizontal="center" vertical="center" wrapText="1"/>
    </xf>
    <xf numFmtId="177" fontId="44"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77" fontId="44"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3" fillId="2" borderId="1" xfId="15621"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8" xfId="15621" applyNumberFormat="1" applyFont="1" applyFill="1" applyBorder="1" applyAlignment="1" applyProtection="1">
      <alignment horizontal="center" vertical="center"/>
    </xf>
    <xf numFmtId="0" fontId="31" fillId="2" borderId="16" xfId="15621" applyNumberFormat="1" applyFont="1" applyFill="1" applyBorder="1" applyAlignment="1" applyProtection="1">
      <alignment horizontal="center" vertical="center"/>
    </xf>
    <xf numFmtId="0" fontId="31" fillId="2" borderId="16" xfId="15621"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1" fillId="2" borderId="35" xfId="15621" applyNumberFormat="1" applyFont="1" applyFill="1" applyBorder="1" applyAlignment="1" applyProtection="1">
      <alignment horizontal="center" vertical="center"/>
    </xf>
    <xf numFmtId="0" fontId="31" fillId="2" borderId="36" xfId="15621"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184" fontId="56"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80" fontId="29"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76" fontId="29"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2" borderId="49"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61"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72" fillId="2" borderId="118" xfId="0" applyFont="1" applyFill="1" applyBorder="1" applyAlignment="1" applyProtection="1">
      <alignment vertical="center" wrapText="1"/>
    </xf>
    <xf numFmtId="0" fontId="72" fillId="2" borderId="25" xfId="0" applyFont="1" applyFill="1" applyBorder="1" applyAlignment="1" applyProtection="1">
      <alignment vertical="center" wrapText="1"/>
    </xf>
    <xf numFmtId="189" fontId="62" fillId="2" borderId="19"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189" fontId="62" fillId="0" borderId="110" xfId="0" applyNumberFormat="1" applyFont="1" applyFill="1" applyBorder="1" applyAlignment="1" applyProtection="1">
      <alignment horizontal="center" vertical="center" wrapText="1"/>
      <protection locked="0"/>
    </xf>
    <xf numFmtId="0" fontId="62" fillId="2" borderId="109" xfId="0" applyNumberFormat="1" applyFont="1" applyFill="1" applyBorder="1" applyAlignment="1" applyProtection="1">
      <alignment horizontal="center" vertical="center" wrapText="1"/>
    </xf>
    <xf numFmtId="189"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2" fillId="2"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2" fillId="2"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2"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2"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2" fillId="2" borderId="28"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2" fillId="2"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76" fontId="57"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4" fontId="57" fillId="13" borderId="46" xfId="0" applyNumberFormat="1" applyFont="1" applyFill="1" applyBorder="1" applyAlignment="1" applyProtection="1">
      <alignment horizontal="left" vertical="center" wrapText="1"/>
      <protection locked="0"/>
    </xf>
    <xf numFmtId="176" fontId="57" fillId="2"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76" fontId="57" fillId="2"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4" fontId="56" fillId="2" borderId="2" xfId="0" applyNumberFormat="1" applyFont="1" applyFill="1" applyBorder="1" applyAlignment="1" applyProtection="1">
      <alignment horizontal="center" vertical="center"/>
    </xf>
    <xf numFmtId="184" fontId="56"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91" fontId="56"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91"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31" fillId="2" borderId="10" xfId="0" applyFont="1" applyFill="1" applyBorder="1" applyAlignment="1" applyProtection="1"/>
    <xf numFmtId="176" fontId="31" fillId="2" borderId="1" xfId="24254"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0" fontId="31" fillId="2" borderId="11" xfId="24254" applyNumberFormat="1" applyFont="1" applyFill="1" applyBorder="1" applyAlignment="1" applyProtection="1">
      <alignment horizontal="center"/>
    </xf>
    <xf numFmtId="0" fontId="31" fillId="2" borderId="10" xfId="24254" applyFont="1" applyFill="1" applyBorder="1" applyAlignment="1" applyProtection="1"/>
    <xf numFmtId="9" fontId="68" fillId="3" borderId="1" xfId="0" applyNumberFormat="1" applyFont="1" applyFill="1" applyBorder="1" applyAlignment="1" applyProtection="1">
      <alignment horizontal="center" vertical="center"/>
      <protection locked="0"/>
    </xf>
    <xf numFmtId="177" fontId="31" fillId="0" borderId="1" xfId="24254"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8"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30" fillId="2" borderId="12" xfId="24254" applyFont="1" applyFill="1" applyBorder="1" applyAlignment="1" applyProtection="1"/>
    <xf numFmtId="0" fontId="31" fillId="2" borderId="13" xfId="0" applyFont="1" applyFill="1" applyBorder="1" applyAlignment="1" applyProtection="1">
      <alignment horizontal="center"/>
    </xf>
    <xf numFmtId="180"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91"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6"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88" fontId="69" fillId="2" borderId="95" xfId="0" applyNumberFormat="1" applyFont="1" applyFill="1" applyBorder="1" applyAlignment="1" applyProtection="1">
      <alignment horizontal="center" vertical="center"/>
    </xf>
    <xf numFmtId="184"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8" fontId="69" fillId="2" borderId="0" xfId="0" applyNumberFormat="1" applyFont="1" applyFill="1" applyBorder="1" applyAlignment="1" applyProtection="1">
      <alignment horizontal="center" vertical="center"/>
      <protection locked="0"/>
    </xf>
    <xf numFmtId="184"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88" fontId="62" fillId="2" borderId="4" xfId="0" applyNumberFormat="1" applyFont="1" applyFill="1" applyBorder="1" applyAlignment="1" applyProtection="1">
      <alignment horizontal="center" vertical="center" wrapText="1"/>
    </xf>
    <xf numFmtId="184"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62" fillId="2" borderId="4" xfId="0" applyNumberFormat="1" applyFont="1" applyFill="1" applyBorder="1" applyAlignment="1" applyProtection="1">
      <alignment horizontal="center" vertical="center" wrapText="1"/>
    </xf>
    <xf numFmtId="184"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11" borderId="11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4"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4"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4"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88" fontId="56" fillId="2" borderId="4" xfId="0" applyNumberFormat="1" applyFont="1" applyFill="1" applyBorder="1" applyAlignment="1" applyProtection="1">
      <alignment horizontal="center" vertical="center"/>
    </xf>
    <xf numFmtId="184" fontId="56" fillId="11" borderId="0" xfId="0" applyNumberFormat="1" applyFont="1" applyFill="1" applyBorder="1" applyAlignment="1" applyProtection="1">
      <alignment vertical="center" wrapText="1"/>
      <protection locked="0"/>
    </xf>
    <xf numFmtId="191" fontId="56" fillId="2" borderId="42" xfId="0" applyNumberFormat="1" applyFont="1" applyFill="1" applyBorder="1" applyAlignment="1" applyProtection="1">
      <alignment horizontal="left" vertical="center" wrapText="1"/>
    </xf>
    <xf numFmtId="188"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88" fontId="56" fillId="11" borderId="0" xfId="0" applyNumberFormat="1" applyFont="1" applyFill="1" applyAlignment="1" applyProtection="1">
      <alignment horizontal="center" vertical="center"/>
      <protection locked="0"/>
    </xf>
    <xf numFmtId="184"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4" fontId="67"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4" fontId="56" fillId="2" borderId="0" xfId="0" applyNumberFormat="1" applyFont="1" applyFill="1" applyAlignment="1" applyProtection="1">
      <alignment horizontal="center" vertical="center"/>
      <protection locked="0"/>
    </xf>
    <xf numFmtId="188" fontId="56" fillId="2" borderId="0" xfId="0" applyNumberFormat="1" applyFont="1" applyFill="1" applyBorder="1" applyAlignment="1" applyProtection="1">
      <alignment horizontal="center"/>
    </xf>
    <xf numFmtId="184"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11" borderId="0" xfId="0" applyFont="1" applyFill="1" applyBorder="1" applyAlignment="1" applyProtection="1">
      <protection locked="0"/>
    </xf>
    <xf numFmtId="0" fontId="56" fillId="2" borderId="64" xfId="0" applyFont="1" applyFill="1" applyBorder="1" applyAlignment="1" applyProtection="1">
      <alignment horizontal="center" vertical="center"/>
    </xf>
    <xf numFmtId="178"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78"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78"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2" fillId="2" borderId="49" xfId="0" applyNumberFormat="1" applyFont="1" applyFill="1" applyBorder="1" applyAlignment="1" applyProtection="1">
      <alignment vertical="center"/>
    </xf>
    <xf numFmtId="0" fontId="72" fillId="2" borderId="113" xfId="0" applyNumberFormat="1" applyFont="1" applyFill="1" applyBorder="1" applyAlignment="1" applyProtection="1">
      <alignment vertical="center"/>
    </xf>
    <xf numFmtId="0" fontId="62" fillId="2" borderId="108"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2" borderId="61" xfId="0" applyNumberFormat="1" applyFont="1" applyFill="1" applyBorder="1" applyAlignment="1" applyProtection="1">
      <alignment vertical="center"/>
    </xf>
    <xf numFmtId="0" fontId="72" fillId="2"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2" borderId="50" xfId="0" applyNumberFormat="1" applyFont="1" applyFill="1" applyBorder="1" applyAlignment="1" applyProtection="1">
      <alignment vertical="center" wrapText="1"/>
    </xf>
    <xf numFmtId="0" fontId="72" fillId="2" borderId="119" xfId="0" applyNumberFormat="1" applyFont="1" applyFill="1" applyBorder="1" applyAlignment="1" applyProtection="1">
      <alignment vertical="center" wrapText="1"/>
    </xf>
    <xf numFmtId="0" fontId="62" fillId="2"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2"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2"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2" borderId="122" xfId="0" applyNumberFormat="1" applyFont="1" applyFill="1" applyBorder="1" applyAlignment="1" applyProtection="1">
      <alignment horizontal="center" vertical="center" wrapText="1"/>
    </xf>
    <xf numFmtId="0" fontId="56" fillId="2" borderId="123"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vertical="center" wrapText="1"/>
    </xf>
    <xf numFmtId="0" fontId="62" fillId="2"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2"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2"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6"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62" fillId="2"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80" fontId="31" fillId="2" borderId="2" xfId="24254"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31" fillId="11" borderId="0" xfId="0" applyFont="1" applyFill="1" applyAlignment="1" applyProtection="1">
      <protection locked="0"/>
    </xf>
    <xf numFmtId="188" fontId="56" fillId="2" borderId="0" xfId="0" applyNumberFormat="1" applyFont="1" applyFill="1" applyBorder="1" applyAlignment="1" applyProtection="1">
      <alignment horizontal="center"/>
      <protection locked="0"/>
    </xf>
    <xf numFmtId="184" fontId="56" fillId="2"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9" fillId="2" borderId="16" xfId="24254"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24254" applyFont="1" applyFill="1" applyBorder="1" applyAlignment="1" applyProtection="1">
      <alignment vertical="center"/>
      <protection locked="0"/>
    </xf>
    <xf numFmtId="0" fontId="29" fillId="2" borderId="112" xfId="24254" applyFont="1" applyFill="1" applyBorder="1" applyAlignment="1" applyProtection="1">
      <alignment vertical="center"/>
      <protection locked="0"/>
    </xf>
    <xf numFmtId="0" fontId="29" fillId="3" borderId="16" xfId="24254"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2"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48"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2" borderId="111"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191" fontId="56" fillId="11" borderId="0" xfId="0" applyNumberFormat="1" applyFont="1" applyFill="1" applyAlignment="1" applyProtection="1">
      <alignment horizontal="center" vertical="center"/>
      <protection locked="0"/>
    </xf>
    <xf numFmtId="0" fontId="72" fillId="2" borderId="49" xfId="0" applyNumberFormat="1" applyFont="1" applyFill="1" applyBorder="1" applyAlignment="1" applyProtection="1">
      <alignment vertical="center" wrapText="1"/>
    </xf>
    <xf numFmtId="0" fontId="72" fillId="2" borderId="113" xfId="0" applyNumberFormat="1" applyFont="1" applyFill="1" applyBorder="1" applyAlignment="1" applyProtection="1">
      <alignment vertical="center" wrapText="1"/>
    </xf>
    <xf numFmtId="192" fontId="62" fillId="2" borderId="108" xfId="0" applyNumberFormat="1" applyFont="1" applyFill="1" applyBorder="1" applyAlignment="1" applyProtection="1">
      <alignment horizontal="center" vertical="center" wrapText="1"/>
    </xf>
    <xf numFmtId="192" fontId="62"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88" fontId="69" fillId="2" borderId="128" xfId="0" applyNumberFormat="1" applyFont="1" applyFill="1" applyBorder="1" applyAlignment="1" applyProtection="1">
      <alignment horizontal="center" vertical="center"/>
    </xf>
    <xf numFmtId="184"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xf>
    <xf numFmtId="0" fontId="56" fillId="2"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88" fontId="56" fillId="0" borderId="0" xfId="0" applyNumberFormat="1" applyFont="1" applyFill="1" applyAlignment="1" applyProtection="1">
      <alignment horizontal="center" vertical="center"/>
    </xf>
    <xf numFmtId="184"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2" fillId="2" borderId="130" xfId="0" applyFont="1" applyFill="1" applyBorder="1" applyAlignment="1" applyProtection="1">
      <alignment vertical="center" wrapText="1"/>
    </xf>
    <xf numFmtId="0" fontId="62" fillId="2" borderId="38"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2" fillId="2"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2"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2"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2" borderId="47" xfId="0" applyNumberFormat="1" applyFont="1" applyFill="1" applyBorder="1" applyAlignment="1" applyProtection="1">
      <alignment horizontal="center" vertical="center" wrapText="1"/>
    </xf>
    <xf numFmtId="0" fontId="57" fillId="2" borderId="49" xfId="0" applyFont="1" applyFill="1" applyBorder="1" applyAlignment="1" applyProtection="1">
      <alignment vertical="center" textRotation="255" wrapText="1"/>
    </xf>
    <xf numFmtId="0" fontId="62" fillId="2" borderId="9" xfId="0" applyFont="1" applyFill="1" applyBorder="1" applyAlignment="1" applyProtection="1">
      <alignment horizontal="center" vertical="center" wrapText="1"/>
    </xf>
    <xf numFmtId="0" fontId="56" fillId="2" borderId="58"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7" fillId="2" borderId="6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2" fillId="2" borderId="114" xfId="0" applyNumberFormat="1" applyFont="1" applyFill="1" applyBorder="1" applyAlignment="1" applyProtection="1">
      <alignment horizontal="center" vertical="center" wrapText="1"/>
      <protection locked="0"/>
    </xf>
    <xf numFmtId="188" fontId="69" fillId="2" borderId="128" xfId="0" applyNumberFormat="1" applyFont="1" applyFill="1" applyBorder="1" applyAlignment="1" applyProtection="1">
      <alignment horizontal="center" vertical="center"/>
      <protection locked="0"/>
    </xf>
    <xf numFmtId="184"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184"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4" fontId="62"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84"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4"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4" fontId="56" fillId="2" borderId="0" xfId="0" applyNumberFormat="1" applyFont="1" applyFill="1" applyBorder="1" applyAlignment="1" applyProtection="1">
      <alignment vertical="center" wrapText="1"/>
      <protection locked="0"/>
    </xf>
    <xf numFmtId="184"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57" fillId="2"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49" fontId="56" fillId="2" borderId="113" xfId="0" applyNumberFormat="1" applyFont="1" applyFill="1" applyBorder="1" applyAlignment="1" applyProtection="1">
      <alignment horizontal="center" vertical="center" wrapText="1"/>
    </xf>
    <xf numFmtId="0" fontId="56" fillId="2"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62" fillId="7" borderId="58"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21" xfId="0"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92" fontId="62" fillId="2" borderId="113"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88" fontId="29" fillId="2" borderId="0" xfId="0" applyNumberFormat="1" applyFont="1" applyFill="1" applyBorder="1" applyAlignment="1" applyProtection="1">
      <alignment horizontal="center" vertical="center"/>
      <protection locked="0"/>
    </xf>
    <xf numFmtId="184"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8" fontId="62" fillId="2" borderId="39" xfId="0" applyNumberFormat="1" applyFont="1" applyFill="1" applyBorder="1" applyAlignment="1" applyProtection="1">
      <alignment horizontal="center" vertical="center" wrapText="1"/>
    </xf>
    <xf numFmtId="188" fontId="62" fillId="2" borderId="42"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2" borderId="138" xfId="0" applyNumberFormat="1" applyFont="1" applyFill="1" applyBorder="1" applyAlignment="1" applyProtection="1">
      <alignment horizontal="center" vertical="center" wrapText="1"/>
    </xf>
    <xf numFmtId="0" fontId="28" fillId="2" borderId="131" xfId="0" applyNumberFormat="1" applyFont="1" applyFill="1" applyBorder="1" applyAlignment="1" applyProtection="1">
      <alignment horizontal="center" vertical="center" wrapText="1"/>
    </xf>
    <xf numFmtId="188" fontId="56" fillId="2" borderId="42" xfId="0" applyNumberFormat="1" applyFont="1" applyFill="1" applyBorder="1" applyAlignment="1" applyProtection="1">
      <alignment horizontal="center" vertical="center"/>
    </xf>
    <xf numFmtId="191" fontId="56" fillId="13" borderId="42" xfId="0" applyNumberFormat="1" applyFont="1" applyFill="1" applyBorder="1" applyAlignment="1" applyProtection="1">
      <alignment horizontal="left" vertical="center" wrapText="1"/>
    </xf>
    <xf numFmtId="188" fontId="56"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8"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187" fontId="28"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2" fontId="28" fillId="2" borderId="11" xfId="0" applyNumberFormat="1" applyFont="1" applyFill="1" applyBorder="1" applyAlignment="1" applyProtection="1">
      <alignment horizontal="center" vertical="center"/>
    </xf>
    <xf numFmtId="182" fontId="28"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2" fontId="28" fillId="2" borderId="14" xfId="0" applyNumberFormat="1" applyFont="1" applyFill="1" applyBorder="1" applyAlignment="1" applyProtection="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2" borderId="10" xfId="24254"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9" fillId="11" borderId="30" xfId="24254" applyFont="1" applyFill="1" applyBorder="1" applyAlignment="1" applyProtection="1">
      <alignment vertical="center"/>
    </xf>
    <xf numFmtId="0" fontId="61" fillId="2" borderId="10" xfId="0" applyFont="1" applyFill="1" applyBorder="1" applyAlignment="1">
      <alignment horizontal="left" vertical="center"/>
    </xf>
    <xf numFmtId="0" fontId="61" fillId="11" borderId="0" xfId="0" applyFont="1" applyFill="1" applyBorder="1">
      <alignment vertical="center"/>
    </xf>
    <xf numFmtId="0" fontId="61"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20475" applyFont="1" applyAlignment="1">
      <alignment horizontal="left"/>
    </xf>
    <xf numFmtId="0" fontId="9" fillId="0" borderId="0" xfId="20475" applyFont="1" applyAlignment="1">
      <alignment horizontal="right"/>
    </xf>
    <xf numFmtId="0" fontId="81" fillId="0" borderId="0" xfId="20475" applyFont="1" applyAlignment="1">
      <alignment horizontal="left"/>
    </xf>
    <xf numFmtId="0" fontId="81" fillId="0" borderId="0" xfId="20475" applyFont="1" applyFill="1" applyAlignment="1" applyProtection="1">
      <alignment horizontal="left"/>
      <protection locked="0"/>
    </xf>
    <xf numFmtId="0" fontId="81" fillId="0" borderId="0" xfId="20475" applyFont="1" applyAlignment="1" applyProtection="1">
      <alignment horizontal="left"/>
      <protection locked="0"/>
    </xf>
    <xf numFmtId="0" fontId="82" fillId="0" borderId="0" xfId="20475" applyFont="1" applyAlignment="1" applyProtection="1">
      <alignment horizontal="left"/>
      <protection locked="0"/>
    </xf>
    <xf numFmtId="0" fontId="82" fillId="0" borderId="0" xfId="20475" applyFont="1" applyAlignment="1" applyProtection="1">
      <alignment horizontal="left" vertical="center"/>
      <protection locked="0"/>
    </xf>
    <xf numFmtId="49" fontId="83" fillId="2" borderId="96" xfId="20475" applyNumberFormat="1" applyFont="1" applyFill="1" applyBorder="1" applyAlignment="1" applyProtection="1"/>
    <xf numFmtId="0" fontId="64" fillId="2" borderId="0" xfId="20475" applyFont="1" applyFill="1" applyAlignment="1" applyProtection="1">
      <alignment horizontal="center" vertical="center"/>
    </xf>
    <xf numFmtId="0" fontId="31" fillId="2" borderId="0" xfId="20475" applyFont="1" applyFill="1" applyBorder="1" applyAlignment="1" applyProtection="1">
      <alignment vertical="center"/>
    </xf>
    <xf numFmtId="49" fontId="28" fillId="2" borderId="0" xfId="20475" applyNumberFormat="1" applyFont="1" applyFill="1" applyBorder="1" applyAlignment="1" applyProtection="1">
      <alignment horizontal="center"/>
    </xf>
    <xf numFmtId="0" fontId="28" fillId="2" borderId="0" xfId="20475" applyNumberFormat="1" applyFont="1" applyFill="1" applyBorder="1" applyAlignment="1" applyProtection="1">
      <alignment horizontal="center"/>
    </xf>
    <xf numFmtId="0" fontId="28" fillId="0" borderId="0" xfId="20475" applyNumberFormat="1" applyFont="1" applyFill="1" applyBorder="1" applyAlignment="1" applyProtection="1">
      <alignment horizontal="center"/>
      <protection locked="0"/>
    </xf>
    <xf numFmtId="0" fontId="30" fillId="2" borderId="1" xfId="24254" applyFont="1" applyFill="1" applyBorder="1" applyAlignment="1" applyProtection="1">
      <alignment vertical="center"/>
    </xf>
    <xf numFmtId="176" fontId="39" fillId="2" borderId="1" xfId="20475" applyNumberFormat="1" applyFont="1" applyFill="1" applyBorder="1" applyAlignment="1" applyProtection="1">
      <alignment horizontal="right" vertical="center"/>
    </xf>
    <xf numFmtId="49" fontId="31" fillId="2" borderId="0" xfId="20475" applyNumberFormat="1" applyFont="1" applyFill="1" applyBorder="1" applyAlignment="1" applyProtection="1"/>
    <xf numFmtId="49" fontId="30" fillId="2" borderId="0" xfId="20475" applyNumberFormat="1" applyFont="1" applyFill="1" applyBorder="1" applyAlignment="1" applyProtection="1"/>
    <xf numFmtId="49" fontId="30" fillId="0" borderId="0" xfId="20475" applyNumberFormat="1" applyFont="1" applyFill="1" applyBorder="1" applyAlignment="1" applyProtection="1">
      <protection locked="0"/>
    </xf>
    <xf numFmtId="0" fontId="9" fillId="0" borderId="0" xfId="20475" applyFont="1" applyAlignment="1" applyProtection="1">
      <alignment horizontal="left"/>
      <protection locked="0"/>
    </xf>
    <xf numFmtId="0" fontId="30" fillId="2" borderId="15" xfId="24254" applyFont="1" applyFill="1" applyBorder="1" applyAlignment="1" applyProtection="1">
      <alignment vertical="center"/>
    </xf>
    <xf numFmtId="0" fontId="39" fillId="2" borderId="15" xfId="20475" applyFont="1" applyFill="1" applyBorder="1" applyAlignment="1" applyProtection="1">
      <alignment horizontal="right" vertical="center"/>
    </xf>
    <xf numFmtId="0" fontId="9" fillId="2" borderId="1" xfId="20475" applyFont="1" applyFill="1" applyBorder="1" applyAlignment="1" applyProtection="1">
      <alignment vertical="center"/>
    </xf>
    <xf numFmtId="0" fontId="31" fillId="0" borderId="1" xfId="20475" applyFont="1" applyFill="1" applyBorder="1" applyAlignment="1" applyProtection="1">
      <alignment horizontal="left" vertical="center"/>
      <protection locked="0"/>
    </xf>
    <xf numFmtId="0" fontId="13" fillId="2" borderId="0" xfId="24254" applyFont="1" applyFill="1" applyBorder="1" applyAlignment="1" applyProtection="1">
      <alignment vertical="center"/>
    </xf>
    <xf numFmtId="0" fontId="37" fillId="0" borderId="13" xfId="20475" applyFont="1" applyFill="1" applyBorder="1" applyAlignment="1" applyProtection="1">
      <alignment horizontal="left" vertical="center"/>
      <protection locked="0"/>
    </xf>
    <xf numFmtId="0" fontId="9" fillId="2" borderId="50" xfId="20475" applyFont="1" applyFill="1" applyBorder="1" applyAlignment="1" applyProtection="1">
      <alignment vertical="center"/>
    </xf>
    <xf numFmtId="0" fontId="30" fillId="0" borderId="109" xfId="20475" applyFont="1" applyFill="1" applyBorder="1" applyAlignment="1" applyProtection="1">
      <alignment horizontal="left" vertical="center"/>
      <protection locked="0"/>
    </xf>
    <xf numFmtId="0" fontId="30" fillId="2" borderId="25" xfId="20475" applyFont="1" applyFill="1" applyBorder="1" applyAlignment="1">
      <alignment vertical="center"/>
    </xf>
    <xf numFmtId="0" fontId="30" fillId="2" borderId="116" xfId="20475" applyFont="1" applyFill="1" applyBorder="1" applyAlignment="1">
      <alignment vertical="center"/>
    </xf>
    <xf numFmtId="0" fontId="30" fillId="0" borderId="0" xfId="20475" applyFont="1" applyFill="1" applyBorder="1" applyAlignment="1" applyProtection="1">
      <alignment vertical="center"/>
      <protection locked="0"/>
    </xf>
    <xf numFmtId="0" fontId="30" fillId="2" borderId="120" xfId="20475" applyFont="1" applyFill="1" applyBorder="1" applyAlignment="1">
      <alignment horizontal="left" vertical="center"/>
    </xf>
    <xf numFmtId="0" fontId="30" fillId="2" borderId="96" xfId="20475" applyFont="1" applyFill="1" applyBorder="1" applyAlignment="1">
      <alignment horizontal="left" vertical="center"/>
    </xf>
    <xf numFmtId="0" fontId="30" fillId="2" borderId="112" xfId="20475" applyFont="1" applyFill="1" applyBorder="1" applyAlignment="1">
      <alignment horizontal="left" vertical="center"/>
    </xf>
    <xf numFmtId="176" fontId="30" fillId="2" borderId="34" xfId="20475" applyNumberFormat="1" applyFont="1" applyFill="1" applyBorder="1" applyAlignment="1">
      <alignment horizontal="left" vertical="center"/>
    </xf>
    <xf numFmtId="10" fontId="30" fillId="2" borderId="96" xfId="20475" applyNumberFormat="1" applyFont="1" applyFill="1" applyBorder="1" applyAlignment="1">
      <alignment horizontal="left" vertical="center"/>
    </xf>
    <xf numFmtId="176" fontId="30" fillId="2" borderId="117" xfId="20475" applyNumberFormat="1" applyFont="1" applyFill="1" applyBorder="1" applyAlignment="1">
      <alignment horizontal="left" vertical="center"/>
    </xf>
    <xf numFmtId="176" fontId="30" fillId="0" borderId="0" xfId="20475" applyNumberFormat="1" applyFont="1" applyFill="1" applyBorder="1" applyAlignment="1" applyProtection="1">
      <alignment horizontal="left" vertical="center"/>
      <protection locked="0"/>
    </xf>
    <xf numFmtId="0" fontId="30" fillId="2" borderId="10" xfId="20475" applyFont="1" applyFill="1" applyBorder="1" applyAlignment="1">
      <alignment horizontal="left" vertical="center"/>
    </xf>
    <xf numFmtId="0" fontId="30" fillId="2" borderId="2" xfId="20475" applyFont="1" applyFill="1" applyBorder="1" applyAlignment="1">
      <alignment horizontal="left" vertical="center"/>
    </xf>
    <xf numFmtId="0" fontId="30" fillId="2" borderId="4" xfId="20475" applyFont="1" applyFill="1" applyBorder="1" applyAlignment="1">
      <alignment horizontal="left" vertical="center"/>
    </xf>
    <xf numFmtId="176" fontId="30" fillId="2" borderId="1" xfId="20475" applyNumberFormat="1" applyFont="1" applyFill="1" applyBorder="1" applyAlignment="1">
      <alignment horizontal="left" vertical="center"/>
    </xf>
    <xf numFmtId="0" fontId="30" fillId="2" borderId="1" xfId="20475" applyFont="1" applyFill="1" applyBorder="1" applyAlignment="1">
      <alignment horizontal="left" vertical="center"/>
    </xf>
    <xf numFmtId="0" fontId="30" fillId="2" borderId="11" xfId="20475" applyFont="1" applyFill="1" applyBorder="1" applyAlignment="1">
      <alignment horizontal="left" vertical="center"/>
    </xf>
    <xf numFmtId="0" fontId="30" fillId="0" borderId="0" xfId="20475" applyFont="1" applyFill="1" applyBorder="1" applyAlignment="1" applyProtection="1">
      <alignment horizontal="left" vertical="center"/>
      <protection locked="0"/>
    </xf>
    <xf numFmtId="9" fontId="30" fillId="0" borderId="1" xfId="20475" applyNumberFormat="1" applyFont="1" applyFill="1" applyBorder="1" applyAlignment="1" applyProtection="1">
      <alignment horizontal="left" vertical="center"/>
      <protection locked="0"/>
    </xf>
    <xf numFmtId="0" fontId="30" fillId="2" borderId="11" xfId="20475" applyFont="1" applyFill="1" applyBorder="1" applyAlignment="1">
      <alignment vertical="center"/>
    </xf>
    <xf numFmtId="184" fontId="30" fillId="2" borderId="1" xfId="20475" applyNumberFormat="1" applyFont="1" applyFill="1" applyBorder="1" applyAlignment="1">
      <alignment horizontal="left" vertical="center"/>
    </xf>
    <xf numFmtId="49" fontId="31" fillId="2" borderId="10" xfId="20475" applyNumberFormat="1" applyFont="1" applyFill="1" applyBorder="1" applyAlignment="1">
      <alignment horizontal="left" vertical="center"/>
    </xf>
    <xf numFmtId="0" fontId="31" fillId="2" borderId="2" xfId="20475" applyFont="1" applyFill="1" applyBorder="1" applyAlignment="1">
      <alignment horizontal="left" vertical="center"/>
    </xf>
    <xf numFmtId="0" fontId="31" fillId="2" borderId="4" xfId="20475" applyFont="1" applyFill="1" applyBorder="1" applyAlignment="1">
      <alignment horizontal="left" vertical="center"/>
    </xf>
    <xf numFmtId="176" fontId="31" fillId="2" borderId="1" xfId="20475" applyNumberFormat="1" applyFont="1" applyFill="1" applyBorder="1" applyAlignment="1">
      <alignment horizontal="left" vertical="center"/>
    </xf>
    <xf numFmtId="184" fontId="31" fillId="2" borderId="1" xfId="20475" applyNumberFormat="1" applyFont="1" applyFill="1" applyBorder="1" applyAlignment="1">
      <alignment horizontal="left" vertical="center"/>
    </xf>
    <xf numFmtId="0" fontId="9" fillId="2" borderId="4" xfId="20475" applyFont="1" applyFill="1" applyBorder="1" applyAlignment="1">
      <alignment horizontal="right" vertical="center"/>
    </xf>
    <xf numFmtId="191" fontId="31" fillId="0" borderId="1" xfId="20475" applyNumberFormat="1" applyFont="1" applyFill="1" applyBorder="1" applyAlignment="1" applyProtection="1">
      <alignment horizontal="left" vertical="center"/>
      <protection locked="0"/>
    </xf>
    <xf numFmtId="184" fontId="31" fillId="2" borderId="4" xfId="20475" applyNumberFormat="1" applyFont="1" applyFill="1" applyBorder="1" applyAlignment="1">
      <alignment horizontal="right" vertical="center"/>
    </xf>
    <xf numFmtId="180" fontId="31" fillId="0" borderId="1" xfId="20475" applyNumberFormat="1" applyFont="1" applyFill="1" applyBorder="1" applyAlignment="1" applyProtection="1">
      <alignment horizontal="left" vertical="center"/>
      <protection locked="0"/>
    </xf>
    <xf numFmtId="176" fontId="31" fillId="0" borderId="1" xfId="20475" applyNumberFormat="1" applyFont="1" applyFill="1" applyBorder="1" applyAlignment="1" applyProtection="1">
      <alignment horizontal="left" vertical="center"/>
      <protection locked="0"/>
    </xf>
    <xf numFmtId="184" fontId="31" fillId="0" borderId="1" xfId="20475" applyNumberFormat="1" applyFont="1" applyFill="1" applyBorder="1" applyAlignment="1" applyProtection="1">
      <alignment horizontal="left" vertical="center"/>
      <protection locked="0"/>
    </xf>
    <xf numFmtId="0" fontId="30" fillId="2" borderId="12" xfId="20475" applyFont="1" applyFill="1" applyBorder="1" applyAlignment="1">
      <alignment horizontal="left" vertical="center"/>
    </xf>
    <xf numFmtId="176" fontId="30" fillId="2" borderId="13" xfId="20475" applyNumberFormat="1" applyFont="1" applyFill="1" applyBorder="1" applyAlignment="1">
      <alignment horizontal="left" vertical="center"/>
    </xf>
    <xf numFmtId="184" fontId="30" fillId="0" borderId="13" xfId="20475" applyNumberFormat="1" applyFont="1" applyFill="1" applyBorder="1" applyAlignment="1" applyProtection="1">
      <alignment horizontal="left" vertical="center"/>
      <protection locked="0"/>
    </xf>
    <xf numFmtId="0" fontId="30" fillId="2" borderId="14" xfId="20475" applyFont="1" applyFill="1" applyBorder="1" applyAlignment="1">
      <alignment vertical="center"/>
    </xf>
    <xf numFmtId="176" fontId="30" fillId="2" borderId="96" xfId="20475" applyNumberFormat="1" applyFont="1" applyFill="1" applyBorder="1" applyAlignment="1">
      <alignment horizontal="left" vertical="center"/>
    </xf>
    <xf numFmtId="184" fontId="30" fillId="0" borderId="96" xfId="20475" applyNumberFormat="1" applyFont="1" applyFill="1" applyBorder="1" applyAlignment="1" applyProtection="1">
      <alignment horizontal="left" vertical="center"/>
      <protection locked="0"/>
    </xf>
    <xf numFmtId="0" fontId="30" fillId="2" borderId="23" xfId="20475" applyFont="1" applyFill="1" applyBorder="1" applyAlignment="1">
      <alignment vertical="center"/>
    </xf>
    <xf numFmtId="0" fontId="30" fillId="2" borderId="118" xfId="20475" applyFont="1" applyFill="1" applyBorder="1" applyAlignment="1">
      <alignment vertical="center"/>
    </xf>
    <xf numFmtId="0" fontId="30" fillId="2" borderId="117" xfId="20475" applyFont="1" applyFill="1" applyBorder="1" applyAlignment="1">
      <alignment horizontal="left" vertical="center"/>
    </xf>
    <xf numFmtId="0" fontId="30" fillId="2" borderId="142" xfId="20475" applyFont="1" applyFill="1" applyBorder="1" applyAlignment="1">
      <alignment horizontal="left" vertical="center"/>
    </xf>
    <xf numFmtId="0" fontId="84" fillId="0" borderId="2" xfId="20475" applyFont="1" applyFill="1" applyBorder="1" applyAlignment="1" applyProtection="1">
      <alignment horizontal="left" vertical="center"/>
      <protection locked="0"/>
    </xf>
    <xf numFmtId="0" fontId="84" fillId="0" borderId="142" xfId="20475" applyFont="1" applyFill="1" applyBorder="1" applyAlignment="1" applyProtection="1">
      <alignment horizontal="left" vertical="center"/>
      <protection locked="0"/>
    </xf>
    <xf numFmtId="0" fontId="84" fillId="0" borderId="4" xfId="20475" applyFont="1" applyFill="1" applyBorder="1" applyAlignment="1" applyProtection="1">
      <alignment horizontal="left" vertical="center"/>
      <protection locked="0"/>
    </xf>
    <xf numFmtId="0" fontId="31" fillId="0" borderId="0" xfId="20475" applyFont="1" applyFill="1" applyBorder="1" applyAlignment="1" applyProtection="1">
      <alignment horizontal="left" vertical="center"/>
      <protection locked="0"/>
    </xf>
    <xf numFmtId="0" fontId="31" fillId="2" borderId="41" xfId="20475" applyFont="1" applyFill="1" applyBorder="1" applyAlignment="1">
      <alignment horizontal="left" vertical="center"/>
    </xf>
    <xf numFmtId="0" fontId="31" fillId="2" borderId="1" xfId="20475" applyFont="1" applyFill="1" applyBorder="1" applyAlignment="1">
      <alignment horizontal="left" vertical="center"/>
    </xf>
    <xf numFmtId="176" fontId="31" fillId="2" borderId="2" xfId="20475" applyNumberFormat="1" applyFont="1" applyFill="1" applyBorder="1" applyAlignment="1">
      <alignment horizontal="left" vertical="center"/>
    </xf>
    <xf numFmtId="176" fontId="31" fillId="2" borderId="142" xfId="20475" applyNumberFormat="1" applyFont="1" applyFill="1" applyBorder="1" applyAlignment="1">
      <alignment horizontal="left" vertical="center"/>
    </xf>
    <xf numFmtId="176" fontId="31" fillId="2" borderId="4" xfId="20475" applyNumberFormat="1" applyFont="1" applyFill="1" applyBorder="1" applyAlignment="1">
      <alignment horizontal="left" vertical="center"/>
    </xf>
    <xf numFmtId="0" fontId="31" fillId="2" borderId="11" xfId="20475" applyFont="1" applyFill="1" applyBorder="1" applyAlignment="1">
      <alignment horizontal="left" vertical="center"/>
    </xf>
    <xf numFmtId="0" fontId="31" fillId="0" borderId="0" xfId="20475" applyFont="1" applyFill="1" applyBorder="1" applyAlignment="1" applyProtection="1">
      <alignment horizontal="right" vertical="center"/>
      <protection locked="0"/>
    </xf>
    <xf numFmtId="0" fontId="31" fillId="2" borderId="41" xfId="20475" applyFont="1" applyFill="1" applyBorder="1" applyAlignment="1">
      <alignment horizontal="right" vertical="center"/>
    </xf>
    <xf numFmtId="0" fontId="31" fillId="2" borderId="1" xfId="20475" applyFont="1" applyFill="1" applyBorder="1" applyAlignment="1">
      <alignment horizontal="right" vertical="center"/>
    </xf>
    <xf numFmtId="176" fontId="31" fillId="2" borderId="2" xfId="20475" applyNumberFormat="1" applyFont="1" applyFill="1" applyBorder="1" applyAlignment="1">
      <alignment horizontal="right" vertical="center"/>
    </xf>
    <xf numFmtId="184" fontId="31" fillId="0" borderId="142" xfId="20475" applyNumberFormat="1" applyFont="1" applyFill="1" applyBorder="1" applyAlignment="1" applyProtection="1">
      <alignment horizontal="right" vertical="center"/>
      <protection locked="0"/>
    </xf>
    <xf numFmtId="184" fontId="31" fillId="0" borderId="4" xfId="20475" applyNumberFormat="1" applyFont="1" applyFill="1" applyBorder="1" applyAlignment="1" applyProtection="1">
      <alignment horizontal="right" vertical="center"/>
      <protection locked="0"/>
    </xf>
    <xf numFmtId="0" fontId="31" fillId="2" borderId="11" xfId="20475" applyFont="1" applyFill="1" applyBorder="1" applyAlignment="1">
      <alignment horizontal="right" vertical="center"/>
    </xf>
    <xf numFmtId="184" fontId="31" fillId="2" borderId="2" xfId="20475" applyNumberFormat="1" applyFont="1" applyFill="1" applyBorder="1" applyAlignment="1">
      <alignment horizontal="right" vertical="center"/>
    </xf>
    <xf numFmtId="0" fontId="9" fillId="0" borderId="0" xfId="20475" applyFont="1" applyAlignment="1" applyProtection="1">
      <alignment horizontal="right"/>
      <protection locked="0"/>
    </xf>
    <xf numFmtId="184" fontId="31" fillId="2" borderId="142" xfId="20475" applyNumberFormat="1" applyFont="1" applyFill="1" applyBorder="1" applyAlignment="1">
      <alignment horizontal="right" vertical="center"/>
    </xf>
    <xf numFmtId="184" fontId="31" fillId="0" borderId="2" xfId="20475" applyNumberFormat="1" applyFont="1" applyFill="1" applyBorder="1" applyAlignment="1" applyProtection="1">
      <alignment horizontal="right" vertical="center"/>
      <protection locked="0"/>
    </xf>
    <xf numFmtId="0" fontId="31" fillId="2" borderId="142" xfId="20475" applyFont="1" applyFill="1" applyBorder="1" applyAlignment="1">
      <alignment horizontal="left" vertical="center"/>
    </xf>
    <xf numFmtId="10" fontId="31" fillId="0" borderId="2" xfId="20475" applyNumberFormat="1" applyFont="1" applyFill="1" applyBorder="1" applyAlignment="1" applyProtection="1">
      <alignment horizontal="left" vertical="center"/>
      <protection locked="0"/>
    </xf>
    <xf numFmtId="10" fontId="31" fillId="0" borderId="142" xfId="20475" applyNumberFormat="1" applyFont="1" applyFill="1" applyBorder="1" applyAlignment="1" applyProtection="1">
      <alignment horizontal="left" vertical="center"/>
      <protection locked="0"/>
    </xf>
    <xf numFmtId="10" fontId="31" fillId="0" borderId="4" xfId="20475" applyNumberFormat="1" applyFont="1" applyFill="1" applyBorder="1" applyAlignment="1" applyProtection="1">
      <alignment horizontal="left" vertical="center"/>
      <protection locked="0"/>
    </xf>
    <xf numFmtId="184" fontId="31" fillId="0" borderId="2" xfId="20475" applyNumberFormat="1" applyFont="1" applyFill="1" applyBorder="1" applyAlignment="1" applyProtection="1">
      <alignment horizontal="left" vertical="center"/>
      <protection locked="0"/>
    </xf>
    <xf numFmtId="184" fontId="31" fillId="0" borderId="142" xfId="20475" applyNumberFormat="1" applyFont="1" applyFill="1" applyBorder="1" applyAlignment="1" applyProtection="1">
      <alignment horizontal="left" vertical="center"/>
      <protection locked="0"/>
    </xf>
    <xf numFmtId="184" fontId="31" fillId="0" borderId="4" xfId="20475" applyNumberFormat="1" applyFont="1" applyFill="1" applyBorder="1" applyAlignment="1" applyProtection="1">
      <alignment horizontal="left" vertical="center"/>
      <protection locked="0"/>
    </xf>
    <xf numFmtId="191" fontId="31" fillId="0" borderId="0" xfId="20475" applyNumberFormat="1" applyFont="1" applyFill="1" applyBorder="1" applyAlignment="1" applyProtection="1">
      <alignment horizontal="left" vertical="center"/>
      <protection locked="0"/>
    </xf>
    <xf numFmtId="0" fontId="31" fillId="2" borderId="13" xfId="20475" applyFont="1" applyFill="1" applyBorder="1" applyAlignment="1">
      <alignment horizontal="left" vertical="center"/>
    </xf>
    <xf numFmtId="191" fontId="31" fillId="0" borderId="33" xfId="20475" applyNumberFormat="1" applyFont="1" applyFill="1" applyBorder="1" applyAlignment="1" applyProtection="1">
      <alignment horizontal="left" vertical="center"/>
      <protection locked="0"/>
    </xf>
    <xf numFmtId="191" fontId="31" fillId="0" borderId="143" xfId="20475" applyNumberFormat="1" applyFont="1" applyFill="1" applyBorder="1" applyAlignment="1" applyProtection="1">
      <alignment horizontal="left" vertical="center"/>
      <protection locked="0"/>
    </xf>
    <xf numFmtId="191" fontId="31" fillId="0" borderId="62" xfId="20475" applyNumberFormat="1" applyFont="1" applyFill="1" applyBorder="1" applyAlignment="1" applyProtection="1">
      <alignment horizontal="left" vertical="center"/>
      <protection locked="0"/>
    </xf>
    <xf numFmtId="191" fontId="31" fillId="2" borderId="11" xfId="20475" applyNumberFormat="1" applyFont="1" applyFill="1" applyBorder="1" applyAlignment="1">
      <alignment horizontal="left" vertical="center"/>
    </xf>
    <xf numFmtId="0" fontId="31" fillId="0" borderId="0" xfId="20475" applyFont="1" applyFill="1" applyBorder="1" applyAlignment="1" applyProtection="1">
      <alignment horizontal="left"/>
      <protection locked="0"/>
    </xf>
    <xf numFmtId="0" fontId="31" fillId="2" borderId="10" xfId="20475" applyFont="1" applyFill="1" applyBorder="1" applyAlignment="1">
      <alignment horizontal="left" vertical="center"/>
    </xf>
    <xf numFmtId="176" fontId="31" fillId="2" borderId="1" xfId="20475" applyNumberFormat="1" applyFont="1" applyFill="1" applyBorder="1" applyAlignment="1">
      <alignment horizontal="left"/>
    </xf>
    <xf numFmtId="0" fontId="31" fillId="2" borderId="1" xfId="20475" applyFont="1" applyFill="1" applyBorder="1" applyAlignment="1">
      <alignment horizontal="left"/>
    </xf>
    <xf numFmtId="0" fontId="31" fillId="2" borderId="11" xfId="20475" applyFont="1" applyFill="1" applyBorder="1" applyAlignment="1">
      <alignment horizontal="left"/>
    </xf>
    <xf numFmtId="0" fontId="31" fillId="2" borderId="12" xfId="20475" applyFont="1" applyFill="1" applyBorder="1" applyAlignment="1">
      <alignment horizontal="left" vertical="center"/>
    </xf>
    <xf numFmtId="176" fontId="31" fillId="2" borderId="13" xfId="20475" applyNumberFormat="1" applyFont="1" applyFill="1" applyBorder="1" applyAlignment="1">
      <alignment horizontal="left" vertical="center"/>
    </xf>
    <xf numFmtId="0" fontId="31" fillId="2" borderId="13" xfId="20475" applyFont="1" applyFill="1" applyBorder="1" applyAlignment="1">
      <alignment horizontal="left"/>
    </xf>
    <xf numFmtId="0" fontId="31" fillId="2" borderId="14" xfId="20475" applyFont="1" applyFill="1" applyBorder="1" applyAlignment="1">
      <alignment horizontal="left" vertical="center"/>
    </xf>
    <xf numFmtId="0" fontId="9" fillId="0" borderId="0" xfId="20475" applyFont="1" applyFill="1" applyAlignment="1" applyProtection="1">
      <alignment horizontal="left"/>
      <protection locked="0"/>
    </xf>
    <xf numFmtId="0" fontId="30" fillId="3" borderId="49" xfId="20475" applyFont="1" applyFill="1" applyBorder="1" applyAlignment="1" applyProtection="1">
      <alignment vertical="center"/>
      <protection locked="0"/>
    </xf>
    <xf numFmtId="0" fontId="30" fillId="3" borderId="31" xfId="20475" applyFont="1" applyFill="1" applyBorder="1" applyAlignment="1" applyProtection="1">
      <alignment vertical="center"/>
      <protection locked="0"/>
    </xf>
    <xf numFmtId="0" fontId="31" fillId="0" borderId="0" xfId="20475" applyFont="1" applyAlignment="1" applyProtection="1">
      <alignment horizontal="left"/>
      <protection locked="0"/>
    </xf>
    <xf numFmtId="0" fontId="30" fillId="0" borderId="1" xfId="20475" applyFont="1" applyFill="1" applyBorder="1" applyAlignment="1" applyProtection="1">
      <alignment horizontal="left" vertical="center"/>
      <protection locked="0"/>
    </xf>
    <xf numFmtId="180" fontId="6" fillId="0" borderId="1" xfId="24254" applyNumberFormat="1" applyFont="1" applyBorder="1" applyAlignment="1" applyProtection="1">
      <alignment horizontal="left" vertical="center"/>
      <protection locked="0" hidden="1"/>
    </xf>
    <xf numFmtId="0" fontId="31" fillId="0" borderId="15" xfId="20475" applyFont="1" applyFill="1" applyBorder="1" applyAlignment="1" applyProtection="1">
      <alignment horizontal="left" vertical="center"/>
      <protection locked="0"/>
    </xf>
    <xf numFmtId="0" fontId="42" fillId="2" borderId="41" xfId="20475" applyFont="1" applyFill="1" applyBorder="1" applyAlignment="1" applyProtection="1">
      <alignment vertical="center"/>
      <protection locked="0"/>
    </xf>
    <xf numFmtId="0" fontId="42" fillId="2" borderId="3" xfId="20475" applyFont="1" applyFill="1" applyBorder="1" applyAlignment="1" applyProtection="1">
      <alignment vertical="center"/>
      <protection locked="0"/>
    </xf>
    <xf numFmtId="0" fontId="30" fillId="2" borderId="3" xfId="20475" applyFont="1" applyFill="1" applyBorder="1" applyAlignment="1" applyProtection="1">
      <alignment vertical="center"/>
      <protection locked="0"/>
    </xf>
    <xf numFmtId="0" fontId="30" fillId="2" borderId="10" xfId="20475" applyFont="1" applyFill="1" applyBorder="1" applyAlignment="1" applyProtection="1">
      <alignment horizontal="left" vertical="center" wrapText="1"/>
      <protection locked="0"/>
    </xf>
    <xf numFmtId="0" fontId="31" fillId="2" borderId="2" xfId="20475" applyFont="1" applyFill="1" applyBorder="1" applyAlignment="1" applyProtection="1">
      <alignment vertical="center"/>
      <protection locked="0"/>
    </xf>
    <xf numFmtId="0" fontId="31" fillId="2" borderId="1" xfId="20475" applyFont="1" applyFill="1" applyBorder="1" applyAlignment="1" applyProtection="1">
      <alignment horizontal="left" vertical="center"/>
      <protection locked="0"/>
    </xf>
    <xf numFmtId="0" fontId="31" fillId="0" borderId="2" xfId="20475" applyFont="1" applyFill="1" applyBorder="1" applyAlignment="1" applyProtection="1">
      <alignment vertical="center"/>
      <protection locked="0"/>
    </xf>
    <xf numFmtId="0" fontId="6" fillId="0" borderId="1" xfId="20475" applyFont="1" applyFill="1" applyBorder="1" applyAlignment="1" applyProtection="1">
      <alignment horizontal="left" vertical="center"/>
      <protection locked="0"/>
    </xf>
    <xf numFmtId="9" fontId="31" fillId="0" borderId="1" xfId="20475" applyNumberFormat="1" applyFont="1" applyFill="1" applyBorder="1" applyAlignment="1" applyProtection="1">
      <alignment horizontal="left" vertical="center"/>
      <protection locked="0"/>
    </xf>
    <xf numFmtId="0" fontId="30" fillId="2" borderId="2" xfId="20475" applyFont="1" applyFill="1" applyBorder="1" applyAlignment="1" applyProtection="1">
      <alignment vertical="center"/>
      <protection locked="0"/>
    </xf>
    <xf numFmtId="0" fontId="42" fillId="2" borderId="1" xfId="20475" applyFont="1" applyFill="1" applyBorder="1" applyAlignment="1" applyProtection="1">
      <alignment horizontal="left" vertical="center"/>
      <protection locked="0"/>
    </xf>
    <xf numFmtId="9" fontId="30" fillId="2" borderId="1" xfId="20475" applyNumberFormat="1" applyFont="1" applyFill="1" applyBorder="1" applyAlignment="1" applyProtection="1">
      <alignment horizontal="left" vertical="center"/>
      <protection locked="0"/>
    </xf>
    <xf numFmtId="180" fontId="31" fillId="3" borderId="1" xfId="20475" applyNumberFormat="1" applyFont="1" applyFill="1" applyBorder="1" applyAlignment="1" applyProtection="1">
      <alignment horizontal="left" vertical="center"/>
      <protection locked="0"/>
    </xf>
    <xf numFmtId="0" fontId="6" fillId="0" borderId="1" xfId="20475" applyFont="1" applyFill="1" applyBorder="1" applyAlignment="1" applyProtection="1">
      <alignment horizontal="left" vertical="center" wrapText="1"/>
      <protection locked="0"/>
    </xf>
    <xf numFmtId="0" fontId="30" fillId="2" borderId="2" xfId="20475" applyFont="1" applyFill="1" applyBorder="1" applyAlignment="1" applyProtection="1">
      <alignment vertical="center" wrapText="1"/>
      <protection locked="0"/>
    </xf>
    <xf numFmtId="0" fontId="30" fillId="2" borderId="3" xfId="20475" applyFont="1" applyFill="1" applyBorder="1" applyAlignment="1" applyProtection="1">
      <alignment vertical="center" wrapText="1"/>
      <protection locked="0"/>
    </xf>
    <xf numFmtId="0" fontId="30" fillId="2" borderId="4" xfId="20475" applyFont="1" applyFill="1" applyBorder="1" applyAlignment="1" applyProtection="1">
      <alignment vertical="center" wrapText="1"/>
      <protection locked="0"/>
    </xf>
    <xf numFmtId="0" fontId="42" fillId="2" borderId="48" xfId="20475" applyFont="1" applyFill="1" applyBorder="1" applyAlignment="1" applyProtection="1">
      <alignment vertical="center"/>
      <protection locked="0"/>
    </xf>
    <xf numFmtId="0" fontId="42" fillId="2" borderId="95" xfId="20475" applyFont="1" applyFill="1" applyBorder="1" applyAlignment="1" applyProtection="1">
      <alignment vertical="center"/>
      <protection locked="0"/>
    </xf>
    <xf numFmtId="0" fontId="42" fillId="2" borderId="114" xfId="20475" applyFont="1" applyFill="1" applyBorder="1" applyAlignment="1" applyProtection="1">
      <alignment vertical="center"/>
      <protection locked="0"/>
    </xf>
    <xf numFmtId="0" fontId="6" fillId="2" borderId="1" xfId="20475" applyFont="1" applyFill="1" applyBorder="1" applyAlignment="1" applyProtection="1">
      <alignment horizontal="left" vertical="center"/>
      <protection locked="0"/>
    </xf>
    <xf numFmtId="9" fontId="6" fillId="2" borderId="1" xfId="20475" applyNumberFormat="1" applyFont="1" applyFill="1" applyBorder="1" applyAlignment="1" applyProtection="1">
      <alignment horizontal="left" vertical="center"/>
      <protection locked="0"/>
    </xf>
    <xf numFmtId="0" fontId="31" fillId="0" borderId="0" xfId="20475" applyFont="1" applyAlignment="1" applyProtection="1">
      <alignment horizontal="right"/>
      <protection locked="0"/>
    </xf>
    <xf numFmtId="0" fontId="42" fillId="2" borderId="34" xfId="20475" applyFont="1" applyFill="1" applyBorder="1" applyAlignment="1" applyProtection="1">
      <alignment vertical="center"/>
      <protection locked="0"/>
    </xf>
    <xf numFmtId="0" fontId="42" fillId="2" borderId="96" xfId="20475" applyFont="1" applyFill="1" applyBorder="1" applyAlignment="1" applyProtection="1">
      <alignment vertical="center"/>
      <protection locked="0"/>
    </xf>
    <xf numFmtId="0" fontId="42" fillId="2" borderId="112" xfId="20475" applyFont="1" applyFill="1" applyBorder="1" applyAlignment="1" applyProtection="1">
      <alignment vertical="center"/>
      <protection locked="0"/>
    </xf>
    <xf numFmtId="0" fontId="42" fillId="0" borderId="1" xfId="20475" applyFont="1" applyFill="1" applyBorder="1" applyAlignment="1" applyProtection="1">
      <alignment horizontal="left" vertical="center"/>
      <protection locked="0"/>
    </xf>
    <xf numFmtId="0" fontId="13" fillId="2" borderId="111" xfId="20475" applyFont="1" applyFill="1" applyBorder="1" applyAlignment="1" applyProtection="1">
      <alignment horizontal="left" vertical="center" wrapText="1"/>
      <protection locked="0"/>
    </xf>
    <xf numFmtId="0" fontId="11" fillId="2" borderId="20" xfId="20475" applyFont="1" applyFill="1" applyBorder="1" applyAlignment="1" applyProtection="1">
      <alignment vertical="center"/>
      <protection locked="0"/>
    </xf>
    <xf numFmtId="0" fontId="9" fillId="2" borderId="20" xfId="20475" applyFont="1" applyFill="1" applyBorder="1" applyAlignment="1" applyProtection="1">
      <alignment vertical="center"/>
      <protection locked="0"/>
    </xf>
    <xf numFmtId="0" fontId="85" fillId="0" borderId="20" xfId="20475" applyFill="1" applyBorder="1" applyAlignment="1" applyProtection="1">
      <alignment horizontal="left" vertical="center"/>
      <protection locked="0"/>
    </xf>
    <xf numFmtId="9" fontId="31" fillId="0" borderId="13" xfId="20475" applyNumberFormat="1" applyFont="1" applyFill="1" applyBorder="1" applyAlignment="1" applyProtection="1">
      <alignment horizontal="left" vertical="center"/>
      <protection locked="0"/>
    </xf>
    <xf numFmtId="0" fontId="31" fillId="0" borderId="0" xfId="20475" applyFont="1" applyFill="1" applyAlignment="1" applyProtection="1">
      <alignment horizontal="left" vertical="center"/>
      <protection locked="0"/>
    </xf>
    <xf numFmtId="0" fontId="13" fillId="2" borderId="20" xfId="20475" applyFont="1" applyFill="1" applyBorder="1" applyAlignment="1" applyProtection="1">
      <alignment vertical="center"/>
      <protection locked="0"/>
    </xf>
    <xf numFmtId="0" fontId="30" fillId="3" borderId="29" xfId="20475" applyFont="1" applyFill="1" applyBorder="1" applyAlignment="1" applyProtection="1">
      <alignment vertical="center"/>
      <protection locked="0"/>
    </xf>
    <xf numFmtId="0" fontId="31" fillId="0" borderId="0" xfId="20475" applyFont="1" applyAlignment="1" applyProtection="1">
      <alignment horizontal="left" vertical="center"/>
      <protection locked="0"/>
    </xf>
    <xf numFmtId="0" fontId="30" fillId="0" borderId="11" xfId="20475" applyFont="1" applyFill="1" applyBorder="1" applyAlignment="1" applyProtection="1">
      <alignment horizontal="left" vertical="center"/>
      <protection locked="0"/>
    </xf>
    <xf numFmtId="0" fontId="30" fillId="2" borderId="11" xfId="20475" applyFont="1" applyFill="1" applyBorder="1" applyAlignment="1" applyProtection="1">
      <alignment horizontal="left" vertical="center"/>
      <protection locked="0"/>
    </xf>
    <xf numFmtId="180" fontId="6" fillId="0" borderId="11" xfId="24254" applyNumberFormat="1" applyFont="1" applyBorder="1" applyAlignment="1" applyProtection="1">
      <alignment horizontal="left" vertical="center"/>
      <protection locked="0" hidden="1"/>
    </xf>
    <xf numFmtId="180" fontId="31" fillId="2" borderId="11" xfId="20475" applyNumberFormat="1" applyFont="1" applyFill="1" applyBorder="1" applyAlignment="1" applyProtection="1">
      <alignment horizontal="left" vertical="center"/>
      <protection locked="0"/>
    </xf>
    <xf numFmtId="0" fontId="31" fillId="0" borderId="40" xfId="20475" applyFont="1" applyFill="1" applyBorder="1" applyAlignment="1" applyProtection="1">
      <alignment horizontal="left" vertical="center"/>
      <protection locked="0"/>
    </xf>
    <xf numFmtId="0" fontId="31" fillId="2" borderId="40" xfId="20475" applyFont="1" applyFill="1" applyBorder="1" applyAlignment="1" applyProtection="1">
      <alignment horizontal="left" vertical="center"/>
      <protection locked="0"/>
    </xf>
    <xf numFmtId="0" fontId="31" fillId="0" borderId="11" xfId="20475" applyFont="1" applyFill="1" applyBorder="1" applyAlignment="1" applyProtection="1">
      <alignment horizontal="left" vertical="center"/>
      <protection locked="0"/>
    </xf>
    <xf numFmtId="180" fontId="30" fillId="2" borderId="1" xfId="20475" applyNumberFormat="1" applyFont="1" applyFill="1" applyBorder="1" applyAlignment="1" applyProtection="1">
      <alignment horizontal="left" vertical="center"/>
      <protection locked="0"/>
    </xf>
    <xf numFmtId="180" fontId="31" fillId="0" borderId="11" xfId="20475" applyNumberFormat="1" applyFont="1" applyFill="1" applyBorder="1" applyAlignment="1" applyProtection="1">
      <alignment horizontal="left" vertical="center"/>
      <protection locked="0"/>
    </xf>
    <xf numFmtId="0" fontId="42" fillId="2" borderId="11" xfId="20475" applyFont="1" applyFill="1" applyBorder="1" applyAlignment="1" applyProtection="1">
      <alignment horizontal="left" vertical="center"/>
      <protection locked="0"/>
    </xf>
    <xf numFmtId="0" fontId="6" fillId="0" borderId="11" xfId="20475" applyFont="1" applyFill="1" applyBorder="1" applyAlignment="1" applyProtection="1">
      <alignment horizontal="left" vertical="center"/>
      <protection locked="0"/>
    </xf>
    <xf numFmtId="9" fontId="6" fillId="0" borderId="1" xfId="20475" applyNumberFormat="1" applyFont="1" applyFill="1" applyBorder="1" applyAlignment="1" applyProtection="1">
      <alignment horizontal="left" vertical="center"/>
      <protection locked="0"/>
    </xf>
    <xf numFmtId="0" fontId="30" fillId="0" borderId="0" xfId="20475" applyFont="1" applyFill="1" applyAlignment="1" applyProtection="1">
      <alignment horizontal="left" vertical="center"/>
      <protection locked="0"/>
    </xf>
    <xf numFmtId="9" fontId="42" fillId="0" borderId="1" xfId="20475" applyNumberFormat="1" applyFont="1" applyFill="1" applyBorder="1" applyAlignment="1" applyProtection="1">
      <alignment horizontal="left" vertical="center"/>
      <protection locked="0"/>
    </xf>
    <xf numFmtId="184" fontId="6" fillId="0" borderId="13" xfId="20475" applyNumberFormat="1" applyFont="1" applyFill="1" applyBorder="1" applyAlignment="1" applyProtection="1">
      <alignment horizontal="left" vertical="center"/>
      <protection locked="0"/>
    </xf>
    <xf numFmtId="0" fontId="86" fillId="0" borderId="115" xfId="20475" applyFont="1" applyFill="1" applyBorder="1" applyAlignment="1" applyProtection="1">
      <alignment horizontal="left" vertical="center"/>
      <protection locked="0"/>
    </xf>
    <xf numFmtId="0" fontId="30" fillId="2" borderId="1" xfId="20475" applyFont="1" applyFill="1" applyBorder="1" applyAlignment="1" applyProtection="1">
      <alignment horizontal="left" vertical="center"/>
      <protection locked="0"/>
    </xf>
    <xf numFmtId="180" fontId="31" fillId="2" borderId="1" xfId="20475" applyNumberFormat="1" applyFont="1" applyFill="1" applyBorder="1" applyAlignment="1" applyProtection="1">
      <alignment horizontal="left" vertical="center"/>
      <protection locked="0"/>
    </xf>
    <xf numFmtId="0" fontId="31" fillId="2" borderId="15" xfId="20475" applyFont="1" applyFill="1" applyBorder="1" applyAlignment="1" applyProtection="1">
      <alignment horizontal="left" vertical="center"/>
      <protection locked="0"/>
    </xf>
    <xf numFmtId="0" fontId="30" fillId="2" borderId="2" xfId="20475" applyFont="1" applyFill="1" applyBorder="1" applyAlignment="1" applyProtection="1">
      <alignment horizontal="left" vertical="center"/>
      <protection locked="0"/>
    </xf>
    <xf numFmtId="0" fontId="82" fillId="0" borderId="0" xfId="20475"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0" fontId="29"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39"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0"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24254" applyFont="1" applyFill="1" applyBorder="1" applyAlignment="1" applyProtection="1">
      <alignment vertical="center"/>
    </xf>
    <xf numFmtId="0" fontId="39"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39" fillId="2" borderId="51"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7"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39" fillId="2" borderId="114"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7"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84" fontId="39" fillId="2" borderId="11" xfId="0" applyNumberFormat="1" applyFont="1" applyFill="1" applyBorder="1" applyAlignment="1" applyProtection="1">
      <alignment horizontal="center" vertical="center"/>
    </xf>
    <xf numFmtId="0" fontId="37" fillId="2" borderId="114" xfId="0" applyFont="1" applyFill="1" applyBorder="1" applyAlignment="1" applyProtection="1">
      <alignment vertical="center" wrapText="1"/>
    </xf>
    <xf numFmtId="0" fontId="37" fillId="2" borderId="114" xfId="0" applyFont="1" applyFill="1" applyBorder="1" applyAlignment="1" applyProtection="1">
      <alignment vertical="center"/>
    </xf>
    <xf numFmtId="0" fontId="37" fillId="2" borderId="15" xfId="0" applyFont="1" applyFill="1" applyBorder="1" applyAlignment="1" applyProtection="1">
      <alignment horizontal="left" vertical="center"/>
    </xf>
    <xf numFmtId="184"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4"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7" fillId="2" borderId="144" xfId="0" applyNumberFormat="1" applyFont="1" applyFill="1" applyBorder="1" applyAlignment="1" applyProtection="1">
      <alignment vertical="center"/>
    </xf>
    <xf numFmtId="0" fontId="37"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4"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4"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77" fontId="39"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4" fontId="37"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2" borderId="144" xfId="0" applyNumberFormat="1" applyFont="1" applyFill="1" applyBorder="1" applyAlignment="1" applyProtection="1">
      <alignment horizontal="left" vertical="center"/>
    </xf>
    <xf numFmtId="184"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4" fontId="37"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4" fontId="37" fillId="13" borderId="42"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112" xfId="0" applyNumberFormat="1" applyFont="1" applyFill="1" applyBorder="1" applyAlignment="1" applyProtection="1">
      <alignment vertical="center"/>
    </xf>
    <xf numFmtId="0" fontId="37" fillId="2" borderId="112"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90"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7"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77" fontId="39"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77" fontId="39"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7"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4"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7"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114" xfId="0" applyFont="1" applyFill="1" applyBorder="1" applyAlignment="1" applyProtection="1">
      <alignment vertical="center"/>
    </xf>
    <xf numFmtId="0" fontId="37" fillId="2" borderId="0" xfId="0" applyFont="1" applyFill="1" applyBorder="1" applyAlignment="1" applyProtection="1">
      <alignment vertical="center"/>
    </xf>
    <xf numFmtId="184" fontId="39" fillId="2" borderId="69" xfId="0" applyNumberFormat="1" applyFont="1" applyFill="1" applyBorder="1" applyAlignment="1" applyProtection="1">
      <alignment horizontal="center" vertical="center"/>
    </xf>
    <xf numFmtId="0" fontId="37" fillId="2" borderId="127" xfId="0" applyFont="1" applyFill="1" applyBorder="1" applyAlignment="1" applyProtection="1">
      <alignment vertical="center"/>
    </xf>
    <xf numFmtId="184"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7" xfId="0" applyFont="1" applyFill="1" applyBorder="1" applyAlignment="1" applyProtection="1">
      <alignment horizontal="left" vertical="center"/>
    </xf>
    <xf numFmtId="0" fontId="37" fillId="2" borderId="128" xfId="0" applyFont="1" applyFill="1" applyBorder="1" applyAlignment="1" applyProtection="1">
      <alignment vertical="center"/>
    </xf>
    <xf numFmtId="0" fontId="37" fillId="2" borderId="145"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77"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81" fontId="31" fillId="2" borderId="11" xfId="0" applyNumberFormat="1" applyFont="1" applyFill="1" applyBorder="1" applyAlignment="1" applyProtection="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4" fontId="31" fillId="2" borderId="8"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4"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76" fontId="31" fillId="2" borderId="1" xfId="0" applyNumberFormat="1" applyFont="1" applyFill="1" applyBorder="1" applyAlignment="1" applyProtection="1">
      <alignment horizontal="center"/>
    </xf>
    <xf numFmtId="184"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81" fontId="6" fillId="2" borderId="22" xfId="0" applyNumberFormat="1" applyFont="1" applyFill="1" applyBorder="1" applyAlignment="1" applyProtection="1">
      <alignment vertical="center" wrapText="1"/>
    </xf>
    <xf numFmtId="0" fontId="12" fillId="5" borderId="0" xfId="8209" applyFont="1" applyFill="1" applyBorder="1" applyAlignment="1">
      <alignment horizontal="center" vertical="center"/>
    </xf>
    <xf numFmtId="0" fontId="8" fillId="5" borderId="0" xfId="8209" applyFont="1" applyFill="1" applyBorder="1">
      <alignment vertical="center"/>
    </xf>
    <xf numFmtId="0" fontId="89" fillId="5" borderId="0" xfId="8209" applyFont="1" applyFill="1" applyBorder="1" applyAlignment="1">
      <alignment horizontal="center" vertical="center"/>
    </xf>
    <xf numFmtId="0" fontId="8" fillId="5" borderId="0" xfId="8209" applyFill="1" applyBorder="1">
      <alignment vertical="center"/>
    </xf>
    <xf numFmtId="49" fontId="8" fillId="5" borderId="0" xfId="8209" applyNumberFormat="1" applyFill="1" applyBorder="1">
      <alignment vertical="center"/>
    </xf>
    <xf numFmtId="0" fontId="90" fillId="5" borderId="1" xfId="8209" applyFont="1" applyFill="1" applyBorder="1" applyAlignment="1">
      <alignment horizontal="center"/>
    </xf>
    <xf numFmtId="49" fontId="90" fillId="5" borderId="1" xfId="8209" applyNumberFormat="1" applyFont="1" applyFill="1" applyBorder="1" applyAlignment="1">
      <alignment horizontal="center" wrapText="1"/>
    </xf>
    <xf numFmtId="49" fontId="90" fillId="5" borderId="1" xfId="8209" applyNumberFormat="1" applyFont="1" applyFill="1" applyBorder="1" applyAlignment="1">
      <alignment horizontal="center"/>
    </xf>
    <xf numFmtId="0" fontId="12" fillId="5" borderId="1" xfId="8209" applyFont="1" applyFill="1" applyBorder="1" applyAlignment="1">
      <alignment horizontal="center"/>
    </xf>
    <xf numFmtId="194" fontId="12" fillId="5" borderId="1" xfId="8209" applyNumberFormat="1" applyFont="1" applyFill="1" applyBorder="1" applyAlignment="1">
      <alignment horizontal="center"/>
    </xf>
    <xf numFmtId="193" fontId="12" fillId="5" borderId="1" xfId="8209" applyNumberFormat="1" applyFont="1" applyFill="1" applyBorder="1" applyAlignment="1">
      <alignment horizontal="center"/>
    </xf>
    <xf numFmtId="0" fontId="88" fillId="5" borderId="1" xfId="8209" applyFont="1" applyFill="1" applyBorder="1" applyAlignment="1">
      <alignment horizontal="center"/>
    </xf>
    <xf numFmtId="49" fontId="88" fillId="5" borderId="1" xfId="8209" applyNumberFormat="1" applyFont="1" applyFill="1" applyBorder="1" applyAlignment="1">
      <alignment horizontal="center"/>
    </xf>
    <xf numFmtId="0" fontId="8" fillId="5" borderId="1" xfId="8209" applyFont="1" applyFill="1" applyBorder="1" applyAlignment="1">
      <alignment horizontal="center"/>
    </xf>
    <xf numFmtId="194" fontId="8" fillId="5" borderId="1" xfId="8209" applyNumberFormat="1" applyFont="1" applyFill="1" applyBorder="1" applyAlignment="1">
      <alignment horizontal="center" vertical="center" wrapText="1"/>
    </xf>
    <xf numFmtId="193" fontId="8" fillId="5" borderId="1" xfId="8209" applyNumberFormat="1" applyFont="1" applyFill="1" applyBorder="1" applyAlignment="1">
      <alignment horizontal="right"/>
    </xf>
    <xf numFmtId="0" fontId="8" fillId="5" borderId="1" xfId="8209" applyFill="1" applyBorder="1" applyAlignment="1">
      <alignment horizontal="center"/>
    </xf>
    <xf numFmtId="0" fontId="91" fillId="5" borderId="1" xfId="8209" applyFont="1" applyFill="1" applyBorder="1" applyAlignment="1">
      <alignment horizontal="center"/>
    </xf>
    <xf numFmtId="0" fontId="88" fillId="5" borderId="15" xfId="8209" applyFont="1" applyFill="1" applyBorder="1" applyAlignment="1">
      <alignment horizontal="center"/>
    </xf>
    <xf numFmtId="0" fontId="9" fillId="5" borderId="1" xfId="8209" applyFont="1" applyFill="1" applyBorder="1" applyAlignment="1">
      <alignment horizontal="center"/>
    </xf>
    <xf numFmtId="0" fontId="8" fillId="5" borderId="1" xfId="8209" applyFill="1" applyBorder="1">
      <alignment vertical="center"/>
    </xf>
    <xf numFmtId="49" fontId="8" fillId="5" borderId="1" xfId="8209" applyNumberFormat="1" applyFill="1" applyBorder="1">
      <alignment vertical="center"/>
    </xf>
    <xf numFmtId="0" fontId="12" fillId="5" borderId="1" xfId="8209" applyFont="1" applyFill="1" applyBorder="1" applyAlignment="1">
      <alignment horizontal="center" vertical="center"/>
    </xf>
    <xf numFmtId="49" fontId="12" fillId="5" borderId="1" xfId="8209" applyNumberFormat="1" applyFont="1" applyFill="1" applyBorder="1" applyAlignment="1">
      <alignment horizontal="center" vertical="center"/>
    </xf>
    <xf numFmtId="0" fontId="8" fillId="5" borderId="1" xfId="8209" applyFont="1" applyFill="1" applyBorder="1">
      <alignment vertical="center"/>
    </xf>
    <xf numFmtId="49" fontId="8" fillId="5" borderId="1" xfId="8209" applyNumberFormat="1" applyFont="1" applyFill="1" applyBorder="1">
      <alignment vertical="center"/>
    </xf>
    <xf numFmtId="0" fontId="92" fillId="5" borderId="0" xfId="8209" applyFont="1" applyFill="1">
      <alignment vertical="center"/>
    </xf>
    <xf numFmtId="194" fontId="8" fillId="5" borderId="1" xfId="8209" applyNumberFormat="1" applyFont="1" applyFill="1" applyBorder="1" applyAlignment="1">
      <alignment horizontal="center"/>
    </xf>
    <xf numFmtId="194" fontId="8" fillId="5" borderId="1" xfId="8209" applyNumberFormat="1" applyFont="1" applyFill="1" applyBorder="1" applyAlignment="1">
      <alignment horizontal="center" vertical="center"/>
    </xf>
    <xf numFmtId="0" fontId="88" fillId="5" borderId="64" xfId="8209" applyFont="1" applyFill="1" applyBorder="1" applyAlignment="1">
      <alignment horizontal="center"/>
    </xf>
    <xf numFmtId="0" fontId="8" fillId="5" borderId="64" xfId="8209" applyFont="1" applyFill="1" applyBorder="1" applyAlignment="1">
      <alignment horizontal="center"/>
    </xf>
    <xf numFmtId="49" fontId="8" fillId="5" borderId="0" xfId="8209" applyNumberFormat="1" applyFill="1" applyBorder="1" applyAlignment="1">
      <alignment horizontal="center" vertical="center"/>
    </xf>
    <xf numFmtId="0" fontId="8" fillId="5" borderId="64" xfId="8209" applyFill="1" applyBorder="1">
      <alignment vertical="center"/>
    </xf>
    <xf numFmtId="0" fontId="8" fillId="5" borderId="64" xfId="8209" applyFont="1" applyFill="1" applyBorder="1">
      <alignment vertical="center"/>
    </xf>
    <xf numFmtId="0" fontId="86" fillId="5" borderId="1" xfId="8209" applyFont="1" applyFill="1" applyBorder="1" applyAlignment="1">
      <alignment horizontal="center"/>
    </xf>
    <xf numFmtId="49" fontId="86" fillId="5" borderId="1" xfId="8209" applyNumberFormat="1" applyFont="1" applyFill="1" applyBorder="1" applyAlignment="1">
      <alignment horizontal="center" vertical="center"/>
    </xf>
    <xf numFmtId="176" fontId="86" fillId="5" borderId="1" xfId="8209" applyNumberFormat="1" applyFont="1" applyFill="1" applyBorder="1" applyAlignment="1">
      <alignment horizontal="center"/>
    </xf>
    <xf numFmtId="194" fontId="86" fillId="5" borderId="1" xfId="8209" applyNumberFormat="1" applyFont="1" applyFill="1" applyBorder="1" applyAlignment="1">
      <alignment horizontal="center"/>
    </xf>
    <xf numFmtId="193" fontId="86" fillId="5" borderId="1" xfId="8209" applyNumberFormat="1" applyFont="1" applyFill="1" applyBorder="1" applyAlignment="1">
      <alignment horizontal="center"/>
    </xf>
    <xf numFmtId="194" fontId="86" fillId="5" borderId="1" xfId="8209" applyNumberFormat="1" applyFont="1" applyFill="1" applyBorder="1" applyAlignment="1">
      <alignment horizontal="center" vertical="center"/>
    </xf>
    <xf numFmtId="194" fontId="8" fillId="5" borderId="1" xfId="8209" applyNumberFormat="1" applyFont="1" applyFill="1" applyBorder="1" applyAlignment="1">
      <alignment horizontal="center" wrapText="1"/>
    </xf>
    <xf numFmtId="49" fontId="86" fillId="5" borderId="1" xfId="8209" applyNumberFormat="1" applyFont="1" applyFill="1" applyBorder="1" applyAlignment="1">
      <alignment horizontal="center"/>
    </xf>
    <xf numFmtId="49" fontId="12" fillId="5" borderId="1" xfId="8209" applyNumberFormat="1" applyFont="1" applyFill="1" applyBorder="1" applyAlignment="1">
      <alignment horizontal="center"/>
    </xf>
    <xf numFmtId="176" fontId="12" fillId="5" borderId="1" xfId="8209" applyNumberFormat="1" applyFont="1" applyFill="1" applyBorder="1" applyAlignment="1">
      <alignment horizontal="center"/>
    </xf>
    <xf numFmtId="0" fontId="12" fillId="3" borderId="1" xfId="8209" applyFont="1" applyFill="1" applyBorder="1" applyAlignment="1">
      <alignment horizontal="center"/>
    </xf>
    <xf numFmtId="49" fontId="12" fillId="3" borderId="1" xfId="8209" applyNumberFormat="1" applyFont="1" applyFill="1" applyBorder="1" applyAlignment="1">
      <alignment horizontal="center"/>
    </xf>
    <xf numFmtId="176" fontId="12" fillId="3" borderId="1" xfId="8209" applyNumberFormat="1" applyFont="1" applyFill="1" applyBorder="1" applyAlignment="1">
      <alignment horizontal="center"/>
    </xf>
    <xf numFmtId="194" fontId="12" fillId="3" borderId="1" xfId="8209" applyNumberFormat="1" applyFont="1" applyFill="1" applyBorder="1" applyAlignment="1">
      <alignment horizontal="center"/>
    </xf>
    <xf numFmtId="193" fontId="12" fillId="3" borderId="1" xfId="8209" applyNumberFormat="1" applyFont="1" applyFill="1" applyBorder="1" applyAlignment="1">
      <alignment horizontal="center"/>
    </xf>
    <xf numFmtId="193" fontId="8" fillId="5" borderId="1" xfId="8209" applyNumberFormat="1" applyFont="1" applyFill="1" applyBorder="1" applyAlignment="1">
      <alignment horizontal="center"/>
    </xf>
    <xf numFmtId="0" fontId="12" fillId="3" borderId="1" xfId="8209" applyFont="1" applyFill="1" applyBorder="1" applyAlignment="1">
      <alignment horizontal="center" vertical="center"/>
    </xf>
    <xf numFmtId="49" fontId="12" fillId="3" borderId="1" xfId="8209" applyNumberFormat="1" applyFont="1" applyFill="1" applyBorder="1" applyAlignment="1">
      <alignment horizontal="center" vertical="center"/>
    </xf>
    <xf numFmtId="0" fontId="8" fillId="5" borderId="15" xfId="8209" applyFont="1" applyFill="1" applyBorder="1">
      <alignment vertical="center"/>
    </xf>
    <xf numFmtId="0" fontId="9" fillId="5" borderId="1" xfId="8209" applyFont="1" applyFill="1" applyBorder="1" applyAlignment="1">
      <alignment horizontal="center" vertical="center"/>
    </xf>
    <xf numFmtId="0" fontId="89" fillId="5" borderId="1" xfId="8209" applyFont="1" applyFill="1" applyBorder="1" applyAlignment="1">
      <alignment horizontal="center" vertical="center"/>
    </xf>
    <xf numFmtId="49" fontId="89" fillId="5" borderId="1" xfId="8209" applyNumberFormat="1" applyFont="1" applyFill="1" applyBorder="1" applyAlignment="1">
      <alignment horizontal="center" vertical="center"/>
    </xf>
    <xf numFmtId="193" fontId="89" fillId="5" borderId="1" xfId="8209" applyNumberFormat="1" applyFont="1" applyFill="1" applyBorder="1" applyAlignment="1">
      <alignment horizontal="center" vertical="center"/>
    </xf>
    <xf numFmtId="193" fontId="8" fillId="5" borderId="0" xfId="8209" applyNumberFormat="1" applyFill="1" applyBorder="1">
      <alignment vertical="center"/>
    </xf>
    <xf numFmtId="0" fontId="44" fillId="2" borderId="64"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76" fontId="37" fillId="4" borderId="0" xfId="0" applyNumberFormat="1" applyFont="1" applyFill="1" applyAlignment="1" applyProtection="1">
      <alignment horizontal="center" vertical="center"/>
      <protection locked="0"/>
    </xf>
    <xf numFmtId="0" fontId="41" fillId="3" borderId="2" xfId="24254" applyFont="1" applyFill="1" applyBorder="1" applyAlignment="1" applyProtection="1">
      <alignment horizontal="left" vertical="center"/>
      <protection locked="0"/>
    </xf>
    <xf numFmtId="0" fontId="41" fillId="3" borderId="4" xfId="24254" applyFont="1" applyFill="1" applyBorder="1" applyAlignment="1" applyProtection="1">
      <alignment vertical="center"/>
    </xf>
    <xf numFmtId="0" fontId="41" fillId="11" borderId="0" xfId="24254" applyFont="1" applyFill="1" applyBorder="1" applyAlignment="1" applyProtection="1">
      <alignment vertical="center"/>
    </xf>
    <xf numFmtId="0" fontId="37" fillId="11" borderId="0" xfId="0" applyFont="1" applyFill="1" applyAlignment="1" applyProtection="1">
      <alignment vertical="center"/>
      <protection locked="0"/>
    </xf>
    <xf numFmtId="0" fontId="41" fillId="2" borderId="0" xfId="24254"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76"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48" xfId="0" applyFont="1" applyFill="1" applyBorder="1" applyAlignment="1" applyProtection="1">
      <alignment vertical="center"/>
    </xf>
    <xf numFmtId="176"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76" fontId="37"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76" fontId="6" fillId="0" borderId="15" xfId="0" applyNumberFormat="1" applyFont="1" applyFill="1" applyBorder="1" applyAlignment="1" applyProtection="1">
      <alignment horizontal="center" vertical="center"/>
      <protection locked="0"/>
    </xf>
    <xf numFmtId="176" fontId="37"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76"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7" fillId="2" borderId="10" xfId="24254" applyFont="1" applyFill="1" applyBorder="1" applyAlignment="1" applyProtection="1">
      <alignment horizontal="right" vertical="center"/>
    </xf>
    <xf numFmtId="0" fontId="37" fillId="2" borderId="2" xfId="24254" applyFont="1" applyFill="1" applyBorder="1" applyAlignment="1" applyProtection="1">
      <alignment vertical="center"/>
    </xf>
    <xf numFmtId="180" fontId="37" fillId="2" borderId="1" xfId="0" applyNumberFormat="1" applyFont="1" applyFill="1" applyBorder="1" applyAlignment="1" applyProtection="1">
      <alignment horizontal="center" vertical="center"/>
    </xf>
    <xf numFmtId="177" fontId="37" fillId="2" borderId="1" xfId="24254" applyNumberFormat="1" applyFont="1" applyFill="1" applyBorder="1" applyAlignment="1" applyProtection="1">
      <alignment horizontal="center" vertical="center"/>
    </xf>
    <xf numFmtId="184" fontId="37" fillId="2" borderId="1" xfId="24254" applyNumberFormat="1" applyFont="1" applyFill="1" applyBorder="1" applyAlignment="1" applyProtection="1">
      <alignment horizontal="center" vertical="center"/>
    </xf>
    <xf numFmtId="9" fontId="37" fillId="2" borderId="1" xfId="24254" applyNumberFormat="1" applyFont="1" applyFill="1" applyBorder="1" applyAlignment="1" applyProtection="1">
      <alignment horizontal="center" vertical="center"/>
    </xf>
    <xf numFmtId="0" fontId="37" fillId="2" borderId="1" xfId="24254" applyNumberFormat="1" applyFont="1" applyFill="1" applyBorder="1" applyAlignment="1" applyProtection="1">
      <alignment horizontal="center" vertical="center"/>
    </xf>
    <xf numFmtId="180" fontId="37" fillId="2" borderId="1" xfId="24254" applyNumberFormat="1" applyFont="1" applyFill="1" applyBorder="1" applyAlignment="1" applyProtection="1">
      <alignment horizontal="center" vertical="center"/>
    </xf>
    <xf numFmtId="180" fontId="37" fillId="2" borderId="1" xfId="24254" applyNumberFormat="1" applyFont="1" applyFill="1" applyBorder="1" applyAlignment="1" applyProtection="1">
      <alignment vertical="center"/>
    </xf>
    <xf numFmtId="10" fontId="37" fillId="2" borderId="1" xfId="24254"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59" fillId="3" borderId="2" xfId="24254"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2" fillId="2" borderId="2" xfId="24254" applyFont="1" applyFill="1" applyBorder="1" applyAlignment="1" applyProtection="1">
      <alignment vertical="center"/>
    </xf>
    <xf numFmtId="180" fontId="72" fillId="2" borderId="1" xfId="24254" applyNumberFormat="1" applyFont="1" applyFill="1" applyBorder="1" applyAlignment="1" applyProtection="1">
      <alignment horizontal="center" vertical="center"/>
    </xf>
    <xf numFmtId="0" fontId="72" fillId="2" borderId="1" xfId="24254" applyFont="1" applyFill="1" applyBorder="1" applyAlignment="1" applyProtection="1">
      <alignment vertical="center"/>
    </xf>
    <xf numFmtId="180" fontId="72" fillId="2" borderId="1" xfId="24254" applyNumberFormat="1" applyFont="1" applyFill="1" applyBorder="1" applyAlignment="1" applyProtection="1">
      <alignment vertical="center"/>
    </xf>
    <xf numFmtId="10" fontId="72" fillId="2" borderId="1" xfId="24254"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2" fillId="2" borderId="3" xfId="0" applyFont="1" applyFill="1" applyBorder="1" applyAlignment="1" applyProtection="1">
      <alignment vertical="center"/>
    </xf>
    <xf numFmtId="180" fontId="72" fillId="2" borderId="0" xfId="0" applyNumberFormat="1" applyFont="1" applyFill="1" applyBorder="1" applyAlignment="1" applyProtection="1">
      <alignment horizontal="center" vertical="center"/>
    </xf>
    <xf numFmtId="180" fontId="72" fillId="2" borderId="3" xfId="24254"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7" fillId="2" borderId="1" xfId="24254" applyFont="1" applyFill="1" applyBorder="1" applyAlignment="1" applyProtection="1">
      <alignment horizontal="left" vertical="center"/>
    </xf>
    <xf numFmtId="187" fontId="37" fillId="2" borderId="4" xfId="0" applyNumberFormat="1" applyFont="1" applyFill="1" applyBorder="1" applyAlignment="1" applyProtection="1">
      <alignment horizontal="center" vertical="center"/>
    </xf>
    <xf numFmtId="187" fontId="37" fillId="2" borderId="1" xfId="0" applyNumberFormat="1" applyFont="1" applyFill="1" applyBorder="1" applyAlignment="1" applyProtection="1">
      <alignment horizontal="center" vertical="center"/>
    </xf>
    <xf numFmtId="180" fontId="37" fillId="2" borderId="3" xfId="24254"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0" fontId="37" fillId="2" borderId="0" xfId="0" applyNumberFormat="1" applyFont="1" applyFill="1" applyBorder="1" applyAlignment="1" applyProtection="1">
      <alignment horizontal="center" vertical="center"/>
    </xf>
    <xf numFmtId="0" fontId="72" fillId="2" borderId="1" xfId="24254" applyFont="1" applyFill="1" applyBorder="1" applyAlignment="1" applyProtection="1">
      <alignment vertical="center" wrapText="1"/>
    </xf>
    <xf numFmtId="180" fontId="72" fillId="2" borderId="4"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xf>
    <xf numFmtId="0" fontId="37" fillId="2" borderId="2" xfId="24254"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0"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2" fillId="2" borderId="33" xfId="24254" applyFont="1" applyFill="1" applyBorder="1" applyAlignment="1" applyProtection="1">
      <alignment vertical="center"/>
    </xf>
    <xf numFmtId="180"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80"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80" fontId="72" fillId="2" borderId="33" xfId="0" applyNumberFormat="1" applyFont="1" applyFill="1" applyBorder="1" applyAlignment="1" applyProtection="1">
      <alignment vertical="center"/>
    </xf>
    <xf numFmtId="180" fontId="72" fillId="2" borderId="45" xfId="0" applyNumberFormat="1" applyFont="1" applyFill="1" applyBorder="1" applyAlignment="1" applyProtection="1">
      <alignment vertical="center"/>
    </xf>
    <xf numFmtId="0" fontId="72" fillId="2" borderId="61" xfId="0" applyFont="1" applyFill="1" applyBorder="1" applyAlignment="1" applyProtection="1">
      <alignment vertical="center"/>
    </xf>
    <xf numFmtId="0" fontId="72" fillId="2" borderId="21" xfId="0" applyFont="1" applyFill="1" applyBorder="1" applyAlignment="1" applyProtection="1">
      <alignment vertical="center"/>
    </xf>
    <xf numFmtId="176"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24254" applyFont="1" applyFill="1" applyBorder="1" applyAlignment="1" applyProtection="1">
      <alignment horizontal="center" vertical="center"/>
    </xf>
    <xf numFmtId="0" fontId="41"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76"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76" fontId="37"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2" fillId="2" borderId="42" xfId="0" applyFont="1" applyFill="1" applyBorder="1" applyAlignment="1" applyProtection="1">
      <alignment vertical="center"/>
    </xf>
    <xf numFmtId="180"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93" fillId="2" borderId="31" xfId="24254" applyFont="1" applyFill="1" applyBorder="1" applyAlignment="1" applyProtection="1">
      <alignment vertical="center"/>
    </xf>
    <xf numFmtId="49" fontId="29" fillId="2" borderId="0" xfId="24254" applyNumberFormat="1" applyFont="1" applyFill="1" applyBorder="1" applyAlignment="1" applyProtection="1">
      <alignment horizontal="right" vertical="center"/>
    </xf>
    <xf numFmtId="0" fontId="30" fillId="3" borderId="2" xfId="24254" applyFont="1" applyFill="1" applyBorder="1" applyAlignment="1" applyProtection="1">
      <alignment vertical="center"/>
      <protection locked="0"/>
    </xf>
    <xf numFmtId="0" fontId="29" fillId="2" borderId="2" xfId="24254" applyFont="1" applyFill="1" applyBorder="1" applyAlignment="1" applyProtection="1">
      <alignment horizontal="right" vertical="center"/>
    </xf>
    <xf numFmtId="0" fontId="29" fillId="2" borderId="4" xfId="24254" applyFont="1" applyFill="1" applyBorder="1" applyAlignment="1" applyProtection="1">
      <alignment vertical="center"/>
    </xf>
    <xf numFmtId="0" fontId="29" fillId="3" borderId="1" xfId="24254" applyFont="1" applyFill="1" applyBorder="1" applyAlignment="1" applyProtection="1">
      <alignment vertical="center"/>
      <protection locked="0"/>
    </xf>
    <xf numFmtId="0" fontId="30" fillId="3" borderId="11" xfId="24254"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3" borderId="2" xfId="24254"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24254" applyNumberFormat="1" applyFont="1" applyFill="1" applyBorder="1" applyAlignment="1" applyProtection="1">
      <alignment horizontal="center" vertical="center"/>
    </xf>
    <xf numFmtId="9" fontId="30" fillId="13" borderId="2" xfId="24254" applyNumberFormat="1" applyFont="1" applyFill="1" applyBorder="1" applyAlignment="1" applyProtection="1">
      <alignment horizontal="center" vertical="center"/>
    </xf>
    <xf numFmtId="0" fontId="59" fillId="3" borderId="11" xfId="24254"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4"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62" fillId="2" borderId="15"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72" fillId="2" borderId="2" xfId="0" applyFont="1" applyFill="1" applyBorder="1" applyAlignment="1" applyProtection="1">
      <alignment horizontal="right" vertical="center"/>
    </xf>
    <xf numFmtId="0" fontId="62" fillId="2" borderId="4" xfId="0" applyFont="1" applyFill="1" applyBorder="1" applyProtection="1">
      <alignment vertical="center"/>
    </xf>
    <xf numFmtId="0" fontId="62" fillId="2" borderId="16" xfId="0" applyFont="1" applyFill="1" applyBorder="1" applyAlignment="1" applyProtection="1">
      <alignment horizontal="center" vertical="center"/>
    </xf>
    <xf numFmtId="0" fontId="72" fillId="2" borderId="50" xfId="0" applyFont="1" applyFill="1" applyBorder="1" applyAlignment="1" applyProtection="1">
      <alignment horizontal="right" vertical="center"/>
    </xf>
    <xf numFmtId="0" fontId="62" fillId="2" borderId="0" xfId="0" applyFont="1" applyFill="1" applyProtection="1">
      <alignment vertical="center"/>
    </xf>
    <xf numFmtId="177" fontId="62" fillId="2" borderId="15" xfId="0" applyNumberFormat="1" applyFont="1" applyFill="1" applyBorder="1" applyAlignment="1" applyProtection="1">
      <alignment horizontal="center" vertical="center"/>
    </xf>
    <xf numFmtId="0" fontId="72" fillId="2" borderId="49" xfId="0" applyFont="1" applyFill="1" applyBorder="1" applyAlignment="1" applyProtection="1">
      <alignment vertical="center"/>
    </xf>
    <xf numFmtId="0" fontId="62"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6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2" fillId="2" borderId="1" xfId="0" applyFont="1" applyFill="1" applyBorder="1" applyProtection="1">
      <alignment vertical="center"/>
    </xf>
    <xf numFmtId="0" fontId="62" fillId="2" borderId="2" xfId="0" applyFont="1" applyFill="1" applyBorder="1" applyAlignment="1" applyProtection="1">
      <alignment horizontal="right" vertical="center"/>
    </xf>
    <xf numFmtId="0" fontId="62" fillId="2" borderId="13" xfId="0" applyFont="1" applyFill="1" applyBorder="1" applyProtection="1">
      <alignment vertical="center"/>
    </xf>
    <xf numFmtId="0" fontId="62" fillId="2" borderId="13"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2" fillId="2" borderId="118" xfId="0" applyFont="1" applyFill="1" applyBorder="1" applyAlignment="1" applyProtection="1">
      <alignment vertical="center"/>
    </xf>
    <xf numFmtId="0" fontId="62" fillId="2" borderId="110" xfId="0" applyFont="1" applyFill="1" applyBorder="1" applyProtection="1">
      <alignment vertical="center"/>
    </xf>
    <xf numFmtId="0" fontId="62" fillId="2" borderId="109" xfId="0" applyFont="1" applyFill="1" applyBorder="1" applyProtection="1">
      <alignment vertical="center"/>
    </xf>
    <xf numFmtId="184" fontId="95" fillId="2" borderId="116" xfId="0" applyNumberFormat="1"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62" fillId="2" borderId="34" xfId="0" applyFont="1" applyFill="1" applyBorder="1" applyAlignment="1" applyProtection="1">
      <alignment horizontal="right" vertical="center"/>
    </xf>
    <xf numFmtId="0" fontId="62"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2" fillId="2" borderId="147" xfId="0" applyFont="1" applyFill="1" applyBorder="1" applyAlignment="1" applyProtection="1">
      <alignment horizontal="left"/>
    </xf>
    <xf numFmtId="0" fontId="72" fillId="2" borderId="49" xfId="0" applyFont="1" applyFill="1" applyBorder="1" applyAlignment="1" applyProtection="1">
      <alignment horizontal="left" vertical="center"/>
    </xf>
    <xf numFmtId="0" fontId="62" fillId="2" borderId="31" xfId="0" applyFont="1" applyFill="1" applyBorder="1" applyProtection="1">
      <alignment vertical="center"/>
    </xf>
    <xf numFmtId="0" fontId="62"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pplyProtection="1">
      <alignment vertical="center"/>
    </xf>
    <xf numFmtId="0" fontId="37" fillId="2" borderId="9" xfId="0" applyFont="1" applyFill="1" applyBorder="1" applyAlignment="1" applyProtection="1">
      <alignment horizontal="center" vertical="center"/>
    </xf>
    <xf numFmtId="0" fontId="72" fillId="2" borderId="120" xfId="0" applyFont="1" applyFill="1" applyBorder="1" applyAlignment="1" applyProtection="1">
      <alignment horizontal="left" vertical="center"/>
    </xf>
    <xf numFmtId="0" fontId="62" fillId="2" borderId="112"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4" fontId="6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2" fillId="2" borderId="62"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4" fontId="62" fillId="2" borderId="14" xfId="0" applyNumberFormat="1" applyFont="1" applyFill="1" applyBorder="1" applyProtection="1">
      <alignment vertical="center"/>
    </xf>
    <xf numFmtId="0" fontId="37" fillId="2" borderId="62" xfId="0" applyFont="1" applyFill="1" applyBorder="1" applyProtection="1">
      <alignment vertical="center"/>
    </xf>
    <xf numFmtId="0" fontId="37" fillId="0" borderId="14" xfId="0" applyFont="1" applyBorder="1" applyProtection="1">
      <alignment vertical="center"/>
      <protection locked="0"/>
    </xf>
    <xf numFmtId="0" fontId="62" fillId="2" borderId="108"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pplyProtection="1">
      <alignment vertical="center"/>
    </xf>
    <xf numFmtId="0" fontId="62" fillId="2" borderId="0" xfId="0" applyFont="1" applyFill="1" applyBorder="1" applyAlignment="1" applyProtection="1">
      <alignment horizontal="left" vertical="center"/>
      <protection locked="0"/>
    </xf>
    <xf numFmtId="0" fontId="62"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4"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8"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80"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5"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100" fillId="2" borderId="114" xfId="0" applyFont="1" applyFill="1" applyBorder="1" applyAlignment="1" applyProtection="1">
      <alignment horizontal="left" vertical="center" wrapText="1"/>
    </xf>
    <xf numFmtId="184" fontId="37"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8"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80"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80" fontId="30"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0"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2" fillId="2" borderId="39" xfId="25023" applyFont="1" applyFill="1" applyBorder="1" applyAlignment="1" applyProtection="1">
      <alignment horizontal="left" vertical="center" wrapText="1"/>
    </xf>
    <xf numFmtId="0" fontId="62" fillId="2" borderId="42" xfId="25023"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2" borderId="1" xfId="25023" applyFont="1" applyFill="1" applyBorder="1" applyAlignment="1" applyProtection="1">
      <alignment horizontal="left" vertical="center" wrapText="1"/>
    </xf>
    <xf numFmtId="0" fontId="62" fillId="7" borderId="1" xfId="25023" applyFont="1" applyFill="1" applyBorder="1" applyAlignment="1" applyProtection="1">
      <alignment horizontal="left" vertical="center" wrapText="1"/>
      <protection locked="0"/>
    </xf>
    <xf numFmtId="180"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96" fontId="31"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2" fillId="2" borderId="46" xfId="2502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25023" applyFont="1" applyFill="1" applyAlignment="1" applyProtection="1">
      <alignment horizontal="left"/>
    </xf>
    <xf numFmtId="0" fontId="37" fillId="2" borderId="39" xfId="25023" applyFont="1" applyFill="1" applyBorder="1" applyAlignment="1" applyProtection="1">
      <alignment horizontal="left" vertical="center" wrapText="1"/>
    </xf>
    <xf numFmtId="0" fontId="37" fillId="2" borderId="42" xfId="25023"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96"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25023"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2" fillId="2" borderId="14"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protection locked="0"/>
    </xf>
    <xf numFmtId="184" fontId="37" fillId="2" borderId="0" xfId="0" applyNumberFormat="1" applyFont="1" applyFill="1" applyAlignment="1" applyProtection="1">
      <alignment horizontal="left" vertical="center"/>
    </xf>
    <xf numFmtId="0" fontId="37" fillId="2" borderId="0" xfId="25023"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25023" applyFont="1" applyFill="1" applyAlignment="1" applyProtection="1">
      <alignment vertical="center" wrapText="1"/>
      <protection locked="0"/>
    </xf>
    <xf numFmtId="0" fontId="48" fillId="2" borderId="0" xfId="25023" applyFont="1" applyFill="1" applyProtection="1">
      <protection locked="0"/>
    </xf>
    <xf numFmtId="0" fontId="104"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48" fillId="5" borderId="0" xfId="0" applyFont="1" applyFill="1" applyProtection="1">
      <alignment vertical="center"/>
    </xf>
    <xf numFmtId="0" fontId="93"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pplyProtection="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5" fillId="0" borderId="0" xfId="20486" applyAlignment="1" applyProtection="1">
      <alignment horizontal="left"/>
      <protection locked="0"/>
    </xf>
    <xf numFmtId="0" fontId="106" fillId="2" borderId="1" xfId="20486" applyFont="1" applyFill="1" applyBorder="1" applyAlignment="1" applyProtection="1">
      <alignment horizontal="left" vertical="center" wrapText="1"/>
    </xf>
    <xf numFmtId="0" fontId="106" fillId="11" borderId="0" xfId="20486" applyFont="1" applyFill="1" applyBorder="1" applyAlignment="1" applyProtection="1">
      <alignment horizontal="left" vertical="center" wrapText="1"/>
      <protection locked="0"/>
    </xf>
    <xf numFmtId="0" fontId="105" fillId="11" borderId="0" xfId="20486" applyFill="1" applyBorder="1" applyAlignment="1" applyProtection="1">
      <alignment horizontal="left"/>
      <protection locked="0"/>
    </xf>
    <xf numFmtId="0" fontId="105" fillId="11" borderId="0" xfId="20486" applyFill="1" applyAlignment="1" applyProtection="1">
      <alignment horizontal="left"/>
      <protection locked="0"/>
    </xf>
    <xf numFmtId="14" fontId="106" fillId="2" borderId="1" xfId="20486" applyNumberFormat="1" applyFont="1" applyFill="1" applyBorder="1" applyAlignment="1" applyProtection="1">
      <alignment horizontal="left" vertical="center" wrapText="1"/>
    </xf>
    <xf numFmtId="0" fontId="106" fillId="0" borderId="1" xfId="20486" applyFont="1" applyFill="1" applyBorder="1" applyAlignment="1" applyProtection="1">
      <alignment horizontal="left" vertical="center" wrapText="1"/>
      <protection locked="0"/>
    </xf>
    <xf numFmtId="0" fontId="105" fillId="2" borderId="1" xfId="20486" applyFill="1" applyBorder="1" applyAlignment="1" applyProtection="1">
      <alignment horizontal="left" vertical="center"/>
    </xf>
    <xf numFmtId="0" fontId="106" fillId="2" borderId="15" xfId="20486" applyFont="1" applyFill="1" applyBorder="1" applyAlignment="1" applyProtection="1">
      <alignment horizontal="left" vertical="center" wrapText="1"/>
    </xf>
    <xf numFmtId="0" fontId="8" fillId="0" borderId="1" xfId="20486" applyFont="1" applyFill="1" applyBorder="1" applyAlignment="1" applyProtection="1">
      <alignment horizontal="left"/>
      <protection locked="0"/>
    </xf>
    <xf numFmtId="0" fontId="106" fillId="0" borderId="15" xfId="20486" applyFont="1" applyFill="1" applyBorder="1" applyAlignment="1" applyProtection="1">
      <alignment horizontal="left" vertical="center" wrapText="1"/>
      <protection locked="0"/>
    </xf>
    <xf numFmtId="0" fontId="105" fillId="0" borderId="1" xfId="20486" applyBorder="1" applyAlignment="1" applyProtection="1">
      <alignment horizontal="left"/>
      <protection locked="0"/>
    </xf>
    <xf numFmtId="0" fontId="106" fillId="0" borderId="1" xfId="20486"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97" fillId="5" borderId="151" xfId="0" applyFont="1" applyFill="1" applyBorder="1" applyAlignment="1" applyProtection="1">
      <alignment vertical="center" wrapText="1"/>
      <protection locked="0"/>
    </xf>
    <xf numFmtId="0" fontId="39" fillId="2" borderId="118"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6" xfId="0" applyFont="1" applyFill="1" applyBorder="1" applyAlignment="1" applyProtection="1">
      <alignment vertical="center"/>
    </xf>
    <xf numFmtId="0" fontId="39"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7" fillId="2" borderId="112"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111" xfId="0" applyNumberFormat="1" applyFont="1" applyFill="1" applyBorder="1" applyAlignment="1" applyProtection="1">
      <alignment vertical="center" wrapText="1"/>
    </xf>
    <xf numFmtId="0" fontId="37"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1"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4" fillId="2" borderId="152"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6"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7"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3"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77"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4" fillId="2" borderId="0" xfId="0" applyFont="1" applyFill="1" applyAlignment="1" applyProtection="1">
      <alignment vertical="center" wrapText="1"/>
    </xf>
    <xf numFmtId="0" fontId="37" fillId="2" borderId="0" xfId="0" applyFont="1" applyFill="1" applyAlignment="1" applyProtection="1">
      <alignment vertical="center"/>
    </xf>
    <xf numFmtId="177" fontId="37"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2" fillId="2" borderId="26"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177" fontId="62" fillId="2" borderId="0" xfId="0" applyNumberFormat="1" applyFont="1" applyFill="1" applyAlignment="1" applyProtection="1">
      <alignment vertical="center"/>
      <protection locked="0"/>
    </xf>
    <xf numFmtId="0" fontId="62" fillId="2" borderId="0" xfId="0" applyFont="1" applyFill="1" applyAlignment="1" applyProtection="1">
      <alignment vertical="center" wrapText="1"/>
    </xf>
    <xf numFmtId="0" fontId="62" fillId="2" borderId="0" xfId="0" applyFont="1" applyFill="1" applyAlignment="1" applyProtection="1">
      <alignment vertical="center"/>
    </xf>
    <xf numFmtId="0" fontId="62" fillId="2" borderId="25" xfId="0" applyFont="1" applyFill="1" applyBorder="1" applyAlignment="1" applyProtection="1">
      <alignment vertical="center"/>
    </xf>
    <xf numFmtId="177" fontId="62" fillId="2" borderId="25" xfId="0" applyNumberFormat="1" applyFont="1" applyFill="1" applyBorder="1" applyAlignment="1" applyProtection="1">
      <alignment vertical="center"/>
    </xf>
    <xf numFmtId="0" fontId="62" fillId="2" borderId="7" xfId="24254" applyFont="1" applyFill="1" applyBorder="1" applyAlignment="1" applyProtection="1">
      <alignment vertical="center" wrapText="1"/>
    </xf>
    <xf numFmtId="0" fontId="62" fillId="2" borderId="8" xfId="24254" applyFont="1" applyFill="1" applyBorder="1" applyAlignment="1" applyProtection="1">
      <alignment vertical="center" wrapText="1"/>
    </xf>
    <xf numFmtId="0" fontId="62" fillId="2" borderId="32" xfId="24254" applyFont="1" applyFill="1" applyBorder="1" applyAlignment="1" applyProtection="1">
      <alignment vertical="center" wrapText="1"/>
    </xf>
    <xf numFmtId="186" fontId="56" fillId="2" borderId="7" xfId="24254" applyNumberFormat="1"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177" fontId="62" fillId="2" borderId="8" xfId="0" applyNumberFormat="1" applyFont="1" applyFill="1" applyBorder="1" applyAlignment="1" applyProtection="1">
      <alignment horizontal="center" vertical="center" wrapText="1"/>
    </xf>
    <xf numFmtId="180" fontId="37" fillId="2" borderId="10" xfId="24254" applyNumberFormat="1" applyFont="1" applyFill="1" applyBorder="1" applyAlignment="1" applyProtection="1">
      <alignment horizontal="left" vertical="center"/>
    </xf>
    <xf numFmtId="180" fontId="62" fillId="2" borderId="1" xfId="24254" applyNumberFormat="1" applyFont="1" applyFill="1" applyBorder="1" applyAlignment="1" applyProtection="1">
      <alignment vertical="center"/>
    </xf>
    <xf numFmtId="180" fontId="62" fillId="7" borderId="2" xfId="24254" applyNumberFormat="1" applyFont="1" applyFill="1" applyBorder="1" applyAlignment="1" applyProtection="1">
      <alignment vertical="center"/>
      <protection locked="0"/>
    </xf>
    <xf numFmtId="180" fontId="37" fillId="2" borderId="10" xfId="24254"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77" fontId="56" fillId="2" borderId="1" xfId="24254" applyNumberFormat="1" applyFont="1" applyFill="1" applyBorder="1" applyAlignment="1" applyProtection="1">
      <alignment horizontal="center" vertical="center"/>
    </xf>
    <xf numFmtId="186" fontId="56" fillId="2" borderId="1" xfId="24254"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2" fillId="0" borderId="1" xfId="0" applyNumberFormat="1" applyFont="1" applyFill="1" applyBorder="1" applyAlignment="1" applyProtection="1">
      <alignment horizontal="center" vertical="center"/>
      <protection locked="0"/>
    </xf>
    <xf numFmtId="180" fontId="62" fillId="2" borderId="10" xfId="24254" applyNumberFormat="1" applyFont="1" applyFill="1" applyBorder="1" applyAlignment="1" applyProtection="1">
      <alignment horizontal="left" vertical="center" wrapText="1"/>
      <protection locked="0"/>
    </xf>
    <xf numFmtId="180" fontId="62" fillId="2" borderId="2" xfId="24254" applyNumberFormat="1" applyFont="1" applyFill="1" applyBorder="1" applyAlignment="1" applyProtection="1">
      <alignment vertical="center"/>
    </xf>
    <xf numFmtId="184" fontId="66" fillId="2" borderId="1" xfId="0" applyNumberFormat="1" applyFont="1" applyFill="1" applyBorder="1" applyAlignment="1" applyProtection="1">
      <alignment horizontal="center" vertical="center"/>
      <protection locked="0"/>
    </xf>
    <xf numFmtId="0" fontId="72" fillId="2" borderId="12" xfId="24254" applyFont="1" applyFill="1" applyBorder="1" applyAlignment="1" applyProtection="1">
      <alignment vertical="center" wrapText="1"/>
    </xf>
    <xf numFmtId="0" fontId="72" fillId="2" borderId="13" xfId="24254" applyFont="1" applyFill="1" applyBorder="1" applyAlignment="1" applyProtection="1">
      <alignment vertical="center"/>
    </xf>
    <xf numFmtId="0" fontId="72" fillId="2" borderId="12" xfId="24254" applyFont="1" applyFill="1" applyBorder="1" applyAlignment="1" applyProtection="1">
      <alignment vertical="center"/>
    </xf>
    <xf numFmtId="0" fontId="72" fillId="2" borderId="13" xfId="24254" applyFont="1" applyFill="1" applyBorder="1" applyAlignment="1" applyProtection="1">
      <alignment horizontal="center" vertical="center"/>
    </xf>
    <xf numFmtId="184" fontId="72" fillId="2" borderId="13" xfId="24254" applyNumberFormat="1" applyFont="1" applyFill="1" applyBorder="1" applyAlignment="1" applyProtection="1">
      <alignment vertical="center"/>
    </xf>
    <xf numFmtId="0" fontId="39" fillId="2" borderId="0" xfId="0" applyFont="1" applyFill="1" applyAlignment="1" applyProtection="1">
      <alignment vertical="center" wrapText="1"/>
    </xf>
    <xf numFmtId="0" fontId="37" fillId="11" borderId="0" xfId="0" applyFont="1" applyFill="1" applyAlignment="1" applyProtection="1">
      <alignment vertical="center"/>
    </xf>
    <xf numFmtId="177"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77" fontId="62" fillId="11" borderId="0" xfId="0" applyNumberFormat="1" applyFont="1" applyFill="1" applyAlignment="1" applyProtection="1">
      <alignment vertical="center"/>
      <protection locked="0"/>
    </xf>
    <xf numFmtId="191" fontId="56" fillId="2" borderId="7" xfId="24254" applyNumberFormat="1" applyFont="1" applyFill="1" applyBorder="1" applyAlignment="1" applyProtection="1">
      <alignment vertical="center" wrapText="1"/>
    </xf>
    <xf numFmtId="191" fontId="56" fillId="0" borderId="9" xfId="24254"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91" fontId="56" fillId="2" borderId="10" xfId="24254" applyNumberFormat="1" applyFont="1" applyFill="1" applyBorder="1" applyAlignment="1" applyProtection="1">
      <alignment vertical="center" wrapText="1"/>
    </xf>
    <xf numFmtId="191" fontId="62" fillId="0" borderId="11" xfId="24254"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1" fontId="62" fillId="2" borderId="10" xfId="24254" applyNumberFormat="1" applyFont="1" applyFill="1" applyBorder="1" applyAlignment="1" applyProtection="1">
      <alignment vertical="center" wrapText="1"/>
    </xf>
    <xf numFmtId="191" fontId="56" fillId="2" borderId="11" xfId="24254" applyNumberFormat="1" applyFont="1" applyFill="1" applyBorder="1" applyAlignment="1" applyProtection="1">
      <alignment horizontal="center" vertical="center"/>
    </xf>
    <xf numFmtId="191" fontId="56" fillId="2" borderId="12" xfId="24254" applyNumberFormat="1" applyFont="1" applyFill="1" applyBorder="1" applyAlignment="1" applyProtection="1">
      <alignment vertical="center" wrapText="1"/>
    </xf>
    <xf numFmtId="191" fontId="56" fillId="2" borderId="14" xfId="24254" applyNumberFormat="1" applyFont="1" applyFill="1" applyBorder="1" applyAlignment="1" applyProtection="1">
      <alignment horizontal="center" vertical="center"/>
    </xf>
    <xf numFmtId="0" fontId="62" fillId="2"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pplyProtection="1">
      <alignment vertical="center" wrapText="1"/>
    </xf>
    <xf numFmtId="0" fontId="31" fillId="0" borderId="9" xfId="24254"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77" fontId="62" fillId="11" borderId="0" xfId="0" applyNumberFormat="1" applyFont="1" applyFill="1" applyAlignment="1" applyProtection="1">
      <alignment horizontal="center" vertical="center"/>
      <protection locked="0"/>
    </xf>
    <xf numFmtId="0" fontId="62" fillId="2" borderId="10" xfId="0" applyFont="1" applyFill="1" applyBorder="1" applyAlignment="1" applyProtection="1">
      <alignment vertical="center" wrapText="1"/>
    </xf>
    <xf numFmtId="0" fontId="31" fillId="0" borderId="11" xfId="24254"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pplyProtection="1">
      <alignment vertical="center" wrapText="1"/>
    </xf>
    <xf numFmtId="0" fontId="31" fillId="0" borderId="14" xfId="24254"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2" borderId="58" xfId="0" applyFont="1" applyFill="1" applyBorder="1" applyAlignment="1" applyProtection="1">
      <alignment vertical="center" wrapText="1"/>
    </xf>
    <xf numFmtId="0" fontId="31" fillId="0" borderId="28" xfId="24254" applyNumberFormat="1" applyFont="1" applyFill="1" applyBorder="1" applyAlignment="1" applyProtection="1">
      <alignment horizontal="center" vertical="center"/>
      <protection locked="0"/>
    </xf>
    <xf numFmtId="0" fontId="56" fillId="2" borderId="11" xfId="24254"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pplyProtection="1">
      <alignment vertical="center" wrapText="1"/>
    </xf>
    <xf numFmtId="0" fontId="31" fillId="0" borderId="40" xfId="24254" applyNumberFormat="1" applyFont="1" applyFill="1" applyBorder="1" applyAlignment="1" applyProtection="1">
      <alignment horizontal="center" vertical="center"/>
      <protection locked="0"/>
    </xf>
    <xf numFmtId="184" fontId="37"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4" fontId="37" fillId="0" borderId="11" xfId="0" applyNumberFormat="1" applyFont="1" applyFill="1" applyBorder="1" applyAlignment="1" applyProtection="1">
      <alignment horizontal="center" vertical="center"/>
      <protection locked="0"/>
    </xf>
    <xf numFmtId="177" fontId="79" fillId="11" borderId="0" xfId="0" applyNumberFormat="1" applyFont="1" applyFill="1" applyAlignment="1" applyProtection="1">
      <alignment vertical="center"/>
      <protection locked="0"/>
    </xf>
    <xf numFmtId="184" fontId="37" fillId="0" borderId="14" xfId="0" applyNumberFormat="1" applyFont="1" applyFill="1" applyBorder="1" applyAlignment="1" applyProtection="1">
      <alignment horizontal="center" vertical="center"/>
      <protection locked="0"/>
    </xf>
    <xf numFmtId="184" fontId="37" fillId="0" borderId="28" xfId="0" applyNumberFormat="1" applyFont="1" applyFill="1" applyBorder="1" applyAlignment="1" applyProtection="1">
      <alignment horizontal="center" vertical="center"/>
      <protection locked="0"/>
    </xf>
    <xf numFmtId="184" fontId="37"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3" borderId="51"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2" borderId="9" xfId="0" applyNumberFormat="1" applyFont="1" applyFill="1" applyBorder="1" applyAlignment="1" applyProtection="1">
      <alignment horizontal="center" vertical="center"/>
    </xf>
    <xf numFmtId="0" fontId="62" fillId="2"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4" fontId="48" fillId="11" borderId="0" xfId="0" applyNumberFormat="1" applyFont="1" applyFill="1" applyAlignment="1" applyProtection="1">
      <alignment horizontal="center" vertical="center"/>
    </xf>
    <xf numFmtId="190" fontId="62" fillId="2" borderId="40" xfId="0" applyNumberFormat="1" applyFont="1" applyFill="1" applyBorder="1" applyAlignment="1" applyProtection="1">
      <alignment horizontal="center" vertical="center"/>
    </xf>
    <xf numFmtId="0" fontId="62" fillId="2"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2"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62" fillId="2"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xf>
    <xf numFmtId="10" fontId="62" fillId="2" borderId="36" xfId="0" applyNumberFormat="1" applyFont="1" applyFill="1" applyBorder="1" applyAlignment="1" applyProtection="1">
      <alignment horizontal="center" vertical="center"/>
    </xf>
    <xf numFmtId="10" fontId="62" fillId="2" borderId="14" xfId="0" applyNumberFormat="1" applyFont="1" applyFill="1" applyBorder="1" applyAlignment="1" applyProtection="1">
      <alignment horizontal="center" vertical="center"/>
    </xf>
    <xf numFmtId="182" fontId="62" fillId="2"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8"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1" xfId="0" applyFont="1" applyFill="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2" borderId="0" xfId="0" applyFont="1" applyFill="1" applyAlignment="1" applyProtection="1">
      <alignment horizontal="center" vertical="center"/>
      <protection locked="0"/>
    </xf>
    <xf numFmtId="0" fontId="62" fillId="2" borderId="116" xfId="0" applyFont="1" applyFill="1" applyBorder="1" applyAlignment="1" applyProtection="1">
      <alignment vertical="center"/>
    </xf>
    <xf numFmtId="0" fontId="62" fillId="2" borderId="118" xfId="0" applyFont="1" applyFill="1" applyBorder="1" applyAlignment="1" applyProtection="1">
      <alignment horizontal="center" vertical="center"/>
    </xf>
    <xf numFmtId="0" fontId="62"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0" fontId="62" fillId="2" borderId="7" xfId="24254" applyNumberFormat="1" applyFont="1" applyFill="1" applyBorder="1" applyAlignment="1" applyProtection="1">
      <alignment horizontal="center" vertical="center" wrapText="1"/>
    </xf>
    <xf numFmtId="0" fontId="62" fillId="2" borderId="8" xfId="24254" applyFont="1" applyFill="1" applyBorder="1" applyAlignment="1" applyProtection="1">
      <alignment horizontal="center" vertical="center" wrapText="1"/>
    </xf>
    <xf numFmtId="177" fontId="62" fillId="2" borderId="8" xfId="24254" applyNumberFormat="1" applyFont="1" applyFill="1" applyBorder="1" applyAlignment="1" applyProtection="1">
      <alignment horizontal="center" vertical="center" wrapText="1"/>
    </xf>
    <xf numFmtId="0" fontId="62" fillId="3" borderId="8" xfId="24254" applyFont="1" applyFill="1" applyBorder="1" applyAlignment="1" applyProtection="1">
      <alignment horizontal="center" vertical="center" wrapText="1"/>
      <protection locked="0"/>
    </xf>
    <xf numFmtId="0" fontId="62" fillId="2" borderId="32" xfId="24254" applyFont="1" applyFill="1" applyBorder="1" applyAlignment="1" applyProtection="1">
      <alignment horizontal="center" vertical="center" wrapText="1"/>
    </xf>
    <xf numFmtId="177" fontId="37" fillId="2" borderId="10" xfId="24254" applyNumberFormat="1" applyFont="1" applyFill="1" applyBorder="1" applyAlignment="1" applyProtection="1">
      <alignment horizontal="center" vertical="center"/>
    </xf>
    <xf numFmtId="180" fontId="37" fillId="0" borderId="1" xfId="24254" applyNumberFormat="1" applyFont="1" applyFill="1" applyBorder="1" applyAlignment="1" applyProtection="1">
      <alignment horizontal="center" vertical="center"/>
      <protection locked="0"/>
    </xf>
    <xf numFmtId="0" fontId="62" fillId="2" borderId="1" xfId="24254" applyNumberFormat="1" applyFont="1" applyFill="1" applyBorder="1" applyAlignment="1" applyProtection="1">
      <alignment horizontal="center" vertical="center"/>
    </xf>
    <xf numFmtId="10" fontId="37" fillId="0" borderId="1" xfId="24254" applyNumberFormat="1" applyFont="1" applyFill="1" applyBorder="1" applyAlignment="1" applyProtection="1">
      <alignment horizontal="center" vertical="center"/>
      <protection locked="0"/>
    </xf>
    <xf numFmtId="0" fontId="62" fillId="2" borderId="2" xfId="0" applyNumberFormat="1" applyFont="1" applyFill="1" applyBorder="1" applyAlignment="1" applyProtection="1">
      <alignment horizontal="center" vertical="center"/>
    </xf>
    <xf numFmtId="180" fontId="62" fillId="0" borderId="1" xfId="24254" applyNumberFormat="1" applyFont="1" applyFill="1" applyBorder="1" applyAlignment="1" applyProtection="1">
      <alignment horizontal="center" vertical="center"/>
      <protection locked="0"/>
    </xf>
    <xf numFmtId="10" fontId="62" fillId="0" borderId="1" xfId="24254" applyNumberFormat="1" applyFont="1" applyFill="1" applyBorder="1" applyAlignment="1" applyProtection="1">
      <alignment horizontal="center" vertical="center"/>
      <protection locked="0"/>
    </xf>
    <xf numFmtId="180" fontId="62" fillId="2" borderId="1" xfId="24254" applyNumberFormat="1" applyFont="1" applyFill="1" applyBorder="1" applyAlignment="1" applyProtection="1">
      <alignment horizontal="center" vertical="center"/>
    </xf>
    <xf numFmtId="10" fontId="62" fillId="2" borderId="1" xfId="24254" applyNumberFormat="1" applyFont="1" applyFill="1" applyBorder="1" applyAlignment="1" applyProtection="1">
      <alignment horizontal="center" vertical="center"/>
    </xf>
    <xf numFmtId="0" fontId="72" fillId="2" borderId="14" xfId="24254" applyFont="1" applyFill="1" applyBorder="1" applyAlignment="1" applyProtection="1">
      <alignment vertical="center"/>
    </xf>
    <xf numFmtId="191" fontId="62" fillId="2" borderId="12" xfId="0" applyNumberFormat="1" applyFont="1" applyFill="1" applyBorder="1" applyAlignment="1" applyProtection="1">
      <alignment horizontal="center" vertical="center"/>
    </xf>
    <xf numFmtId="0" fontId="62" fillId="2" borderId="13" xfId="24254" applyNumberFormat="1" applyFont="1" applyFill="1" applyBorder="1" applyAlignment="1" applyProtection="1">
      <alignment horizontal="center" vertical="center"/>
    </xf>
    <xf numFmtId="10" fontId="62" fillId="2" borderId="13" xfId="24254"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62" fillId="11" borderId="0" xfId="0" applyFont="1" applyFill="1" applyBorder="1" applyAlignment="1" applyProtection="1">
      <alignment vertical="center"/>
      <protection locked="0"/>
    </xf>
    <xf numFmtId="0" fontId="37" fillId="2" borderId="146" xfId="0" applyFont="1" applyFill="1" applyBorder="1" applyAlignment="1" applyProtection="1">
      <alignment horizontal="center" vertical="center"/>
    </xf>
    <xf numFmtId="0" fontId="62" fillId="2" borderId="7" xfId="24254" applyFont="1" applyFill="1" applyBorder="1" applyAlignment="1" applyProtection="1">
      <alignment horizontal="center" vertical="center" wrapText="1"/>
    </xf>
    <xf numFmtId="0" fontId="62" fillId="2" borderId="31" xfId="24254" applyFont="1" applyFill="1" applyBorder="1" applyAlignment="1" applyProtection="1">
      <alignment horizontal="center" vertical="center" wrapText="1"/>
    </xf>
    <xf numFmtId="0" fontId="62" fillId="2" borderId="36" xfId="24254"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77" fontId="62" fillId="2" borderId="10" xfId="24254" applyNumberFormat="1" applyFont="1" applyFill="1" applyBorder="1" applyAlignment="1" applyProtection="1">
      <alignment horizontal="center" vertical="center"/>
    </xf>
    <xf numFmtId="177" fontId="62" fillId="2" borderId="1" xfId="0" applyNumberFormat="1" applyFont="1" applyFill="1" applyBorder="1" applyAlignment="1" applyProtection="1">
      <alignment horizontal="center" vertical="center"/>
    </xf>
    <xf numFmtId="0" fontId="62" fillId="2" borderId="11" xfId="24254"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84" fontId="62" fillId="0" borderId="1" xfId="0" applyNumberFormat="1" applyFont="1" applyBorder="1" applyAlignment="1" applyProtection="1">
      <alignment vertical="center"/>
      <protection locked="0"/>
    </xf>
    <xf numFmtId="184" fontId="62"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4"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pplyProtection="1">
      <alignment horizontal="center" vertical="center"/>
    </xf>
    <xf numFmtId="0" fontId="62" fillId="2" borderId="10" xfId="0" applyFont="1" applyFill="1" applyBorder="1" applyAlignment="1" applyProtection="1">
      <alignment vertical="center"/>
    </xf>
    <xf numFmtId="184" fontId="62" fillId="2" borderId="1" xfId="0" applyNumberFormat="1" applyFont="1" applyFill="1" applyBorder="1" applyAlignment="1" applyProtection="1">
      <alignment vertical="center"/>
    </xf>
    <xf numFmtId="184" fontId="62" fillId="2" borderId="2" xfId="0" applyNumberFormat="1" applyFont="1" applyFill="1" applyBorder="1" applyAlignment="1" applyProtection="1">
      <alignment vertical="center"/>
    </xf>
    <xf numFmtId="9" fontId="62" fillId="2" borderId="33" xfId="0" applyNumberFormat="1" applyFont="1" applyFill="1" applyBorder="1" applyAlignment="1" applyProtection="1">
      <alignment horizontal="center" vertical="center"/>
    </xf>
    <xf numFmtId="177" fontId="62" fillId="2" borderId="12" xfId="24254" applyNumberFormat="1" applyFont="1" applyFill="1" applyBorder="1" applyAlignment="1" applyProtection="1">
      <alignment horizontal="center" vertical="center"/>
    </xf>
    <xf numFmtId="177" fontId="62" fillId="2" borderId="62" xfId="24254" applyNumberFormat="1" applyFont="1" applyFill="1" applyBorder="1" applyAlignment="1" applyProtection="1">
      <alignment horizontal="center" vertical="center"/>
    </xf>
    <xf numFmtId="0" fontId="62" fillId="2" borderId="46" xfId="24254" applyNumberFormat="1"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13" xfId="0" applyFont="1" applyFill="1" applyBorder="1" applyAlignment="1" applyProtection="1">
      <alignment vertical="center"/>
    </xf>
    <xf numFmtId="0" fontId="62" fillId="2" borderId="33" xfId="0" applyFont="1" applyFill="1" applyBorder="1" applyAlignment="1" applyProtection="1">
      <alignment vertical="center"/>
    </xf>
    <xf numFmtId="0" fontId="62" fillId="2" borderId="31" xfId="0" applyFont="1" applyFill="1" applyBorder="1" applyAlignment="1" applyProtection="1">
      <alignment vertical="center"/>
    </xf>
    <xf numFmtId="0" fontId="62" fillId="2" borderId="49" xfId="0" applyFont="1" applyFill="1" applyBorder="1" applyAlignment="1" applyProtection="1">
      <alignment vertical="center"/>
    </xf>
    <xf numFmtId="0" fontId="62" fillId="2" borderId="108" xfId="0" applyFont="1" applyFill="1" applyBorder="1" applyAlignment="1" applyProtection="1">
      <alignment horizontal="center" vertical="center" wrapText="1"/>
    </xf>
    <xf numFmtId="184"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4" fontId="62" fillId="0" borderId="2" xfId="0" applyNumberFormat="1" applyFont="1" applyBorder="1" applyAlignment="1" applyProtection="1">
      <alignment vertical="center"/>
      <protection locked="0"/>
    </xf>
    <xf numFmtId="0" fontId="62" fillId="2" borderId="10" xfId="0" applyFont="1" applyFill="1" applyBorder="1" applyAlignment="1" applyProtection="1">
      <alignment horizontal="center" vertical="center"/>
    </xf>
    <xf numFmtId="184"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4" fontId="62" fillId="2" borderId="11" xfId="0" applyNumberFormat="1" applyFont="1" applyFill="1" applyBorder="1" applyAlignment="1" applyProtection="1">
      <alignment vertical="center"/>
    </xf>
    <xf numFmtId="0" fontId="62" fillId="2" borderId="4" xfId="0" applyFont="1" applyFill="1" applyBorder="1" applyAlignment="1" applyProtection="1">
      <alignment vertical="center"/>
    </xf>
    <xf numFmtId="184" fontId="62" fillId="2" borderId="1" xfId="0" applyNumberFormat="1" applyFont="1" applyFill="1" applyBorder="1" applyAlignment="1" applyProtection="1">
      <alignment horizontal="center" vertical="center"/>
    </xf>
    <xf numFmtId="0" fontId="62" fillId="2" borderId="14" xfId="0" applyFont="1" applyFill="1" applyBorder="1" applyAlignment="1" applyProtection="1">
      <alignment vertical="center"/>
    </xf>
    <xf numFmtId="0" fontId="62" fillId="2" borderId="62" xfId="0" applyFont="1" applyFill="1" applyBorder="1" applyAlignment="1" applyProtection="1">
      <alignment vertical="center"/>
    </xf>
    <xf numFmtId="0" fontId="62" fillId="2" borderId="29" xfId="0" applyFont="1" applyFill="1" applyBorder="1" applyAlignment="1" applyProtection="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84"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0" fontId="37" fillId="0" borderId="1" xfId="0" applyNumberFormat="1" applyFont="1" applyBorder="1" applyAlignment="1" applyProtection="1">
      <alignment horizontal="center" vertical="center"/>
      <protection locked="0"/>
    </xf>
    <xf numFmtId="184"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0" fontId="62" fillId="0" borderId="1" xfId="0" applyNumberFormat="1" applyFont="1" applyFill="1" applyBorder="1" applyAlignment="1" applyProtection="1">
      <alignment horizontal="center" vertical="center"/>
      <protection locked="0"/>
    </xf>
    <xf numFmtId="184" fontId="62" fillId="0" borderId="11" xfId="0" applyNumberFormat="1" applyFont="1" applyFill="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190" fontId="62" fillId="2" borderId="1" xfId="0" applyNumberFormat="1" applyFont="1" applyFill="1" applyBorder="1" applyAlignment="1" applyProtection="1">
      <alignment horizontal="center" vertical="center"/>
    </xf>
    <xf numFmtId="184" fontId="62" fillId="2" borderId="11" xfId="0" applyNumberFormat="1" applyFont="1" applyFill="1" applyBorder="1" applyAlignment="1" applyProtection="1">
      <alignment horizontal="center" vertical="center"/>
    </xf>
    <xf numFmtId="0" fontId="62" fillId="2" borderId="1" xfId="0" applyFont="1" applyFill="1" applyBorder="1" applyAlignment="1" applyProtection="1">
      <alignment vertical="center" wrapText="1"/>
    </xf>
    <xf numFmtId="0" fontId="62" fillId="2" borderId="1" xfId="0" applyFont="1" applyFill="1" applyBorder="1" applyAlignment="1" applyProtection="1">
      <alignment horizontal="right" vertical="center" wrapText="1"/>
    </xf>
    <xf numFmtId="0" fontId="62" fillId="2" borderId="1" xfId="24254" applyFont="1" applyFill="1" applyBorder="1" applyAlignment="1" applyProtection="1">
      <alignment horizontal="center" vertical="center" wrapText="1"/>
    </xf>
    <xf numFmtId="0" fontId="62" fillId="2" borderId="1" xfId="0" applyFont="1" applyFill="1" applyBorder="1" applyAlignment="1" applyProtection="1">
      <alignment horizontal="right" vertical="center"/>
    </xf>
    <xf numFmtId="177"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77"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91" fontId="57" fillId="2" borderId="1" xfId="24254"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2" borderId="37" xfId="0" applyFont="1" applyFill="1" applyBorder="1" applyProtection="1">
      <alignment vertical="center"/>
    </xf>
    <xf numFmtId="0" fontId="62" fillId="2" borderId="38" xfId="0" applyFont="1" applyFill="1" applyBorder="1" applyProtection="1">
      <alignment vertical="center"/>
    </xf>
    <xf numFmtId="0" fontId="72" fillId="2" borderId="15" xfId="0" applyFont="1" applyFill="1" applyBorder="1" applyAlignment="1" applyProtection="1">
      <alignment vertical="center"/>
    </xf>
    <xf numFmtId="0" fontId="62" fillId="2" borderId="51" xfId="0" applyFont="1" applyFill="1" applyBorder="1" applyProtection="1">
      <alignment vertical="center"/>
    </xf>
    <xf numFmtId="0" fontId="72" fillId="2" borderId="8" xfId="0" applyFont="1" applyFill="1" applyBorder="1" applyAlignment="1" applyProtection="1">
      <alignment horizontal="center" vertical="center"/>
    </xf>
    <xf numFmtId="191" fontId="57" fillId="2" borderId="9" xfId="24254" applyNumberFormat="1" applyFont="1" applyFill="1" applyBorder="1" applyAlignment="1" applyProtection="1">
      <alignment horizontal="center" vertical="center"/>
    </xf>
    <xf numFmtId="0" fontId="62" fillId="2" borderId="58" xfId="0" applyFont="1" applyFill="1" applyBorder="1" applyProtection="1">
      <alignment vertical="center"/>
    </xf>
    <xf numFmtId="0" fontId="62" fillId="2" borderId="51" xfId="0" applyFont="1" applyFill="1" applyBorder="1" applyAlignment="1" applyProtection="1">
      <alignment vertical="center"/>
    </xf>
    <xf numFmtId="0" fontId="62" fillId="2" borderId="1" xfId="0" applyFont="1" applyFill="1" applyBorder="1" applyAlignment="1" applyProtection="1">
      <alignment vertical="center"/>
    </xf>
    <xf numFmtId="191" fontId="62" fillId="2" borderId="11" xfId="0" applyNumberFormat="1" applyFont="1" applyFill="1" applyBorder="1" applyAlignment="1" applyProtection="1">
      <alignment vertical="center"/>
    </xf>
    <xf numFmtId="0" fontId="62" fillId="2" borderId="111" xfId="0" applyFont="1" applyFill="1" applyBorder="1" applyAlignment="1" applyProtection="1">
      <alignment vertical="center"/>
    </xf>
    <xf numFmtId="0" fontId="62" fillId="2" borderId="27" xfId="0" applyFont="1" applyFill="1" applyBorder="1" applyProtection="1">
      <alignment vertical="center"/>
    </xf>
    <xf numFmtId="0" fontId="62" fillId="2" borderId="15" xfId="0" applyFont="1" applyFill="1" applyBorder="1" applyProtection="1">
      <alignment vertical="center"/>
    </xf>
    <xf numFmtId="191" fontId="72" fillId="2" borderId="9" xfId="24254" applyNumberFormat="1" applyFont="1" applyFill="1" applyBorder="1" applyAlignment="1" applyProtection="1">
      <alignment horizontal="center" vertical="center"/>
    </xf>
    <xf numFmtId="0" fontId="62" fillId="2" borderId="44" xfId="0" applyFont="1" applyFill="1" applyBorder="1" applyProtection="1">
      <alignment vertical="center"/>
    </xf>
    <xf numFmtId="0" fontId="62" fillId="2" borderId="62" xfId="0" applyFont="1" applyFill="1" applyBorder="1" applyProtection="1">
      <alignment vertical="center"/>
    </xf>
    <xf numFmtId="0" fontId="62" fillId="2" borderId="15" xfId="0" applyFont="1" applyFill="1" applyBorder="1" applyAlignment="1" applyProtection="1">
      <alignment vertical="center"/>
    </xf>
    <xf numFmtId="0" fontId="62" fillId="2"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2" borderId="27" xfId="0" applyFont="1" applyFill="1" applyBorder="1" applyAlignment="1" applyProtection="1">
      <alignment vertical="center"/>
    </xf>
    <xf numFmtId="0" fontId="62" fillId="2"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2" borderId="40" xfId="0" applyFont="1" applyFill="1" applyBorder="1" applyAlignment="1" applyProtection="1">
      <alignment vertical="center"/>
    </xf>
    <xf numFmtId="0" fontId="72" fillId="2" borderId="37" xfId="0" applyFont="1" applyFill="1" applyBorder="1" applyProtection="1">
      <alignment vertical="center"/>
    </xf>
    <xf numFmtId="0" fontId="62" fillId="2" borderId="35" xfId="0" applyFont="1" applyFill="1" applyBorder="1" applyProtection="1">
      <alignment vertical="center"/>
    </xf>
    <xf numFmtId="0" fontId="72" fillId="2" borderId="35" xfId="0" applyFont="1" applyFill="1" applyBorder="1" applyAlignment="1" applyProtection="1">
      <alignment horizontal="center" vertical="center"/>
    </xf>
    <xf numFmtId="191" fontId="57" fillId="2" borderId="17" xfId="24254" applyNumberFormat="1" applyFont="1" applyFill="1" applyBorder="1" applyAlignment="1" applyProtection="1">
      <alignment horizontal="center" vertical="center"/>
    </xf>
    <xf numFmtId="191" fontId="57" fillId="2" borderId="38" xfId="24254" applyNumberFormat="1" applyFont="1" applyFill="1" applyBorder="1" applyAlignment="1" applyProtection="1">
      <alignment horizontal="center" vertical="center"/>
    </xf>
    <xf numFmtId="191" fontId="57" fillId="2" borderId="39" xfId="24254"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0" fontId="62" fillId="2" borderId="16" xfId="0" applyFont="1" applyFill="1" applyBorder="1" applyAlignment="1" applyProtection="1">
      <alignment vertical="center"/>
    </xf>
    <xf numFmtId="0" fontId="62"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91" fontId="56" fillId="2" borderId="16" xfId="24254" applyNumberFormat="1" applyFont="1" applyFill="1" applyBorder="1" applyAlignment="1" applyProtection="1">
      <alignment horizontal="center" vertical="center"/>
    </xf>
    <xf numFmtId="0" fontId="62" fillId="2" borderId="112"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30" xfId="0" applyFont="1" applyFill="1" applyBorder="1" applyProtection="1">
      <alignment vertical="center"/>
    </xf>
    <xf numFmtId="180" fontId="88" fillId="0" borderId="1" xfId="24254" applyNumberFormat="1" applyFont="1" applyFill="1" applyBorder="1" applyAlignment="1" applyProtection="1">
      <alignment vertical="center"/>
      <protection locked="0" hidden="1"/>
    </xf>
    <xf numFmtId="191" fontId="6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2" fillId="2" borderId="30" xfId="0" applyFont="1" applyFill="1" applyBorder="1" applyAlignment="1" applyProtection="1">
      <alignment vertical="center"/>
    </xf>
    <xf numFmtId="180" fontId="37" fillId="0" borderId="1" xfId="24254" applyNumberFormat="1" applyFont="1" applyFill="1" applyBorder="1" applyAlignment="1" applyProtection="1">
      <alignment vertical="center"/>
      <protection locked="0" hidden="1"/>
    </xf>
    <xf numFmtId="180" fontId="62" fillId="0" borderId="1" xfId="24254"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0" xfId="0" applyFont="1" applyFill="1" applyBorder="1" applyProtection="1">
      <alignment vertical="center"/>
      <protection locked="0"/>
    </xf>
    <xf numFmtId="180" fontId="62" fillId="0" borderId="4" xfId="24254" applyNumberFormat="1" applyFont="1" applyFill="1" applyBorder="1" applyAlignment="1" applyProtection="1">
      <alignment vertical="center"/>
      <protection locked="0"/>
    </xf>
    <xf numFmtId="191" fontId="72" fillId="2" borderId="1" xfId="0" applyNumberFormat="1" applyFont="1" applyFill="1" applyBorder="1" applyAlignment="1" applyProtection="1">
      <alignment vertical="center"/>
    </xf>
    <xf numFmtId="191" fontId="72" fillId="2" borderId="1" xfId="0" applyNumberFormat="1" applyFont="1" applyFill="1" applyBorder="1" applyAlignment="1" applyProtection="1">
      <alignment horizontal="center" vertical="center"/>
    </xf>
    <xf numFmtId="191" fontId="72" fillId="2" borderId="11" xfId="0" applyNumberFormat="1" applyFont="1" applyFill="1" applyBorder="1" applyAlignment="1" applyProtection="1">
      <alignment vertical="center"/>
    </xf>
    <xf numFmtId="191" fontId="72" fillId="2" borderId="12" xfId="0" applyNumberFormat="1" applyFont="1" applyFill="1" applyBorder="1" applyAlignment="1" applyProtection="1">
      <alignment vertical="center"/>
    </xf>
    <xf numFmtId="0" fontId="62" fillId="2" borderId="42" xfId="0" applyFont="1" applyFill="1" applyBorder="1" applyProtection="1">
      <alignment vertical="center"/>
    </xf>
    <xf numFmtId="0" fontId="62" fillId="2" borderId="114" xfId="0" applyFont="1" applyFill="1" applyBorder="1" applyProtection="1">
      <alignment vertical="center"/>
    </xf>
    <xf numFmtId="0" fontId="62" fillId="2" borderId="40" xfId="0" applyFont="1" applyFill="1" applyBorder="1" applyProtection="1">
      <alignment vertical="center"/>
    </xf>
    <xf numFmtId="0" fontId="72" fillId="2" borderId="114" xfId="0" applyFont="1" applyFill="1" applyBorder="1" applyAlignment="1" applyProtection="1">
      <alignment horizontal="left" vertical="center"/>
    </xf>
    <xf numFmtId="0" fontId="62" fillId="2" borderId="61" xfId="0" applyFont="1" applyFill="1" applyBorder="1" applyAlignment="1" applyProtection="1">
      <alignment vertical="center"/>
    </xf>
    <xf numFmtId="0" fontId="62" fillId="2" borderId="33" xfId="0" applyFont="1" applyFill="1" applyBorder="1" applyProtection="1">
      <alignment vertical="center"/>
    </xf>
    <xf numFmtId="177" fontId="72" fillId="2" borderId="62" xfId="0" applyNumberFormat="1" applyFont="1" applyFill="1" applyBorder="1" applyAlignment="1" applyProtection="1">
      <alignment vertical="center"/>
    </xf>
    <xf numFmtId="177" fontId="72" fillId="2" borderId="13" xfId="0" applyNumberFormat="1" applyFont="1" applyFill="1" applyBorder="1" applyAlignment="1" applyProtection="1">
      <alignment vertical="center"/>
    </xf>
    <xf numFmtId="177" fontId="72" fillId="2" borderId="14" xfId="0" applyNumberFormat="1" applyFont="1" applyFill="1" applyBorder="1" applyAlignment="1" applyProtection="1">
      <alignment vertical="center"/>
    </xf>
    <xf numFmtId="0" fontId="62" fillId="2" borderId="16" xfId="0" applyFont="1" applyFill="1" applyBorder="1" applyProtection="1">
      <alignment vertical="center"/>
    </xf>
    <xf numFmtId="177" fontId="62" fillId="2" borderId="16" xfId="0" applyNumberFormat="1" applyFont="1" applyFill="1" applyBorder="1" applyProtection="1">
      <alignment vertical="center"/>
    </xf>
    <xf numFmtId="191" fontId="62" fillId="0" borderId="0" xfId="0" applyNumberFormat="1" applyFont="1" applyProtection="1">
      <alignment vertical="center"/>
      <protection locked="0"/>
    </xf>
    <xf numFmtId="0" fontId="62" fillId="2" borderId="1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2" borderId="39" xfId="0" applyFont="1" applyFill="1" applyBorder="1" applyProtection="1">
      <alignment vertical="center"/>
    </xf>
    <xf numFmtId="177" fontId="72" fillId="7" borderId="11" xfId="0" applyNumberFormat="1" applyFont="1" applyFill="1" applyBorder="1" applyAlignment="1" applyProtection="1">
      <alignment horizontal="center" vertical="center"/>
      <protection locked="0"/>
    </xf>
    <xf numFmtId="177" fontId="62" fillId="2" borderId="11" xfId="0" applyNumberFormat="1" applyFont="1" applyFill="1" applyBorder="1" applyAlignment="1" applyProtection="1">
      <alignment horizontal="center" vertical="center"/>
    </xf>
    <xf numFmtId="0" fontId="62" fillId="2" borderId="10" xfId="0" applyFont="1" applyFill="1" applyBorder="1" applyProtection="1">
      <alignment vertical="center"/>
    </xf>
    <xf numFmtId="0" fontId="62" fillId="2"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91" fontId="72" fillId="2" borderId="115"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2" fillId="2" borderId="14" xfId="0" applyFont="1" applyFill="1" applyBorder="1" applyProtection="1">
      <alignment vertical="center"/>
    </xf>
    <xf numFmtId="0" fontId="62" fillId="2" borderId="2" xfId="0" applyFont="1" applyFill="1" applyBorder="1" applyProtection="1">
      <alignment vertical="center"/>
    </xf>
    <xf numFmtId="191" fontId="62"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1"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77" fontId="37" fillId="0" borderId="1" xfId="0" applyNumberFormat="1" applyFont="1" applyBorder="1" applyAlignment="1" applyProtection="1">
      <alignment horizontal="center" vertical="center" wrapText="1"/>
      <protection locked="0"/>
    </xf>
    <xf numFmtId="177" fontId="6" fillId="2"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77" fontId="37" fillId="2" borderId="0" xfId="0" applyNumberFormat="1" applyFont="1" applyFill="1" applyBorder="1" applyAlignment="1" applyProtection="1">
      <alignment horizontal="center" vertical="center" wrapText="1"/>
    </xf>
    <xf numFmtId="177" fontId="38" fillId="2" borderId="0" xfId="0" applyNumberFormat="1" applyFont="1" applyFill="1" applyBorder="1" applyAlignment="1" applyProtection="1">
      <alignment horizontal="center" vertical="center" wrapText="1"/>
    </xf>
    <xf numFmtId="191" fontId="37" fillId="2" borderId="1" xfId="0" applyNumberFormat="1" applyFont="1" applyFill="1" applyBorder="1" applyAlignment="1" applyProtection="1">
      <alignment horizontal="center" vertical="center" wrapText="1"/>
    </xf>
    <xf numFmtId="191" fontId="37" fillId="2" borderId="3" xfId="0" applyNumberFormat="1" applyFont="1" applyFill="1" applyBorder="1" applyAlignment="1" applyProtection="1">
      <alignment horizontal="center" vertical="center" wrapText="1"/>
    </xf>
    <xf numFmtId="191" fontId="37" fillId="2" borderId="4" xfId="0" applyNumberFormat="1" applyFont="1" applyFill="1" applyBorder="1" applyAlignment="1" applyProtection="1">
      <alignment horizontal="center" vertical="center" wrapText="1"/>
    </xf>
    <xf numFmtId="191" fontId="37" fillId="2" borderId="15"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77" fontId="37" fillId="2" borderId="2" xfId="0" applyNumberFormat="1" applyFont="1" applyFill="1" applyBorder="1" applyAlignment="1" applyProtection="1">
      <alignment horizontal="left" vertical="center"/>
    </xf>
    <xf numFmtId="177" fontId="37" fillId="2" borderId="0" xfId="0" applyNumberFormat="1" applyFont="1" applyFill="1" applyBorder="1" applyAlignment="1" applyProtection="1">
      <alignment horizontal="center" vertical="center"/>
    </xf>
    <xf numFmtId="0" fontId="37" fillId="2" borderId="119" xfId="0" applyFont="1" applyFill="1" applyBorder="1" applyAlignment="1" applyProtection="1">
      <alignment horizontal="center" vertical="center"/>
    </xf>
    <xf numFmtId="177" fontId="37" fillId="2" borderId="119"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77" fontId="37" fillId="2"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91" fontId="37" fillId="0" borderId="16" xfId="0" applyNumberFormat="1" applyFont="1" applyFill="1" applyBorder="1" applyAlignment="1" applyProtection="1">
      <alignment horizontal="center" vertical="center" wrapText="1"/>
      <protection locked="0"/>
    </xf>
    <xf numFmtId="191"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3" borderId="16" xfId="0" applyFont="1" applyFill="1" applyBorder="1" applyAlignment="1" applyProtection="1">
      <alignment horizontal="center" vertical="center" wrapText="1"/>
      <protection locked="0"/>
    </xf>
    <xf numFmtId="191" fontId="62" fillId="2" borderId="1" xfId="0" applyNumberFormat="1" applyFont="1" applyFill="1" applyBorder="1" applyAlignment="1" applyProtection="1">
      <alignment horizontal="center" vertical="center" wrapText="1"/>
    </xf>
    <xf numFmtId="191" fontId="62" fillId="0" borderId="16" xfId="0" applyNumberFormat="1" applyFont="1" applyFill="1" applyBorder="1" applyAlignment="1" applyProtection="1">
      <alignment horizontal="center" vertical="center" wrapText="1"/>
      <protection locked="0"/>
    </xf>
    <xf numFmtId="191" fontId="62" fillId="2" borderId="16" xfId="0" applyNumberFormat="1" applyFont="1" applyFill="1" applyBorder="1" applyAlignment="1" applyProtection="1">
      <alignment horizontal="center" vertical="center" wrapText="1"/>
    </xf>
    <xf numFmtId="191" fontId="62"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91" fontId="37" fillId="0" borderId="1" xfId="0" applyNumberFormat="1" applyFont="1" applyBorder="1" applyAlignment="1" applyProtection="1">
      <alignment vertical="center" wrapText="1"/>
      <protection locked="0"/>
    </xf>
    <xf numFmtId="191" fontId="62" fillId="0" borderId="1" xfId="0" applyNumberFormat="1" applyFont="1" applyBorder="1" applyAlignment="1" applyProtection="1">
      <alignment vertical="center" wrapText="1"/>
      <protection locked="0"/>
    </xf>
    <xf numFmtId="177" fontId="37"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77" fontId="37"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77" fontId="37" fillId="2" borderId="16" xfId="0" applyNumberFormat="1" applyFont="1" applyFill="1" applyBorder="1" applyAlignment="1" applyProtection="1">
      <alignment horizontal="center" vertical="center" wrapText="1"/>
    </xf>
    <xf numFmtId="191" fontId="37" fillId="0" borderId="1" xfId="0" applyNumberFormat="1" applyFont="1" applyBorder="1" applyAlignment="1" applyProtection="1">
      <alignment horizontal="center" vertical="center" wrapText="1"/>
      <protection locked="0"/>
    </xf>
    <xf numFmtId="191" fontId="62"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112" xfId="0" applyFont="1" applyFill="1" applyBorder="1" applyAlignment="1" applyProtection="1">
      <alignment horizontal="left" vertical="center"/>
    </xf>
    <xf numFmtId="177" fontId="37" fillId="2" borderId="34"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191"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1"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1" fontId="37" fillId="0" borderId="1" xfId="0" applyNumberFormat="1" applyFont="1" applyFill="1" applyBorder="1" applyAlignment="1" applyProtection="1">
      <alignment horizontal="center" vertical="center" wrapText="1"/>
      <protection locked="0"/>
    </xf>
    <xf numFmtId="191"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1" fontId="37" fillId="2" borderId="8" xfId="0" applyNumberFormat="1" applyFont="1" applyFill="1" applyBorder="1" applyAlignment="1" applyProtection="1">
      <alignment horizontal="center" vertical="center" wrapText="1"/>
    </xf>
    <xf numFmtId="191" fontId="37" fillId="2" borderId="10" xfId="0" applyNumberFormat="1" applyFont="1" applyFill="1" applyBorder="1" applyAlignment="1" applyProtection="1">
      <alignment horizontal="center" vertical="center" wrapText="1"/>
    </xf>
    <xf numFmtId="177" fontId="37"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7" fillId="2" borderId="112" xfId="0" applyFont="1" applyFill="1" applyBorder="1" applyAlignment="1" applyProtection="1">
      <alignment horizontal="center" vertical="center"/>
    </xf>
    <xf numFmtId="0" fontId="37" fillId="2" borderId="119" xfId="0" applyFont="1" applyFill="1" applyBorder="1" applyAlignment="1" applyProtection="1">
      <alignment horizontal="center" vertical="center" wrapText="1"/>
    </xf>
    <xf numFmtId="177" fontId="37"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77" fontId="37" fillId="2" borderId="112" xfId="0" applyNumberFormat="1" applyFont="1" applyFill="1" applyBorder="1" applyAlignment="1" applyProtection="1">
      <alignment horizontal="center" vertical="center"/>
    </xf>
    <xf numFmtId="191" fontId="37" fillId="2" borderId="9" xfId="0" applyNumberFormat="1" applyFont="1" applyFill="1" applyBorder="1" applyAlignment="1" applyProtection="1">
      <alignment horizontal="center" vertical="center" wrapText="1"/>
    </xf>
    <xf numFmtId="191" fontId="37" fillId="2" borderId="11"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1" fontId="62" fillId="2" borderId="11" xfId="0" applyNumberFormat="1" applyFont="1" applyFill="1" applyBorder="1" applyAlignment="1" applyProtection="1">
      <alignment horizontal="center" vertical="center" wrapText="1"/>
    </xf>
    <xf numFmtId="191"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1"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4"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2"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4"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6" borderId="48"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16" borderId="127" xfId="0" applyFont="1" applyFill="1" applyBorder="1" applyAlignment="1" applyProtection="1">
      <alignment vertical="center" wrapText="1"/>
    </xf>
    <xf numFmtId="0" fontId="37" fillId="3" borderId="127" xfId="0" applyFont="1" applyFill="1" applyBorder="1" applyAlignment="1" applyProtection="1">
      <alignment horizontal="left" vertical="center"/>
      <protection locked="0"/>
    </xf>
    <xf numFmtId="0" fontId="37" fillId="3" borderId="128" xfId="0" applyFont="1" applyFill="1" applyBorder="1" applyAlignment="1" applyProtection="1">
      <alignment vertical="center" wrapText="1"/>
    </xf>
    <xf numFmtId="0" fontId="37" fillId="3" borderId="135"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6" borderId="16" xfId="0" applyFont="1" applyFill="1" applyBorder="1" applyAlignment="1" applyProtection="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6" borderId="48"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6"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6" borderId="96" xfId="0" applyFont="1" applyFill="1" applyBorder="1" applyAlignment="1" applyProtection="1">
      <alignment vertical="center" wrapText="1"/>
    </xf>
    <xf numFmtId="189" fontId="37" fillId="0" borderId="1" xfId="0" applyNumberFormat="1" applyFont="1" applyFill="1" applyBorder="1" applyAlignment="1" applyProtection="1">
      <alignment horizontal="center" vertical="center" shrinkToFit="1"/>
      <protection locked="0"/>
    </xf>
    <xf numFmtId="180" fontId="37" fillId="3" borderId="1" xfId="24254"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2" borderId="96" xfId="0" applyFont="1" applyFill="1" applyBorder="1" applyAlignment="1" applyProtection="1">
      <alignment vertical="center" wrapText="1"/>
    </xf>
    <xf numFmtId="177" fontId="37" fillId="2" borderId="1" xfId="0" applyNumberFormat="1" applyFont="1" applyFill="1" applyBorder="1" applyAlignment="1" applyProtection="1">
      <alignment horizontal="center" vertical="center" wrapText="1"/>
    </xf>
    <xf numFmtId="49" fontId="37" fillId="2" borderId="64" xfId="0" applyNumberFormat="1" applyFont="1" applyFill="1" applyBorder="1" applyAlignment="1" applyProtection="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30"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9" fontId="40" fillId="0" borderId="11" xfId="0" applyNumberFormat="1" applyFont="1" applyFill="1" applyBorder="1" applyAlignment="1" applyProtection="1">
      <alignment vertical="center" shrinkToFit="1"/>
      <protection locked="0"/>
    </xf>
    <xf numFmtId="0" fontId="37" fillId="2" borderId="49" xfId="0" applyFont="1" applyFill="1" applyBorder="1" applyAlignment="1" applyProtection="1">
      <alignment vertical="center" wrapText="1"/>
    </xf>
    <xf numFmtId="189"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2" borderId="136"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12" xfId="0" applyFont="1" applyFill="1" applyBorder="1" applyAlignment="1" applyProtection="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6" borderId="64"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59" fillId="2" borderId="154" xfId="0" applyFont="1" applyFill="1" applyBorder="1" applyAlignment="1" applyProtection="1">
      <alignment vertical="center"/>
    </xf>
    <xf numFmtId="0" fontId="39" fillId="2" borderId="154" xfId="0" applyFont="1" applyFill="1" applyBorder="1" applyAlignment="1" applyProtection="1">
      <alignment vertical="center" wrapText="1"/>
    </xf>
    <xf numFmtId="0" fontId="39" fillId="2" borderId="2" xfId="0" applyFont="1" applyFill="1" applyBorder="1" applyAlignment="1" applyProtection="1">
      <alignment vertical="center"/>
    </xf>
    <xf numFmtId="0" fontId="37"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horizontal="left" vertical="center"/>
      <protection locked="0"/>
    </xf>
    <xf numFmtId="0" fontId="37" fillId="11" borderId="112" xfId="0" applyFont="1" applyFill="1" applyBorder="1" applyAlignment="1" applyProtection="1">
      <alignment vertical="center" wrapText="1"/>
    </xf>
    <xf numFmtId="180" fontId="37" fillId="2" borderId="50" xfId="0" applyNumberFormat="1" applyFont="1" applyFill="1" applyBorder="1" applyAlignment="1" applyProtection="1">
      <alignment horizontal="center" vertical="center" wrapText="1"/>
      <protection locked="0"/>
    </xf>
    <xf numFmtId="177" fontId="37" fillId="2" borderId="5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77" fontId="37" fillId="2" borderId="5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0" xfId="0" applyFont="1" applyFill="1" applyBorder="1" applyAlignment="1" applyProtection="1">
      <alignment horizontal="center" vertical="center" wrapText="1"/>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7" fontId="37" fillId="2"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2" fillId="2" borderId="119" xfId="0" applyFont="1" applyFill="1" applyBorder="1" applyAlignment="1" applyProtection="1">
      <alignment horizontal="center" vertical="center" wrapText="1"/>
    </xf>
    <xf numFmtId="0" fontId="8" fillId="2" borderId="6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20477" applyFont="1" applyFill="1" applyAlignment="1">
      <alignment horizontal="left" vertical="center"/>
    </xf>
    <xf numFmtId="0" fontId="89" fillId="0" borderId="0" xfId="20477" applyFont="1" applyAlignment="1">
      <alignment horizontal="left" vertical="center"/>
    </xf>
    <xf numFmtId="0" fontId="113" fillId="0" borderId="0" xfId="20477" applyFont="1" applyAlignment="1">
      <alignment horizontal="left" vertical="center"/>
    </xf>
    <xf numFmtId="0" fontId="114" fillId="0" borderId="0" xfId="20477" applyFont="1" applyAlignment="1">
      <alignment horizontal="left" vertical="center"/>
    </xf>
    <xf numFmtId="0" fontId="115" fillId="0" borderId="0" xfId="20477" applyFont="1" applyAlignment="1">
      <alignment horizontal="left" vertical="center"/>
    </xf>
    <xf numFmtId="14" fontId="115" fillId="0" borderId="0" xfId="20477" applyNumberFormat="1" applyFont="1" applyAlignment="1">
      <alignment horizontal="left" vertical="center"/>
    </xf>
    <xf numFmtId="0" fontId="116" fillId="0" borderId="0" xfId="20477" applyFont="1" applyAlignment="1">
      <alignment horizontal="left" vertical="center"/>
    </xf>
    <xf numFmtId="0" fontId="117" fillId="3" borderId="15" xfId="20477" applyFont="1" applyFill="1" applyBorder="1" applyAlignment="1">
      <alignment horizontal="left" vertical="center"/>
    </xf>
    <xf numFmtId="0" fontId="118" fillId="0" borderId="1" xfId="20477" applyFont="1" applyBorder="1" applyAlignment="1">
      <alignment horizontal="left" vertical="center"/>
    </xf>
    <xf numFmtId="0" fontId="118" fillId="0" borderId="2" xfId="20477" applyFont="1" applyBorder="1" applyAlignment="1">
      <alignment horizontal="left" vertical="center"/>
    </xf>
    <xf numFmtId="0" fontId="117" fillId="3" borderId="157" xfId="20477" applyFont="1" applyFill="1" applyBorder="1" applyAlignment="1">
      <alignment horizontal="left" vertical="center"/>
    </xf>
    <xf numFmtId="0" fontId="118" fillId="0" borderId="1" xfId="20477" applyFont="1" applyFill="1" applyBorder="1" applyAlignment="1">
      <alignment horizontal="left" vertical="center"/>
    </xf>
    <xf numFmtId="195" fontId="118" fillId="0" borderId="1" xfId="20477" applyNumberFormat="1" applyFont="1" applyFill="1" applyBorder="1" applyAlignment="1">
      <alignment horizontal="left" vertical="center"/>
    </xf>
    <xf numFmtId="195" fontId="119" fillId="0" borderId="2" xfId="20477" applyNumberFormat="1" applyFont="1" applyFill="1" applyBorder="1" applyAlignment="1">
      <alignment horizontal="left" vertical="center"/>
    </xf>
    <xf numFmtId="0" fontId="118" fillId="0" borderId="158" xfId="20477" applyFont="1" applyFill="1" applyBorder="1" applyAlignment="1">
      <alignment horizontal="left" vertical="center"/>
    </xf>
    <xf numFmtId="189" fontId="118" fillId="0" borderId="1" xfId="20477" applyNumberFormat="1" applyFont="1" applyFill="1" applyBorder="1" applyAlignment="1">
      <alignment horizontal="left" vertical="center"/>
    </xf>
    <xf numFmtId="0" fontId="119" fillId="0" borderId="1" xfId="20477" applyFont="1" applyFill="1" applyBorder="1" applyAlignment="1">
      <alignment horizontal="left" vertical="center"/>
    </xf>
    <xf numFmtId="195" fontId="118" fillId="0" borderId="2" xfId="20477" applyNumberFormat="1" applyFont="1" applyFill="1" applyBorder="1" applyAlignment="1">
      <alignment horizontal="left" vertical="center"/>
    </xf>
    <xf numFmtId="0" fontId="119" fillId="0" borderId="0" xfId="20477" applyFont="1" applyFill="1" applyAlignment="1">
      <alignment horizontal="left" vertical="center"/>
    </xf>
    <xf numFmtId="0" fontId="117" fillId="0" borderId="1" xfId="20477" applyFont="1" applyFill="1" applyBorder="1" applyAlignment="1">
      <alignment horizontal="left" vertical="center"/>
    </xf>
    <xf numFmtId="0" fontId="115" fillId="0" borderId="1" xfId="20477" applyFont="1" applyBorder="1" applyAlignment="1">
      <alignment horizontal="left" vertical="center"/>
    </xf>
    <xf numFmtId="189" fontId="118" fillId="0" borderId="2" xfId="20477" applyNumberFormat="1" applyFont="1" applyFill="1" applyBorder="1" applyAlignment="1">
      <alignment horizontal="left" vertical="center"/>
    </xf>
    <xf numFmtId="0" fontId="115" fillId="0" borderId="158" xfId="20477" applyFont="1" applyBorder="1" applyAlignment="1">
      <alignment horizontal="left" vertical="center"/>
    </xf>
    <xf numFmtId="0" fontId="120" fillId="0" borderId="1" xfId="20477" applyFont="1" applyBorder="1" applyAlignment="1">
      <alignment horizontal="left" vertical="center"/>
    </xf>
    <xf numFmtId="189" fontId="120" fillId="0" borderId="1" xfId="0" applyNumberFormat="1" applyFont="1" applyFill="1" applyBorder="1" applyAlignment="1">
      <alignment horizontal="left" vertical="center"/>
    </xf>
    <xf numFmtId="14" fontId="115" fillId="0" borderId="1" xfId="20477" applyNumberFormat="1" applyFont="1" applyBorder="1" applyAlignment="1">
      <alignment horizontal="left" vertical="center"/>
    </xf>
    <xf numFmtId="14" fontId="115" fillId="0" borderId="2" xfId="20477" applyNumberFormat="1" applyFont="1" applyBorder="1" applyAlignment="1">
      <alignment horizontal="left" vertical="center"/>
    </xf>
    <xf numFmtId="14" fontId="113" fillId="0" borderId="0" xfId="20477" applyNumberFormat="1" applyFont="1" applyAlignment="1">
      <alignment horizontal="left" vertical="center"/>
    </xf>
    <xf numFmtId="14" fontId="113" fillId="0" borderId="159" xfId="20477" applyNumberFormat="1" applyFont="1" applyBorder="1" applyAlignment="1">
      <alignment horizontal="left" vertical="center"/>
    </xf>
    <xf numFmtId="0" fontId="113" fillId="0" borderId="0" xfId="20477" applyFont="1" applyBorder="1" applyAlignment="1">
      <alignment horizontal="left" vertical="center"/>
    </xf>
    <xf numFmtId="0" fontId="121" fillId="0" borderId="0" xfId="20477"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2" fillId="0" borderId="0" xfId="0" applyFont="1" applyProtection="1">
      <alignment vertical="center"/>
    </xf>
    <xf numFmtId="0" fontId="89"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8" borderId="2" xfId="0" applyFont="1" applyFill="1" applyBorder="1" applyAlignment="1" applyProtection="1">
      <alignment vertical="center"/>
    </xf>
    <xf numFmtId="0" fontId="8" fillId="5" borderId="3" xfId="0" applyFont="1" applyFill="1" applyBorder="1" applyAlignment="1" applyProtection="1">
      <alignment vertical="center"/>
    </xf>
    <xf numFmtId="0" fontId="8" fillId="5" borderId="4" xfId="0" applyFont="1" applyFill="1" applyBorder="1" applyAlignment="1" applyProtection="1">
      <alignment vertical="center"/>
    </xf>
    <xf numFmtId="0" fontId="126" fillId="0" borderId="0" xfId="0" applyFont="1" applyProtection="1">
      <alignment vertical="center"/>
    </xf>
    <xf numFmtId="0" fontId="112" fillId="0" borderId="0" xfId="0" applyFont="1" applyAlignment="1" applyProtection="1">
      <alignment horizontal="left" vertical="center"/>
    </xf>
    <xf numFmtId="191" fontId="112" fillId="0" borderId="0" xfId="0" applyNumberFormat="1" applyFont="1" applyAlignment="1" applyProtection="1">
      <alignment horizontal="left" vertical="center"/>
    </xf>
    <xf numFmtId="0" fontId="8" fillId="0" borderId="0" xfId="0" applyFont="1" applyProtection="1">
      <alignment vertical="center"/>
      <protection locked="0"/>
    </xf>
    <xf numFmtId="0" fontId="127" fillId="0" borderId="0" xfId="0" applyFont="1" applyBorder="1" applyAlignment="1" applyProtection="1">
      <alignment horizontal="left" vertical="center"/>
    </xf>
    <xf numFmtId="0" fontId="8"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8" fillId="0" borderId="0" xfId="20481" applyFont="1">
      <alignment vertical="center"/>
    </xf>
    <xf numFmtId="0" fontId="128" fillId="0" borderId="0" xfId="20481" applyFont="1" applyProtection="1">
      <alignment vertical="center"/>
    </xf>
    <xf numFmtId="0" fontId="48" fillId="0" borderId="0" xfId="20481" applyFont="1" applyProtection="1">
      <alignment vertical="center"/>
    </xf>
    <xf numFmtId="0" fontId="128" fillId="0" borderId="0" xfId="20481" applyFont="1" applyAlignment="1" applyProtection="1">
      <alignment horizontal="center" vertical="center"/>
    </xf>
    <xf numFmtId="0" fontId="50" fillId="0" borderId="16" xfId="20481" applyFont="1" applyFill="1" applyBorder="1" applyAlignment="1" applyProtection="1">
      <alignment horizontal="left" vertical="center" wrapText="1"/>
    </xf>
    <xf numFmtId="0" fontId="41" fillId="0" borderId="16" xfId="20481" applyFont="1" applyFill="1" applyBorder="1" applyAlignment="1" applyProtection="1">
      <alignment horizontal="center" vertical="center" wrapText="1"/>
    </xf>
    <xf numFmtId="0" fontId="103" fillId="0" borderId="1" xfId="20481" applyFont="1" applyFill="1" applyBorder="1" applyAlignment="1" applyProtection="1">
      <alignment horizontal="left" vertical="center" wrapText="1"/>
    </xf>
    <xf numFmtId="0" fontId="41" fillId="0" borderId="1" xfId="20481" applyFont="1" applyFill="1" applyBorder="1" applyAlignment="1" applyProtection="1">
      <alignment horizontal="center" vertical="center" wrapText="1"/>
    </xf>
    <xf numFmtId="0" fontId="134" fillId="0" borderId="1" xfId="20481" applyFont="1" applyFill="1" applyBorder="1" applyAlignment="1" applyProtection="1">
      <alignment horizontal="left" vertical="center" wrapText="1"/>
    </xf>
    <xf numFmtId="0" fontId="77" fillId="0" borderId="2" xfId="20481" applyFont="1" applyFill="1" applyBorder="1" applyAlignment="1" applyProtection="1">
      <alignment vertical="center" wrapText="1"/>
    </xf>
    <xf numFmtId="0" fontId="102" fillId="0" borderId="1" xfId="20481" applyFont="1" applyFill="1" applyBorder="1" applyAlignment="1" applyProtection="1">
      <alignment horizontal="left" vertical="center" wrapText="1"/>
    </xf>
    <xf numFmtId="0" fontId="77" fillId="0" borderId="1" xfId="20481" applyFont="1" applyFill="1" applyBorder="1" applyAlignment="1" applyProtection="1">
      <alignment horizontal="center" vertical="center" wrapText="1"/>
    </xf>
    <xf numFmtId="0" fontId="50" fillId="0" borderId="1" xfId="20481" applyFont="1" applyFill="1" applyBorder="1" applyAlignment="1" applyProtection="1">
      <alignment horizontal="left" vertical="center" wrapText="1"/>
    </xf>
    <xf numFmtId="0" fontId="41" fillId="0" borderId="4" xfId="20481" applyFont="1" applyFill="1" applyBorder="1" applyAlignment="1" applyProtection="1">
      <alignment horizontal="center" vertical="center" wrapText="1"/>
    </xf>
    <xf numFmtId="0" fontId="77" fillId="0" borderId="4" xfId="20481" applyFont="1" applyFill="1" applyBorder="1" applyAlignment="1" applyProtection="1">
      <alignment horizontal="center" vertical="center" wrapText="1"/>
    </xf>
    <xf numFmtId="0" fontId="61" fillId="0" borderId="1" xfId="20481" applyFont="1" applyBorder="1" applyAlignment="1">
      <alignment horizontal="center" vertical="center"/>
    </xf>
    <xf numFmtId="0" fontId="103" fillId="0" borderId="6" xfId="20481" applyFont="1" applyFill="1" applyBorder="1" applyAlignment="1" applyProtection="1">
      <alignment horizontal="left" vertical="center" wrapText="1"/>
    </xf>
    <xf numFmtId="0" fontId="77" fillId="0" borderId="6" xfId="20481" applyFont="1" applyFill="1" applyBorder="1" applyAlignment="1" applyProtection="1">
      <alignment horizontal="center" vertical="center" wrapText="1"/>
    </xf>
    <xf numFmtId="0" fontId="6" fillId="0" borderId="0" xfId="20481" applyFont="1" applyProtection="1">
      <alignment vertical="center"/>
    </xf>
    <xf numFmtId="0" fontId="48" fillId="0" borderId="0" xfId="20481" applyFont="1" applyProtection="1">
      <alignment vertical="center"/>
      <protection locked="0"/>
    </xf>
    <xf numFmtId="0" fontId="130" fillId="0" borderId="0" xfId="20481" applyFont="1" applyProtection="1">
      <alignment vertical="center"/>
      <protection locked="0"/>
    </xf>
    <xf numFmtId="0" fontId="135" fillId="0" borderId="0" xfId="0" applyFont="1" applyBorder="1" applyAlignment="1">
      <alignment horizontal="center" vertical="center"/>
    </xf>
    <xf numFmtId="0" fontId="4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9"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20477" applyFont="1">
      <alignment vertical="center"/>
    </xf>
    <xf numFmtId="0" fontId="8" fillId="0" borderId="0" xfId="20477">
      <alignment vertical="center"/>
    </xf>
    <xf numFmtId="0" fontId="139" fillId="0" borderId="0" xfId="20477" applyFont="1" applyAlignment="1">
      <alignment vertical="top" wrapText="1"/>
    </xf>
    <xf numFmtId="0" fontId="140" fillId="0" borderId="0" xfId="20477" applyFont="1">
      <alignment vertical="center"/>
    </xf>
    <xf numFmtId="0" fontId="113" fillId="0" borderId="5" xfId="0" applyFont="1" applyBorder="1" applyProtection="1">
      <alignment vertical="center"/>
    </xf>
    <xf numFmtId="0" fontId="113" fillId="0" borderId="134" xfId="0" applyFont="1" applyBorder="1" applyProtection="1">
      <alignment vertical="center"/>
    </xf>
    <xf numFmtId="0" fontId="113" fillId="0" borderId="0" xfId="0" applyFont="1" applyBorder="1" applyProtection="1">
      <alignment vertical="center"/>
    </xf>
    <xf numFmtId="0" fontId="113" fillId="0" borderId="0" xfId="20484"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20484" applyFont="1" applyBorder="1" applyAlignment="1" applyProtection="1">
      <alignment horizontal="left" vertical="center" wrapText="1"/>
    </xf>
    <xf numFmtId="0" fontId="50" fillId="0" borderId="6" xfId="0" applyFont="1" applyBorder="1" applyAlignment="1" applyProtection="1">
      <alignment horizontal="left" vertical="center"/>
    </xf>
    <xf numFmtId="0" fontId="113" fillId="0" borderId="123" xfId="20484"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1" xfId="20484"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20484" applyFont="1" applyBorder="1" applyAlignment="1" applyProtection="1">
      <alignment vertical="center" wrapText="1"/>
    </xf>
    <xf numFmtId="0" fontId="113" fillId="0" borderId="6" xfId="0" applyFont="1" applyBorder="1" applyAlignment="1" applyProtection="1">
      <alignment horizontal="left" vertical="center"/>
    </xf>
    <xf numFmtId="198" fontId="113" fillId="0" borderId="6" xfId="0" applyNumberFormat="1" applyFont="1" applyBorder="1" applyAlignment="1" applyProtection="1">
      <alignment horizontal="left" vertical="center"/>
    </xf>
    <xf numFmtId="0" fontId="113" fillId="0" borderId="16" xfId="20484"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xf numFmtId="0" fontId="171" fillId="5" borderId="0" xfId="0" applyFont="1" applyFill="1" applyProtection="1">
      <alignment vertical="center"/>
      <protection locked="0"/>
    </xf>
    <xf numFmtId="0" fontId="171" fillId="3" borderId="0" xfId="0" applyFont="1" applyFill="1" applyProtection="1">
      <alignment vertical="center"/>
      <protection locked="0"/>
    </xf>
    <xf numFmtId="180" fontId="37" fillId="49" borderId="1" xfId="24254" applyNumberFormat="1" applyFont="1" applyFill="1" applyBorder="1" applyAlignment="1" applyProtection="1">
      <alignment horizontal="center" vertical="center"/>
      <protection locked="0"/>
    </xf>
    <xf numFmtId="10" fontId="37" fillId="49" borderId="1" xfId="24254" applyNumberFormat="1" applyFont="1" applyFill="1" applyBorder="1" applyAlignment="1" applyProtection="1">
      <alignment horizontal="center" vertical="center"/>
      <protection locked="0"/>
    </xf>
    <xf numFmtId="0" fontId="62" fillId="49" borderId="10" xfId="0" applyFont="1" applyFill="1" applyBorder="1" applyAlignment="1" applyProtection="1">
      <alignment vertical="center"/>
      <protection locked="0"/>
    </xf>
    <xf numFmtId="0" fontId="62" fillId="49" borderId="10" xfId="0" applyFont="1" applyFill="1" applyBorder="1" applyAlignment="1" applyProtection="1">
      <alignment horizontal="center" vertical="center"/>
      <protection locked="0"/>
    </xf>
    <xf numFmtId="0" fontId="62" fillId="0" borderId="10" xfId="0" applyFont="1" applyFill="1" applyBorder="1" applyAlignment="1" applyProtection="1">
      <alignment vertical="center"/>
      <protection locked="0"/>
    </xf>
    <xf numFmtId="0" fontId="140" fillId="0" borderId="0" xfId="20477" applyFont="1" applyAlignment="1" applyProtection="1">
      <alignment horizontal="left" vertical="top" wrapText="1"/>
    </xf>
    <xf numFmtId="0" fontId="41" fillId="0" borderId="15" xfId="20481" applyFont="1" applyFill="1" applyBorder="1" applyAlignment="1" applyProtection="1">
      <alignment horizontal="left" vertical="center" wrapText="1"/>
    </xf>
    <xf numFmtId="0" fontId="41" fillId="0" borderId="64" xfId="20481" applyFont="1" applyFill="1" applyBorder="1" applyAlignment="1" applyProtection="1">
      <alignment horizontal="left" vertical="center" wrapText="1"/>
    </xf>
    <xf numFmtId="0" fontId="41" fillId="0" borderId="16" xfId="20481" applyFont="1" applyFill="1" applyBorder="1" applyAlignment="1" applyProtection="1">
      <alignment horizontal="left" vertical="center" wrapText="1"/>
    </xf>
    <xf numFmtId="0" fontId="41" fillId="0" borderId="15" xfId="20481" applyFont="1" applyFill="1" applyBorder="1" applyAlignment="1" applyProtection="1">
      <alignment vertical="center" wrapText="1"/>
    </xf>
    <xf numFmtId="0" fontId="41" fillId="0" borderId="64" xfId="20481" applyFont="1" applyFill="1" applyBorder="1" applyAlignment="1" applyProtection="1">
      <alignment vertical="center" wrapText="1"/>
    </xf>
    <xf numFmtId="0" fontId="41" fillId="0" borderId="16" xfId="20481" applyFont="1" applyFill="1" applyBorder="1" applyAlignment="1" applyProtection="1">
      <alignment vertical="center" wrapText="1"/>
    </xf>
    <xf numFmtId="0" fontId="41" fillId="0" borderId="121" xfId="20481" applyFont="1" applyFill="1" applyBorder="1" applyAlignment="1" applyProtection="1">
      <alignment horizontal="left" vertical="center" wrapText="1"/>
    </xf>
    <xf numFmtId="0" fontId="130" fillId="0" borderId="0" xfId="20481" applyFont="1" applyAlignment="1" applyProtection="1">
      <alignment horizontal="left" vertical="center" wrapText="1"/>
    </xf>
    <xf numFmtId="0" fontId="128" fillId="0" borderId="0" xfId="20481" applyFont="1" applyAlignment="1" applyProtection="1">
      <alignment horizontal="center" vertical="center"/>
    </xf>
    <xf numFmtId="0" fontId="128" fillId="0" borderId="5" xfId="20481"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83" fontId="77"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77" fillId="0" borderId="1" xfId="0" applyFont="1" applyFill="1" applyBorder="1" applyAlignment="1" applyProtection="1">
      <alignment horizontal="center" vertical="center" wrapText="1"/>
    </xf>
    <xf numFmtId="183" fontId="77" fillId="0" borderId="1" xfId="0" applyNumberFormat="1" applyFont="1" applyFill="1" applyBorder="1" applyAlignment="1" applyProtection="1">
      <alignment horizontal="center" vertical="center" wrapText="1"/>
    </xf>
    <xf numFmtId="183" fontId="77" fillId="0" borderId="2" xfId="0" applyNumberFormat="1" applyFont="1" applyFill="1" applyBorder="1" applyAlignment="1" applyProtection="1">
      <alignment horizontal="center" vertical="center" wrapText="1"/>
    </xf>
    <xf numFmtId="183" fontId="77" fillId="0" borderId="3" xfId="0" applyNumberFormat="1" applyFont="1" applyFill="1" applyBorder="1" applyAlignment="1" applyProtection="1">
      <alignment horizontal="center" vertical="center" wrapText="1"/>
    </xf>
    <xf numFmtId="183" fontId="77" fillId="0" borderId="4" xfId="0"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198" fontId="133" fillId="0" borderId="0" xfId="0" applyNumberFormat="1" applyFont="1" applyAlignment="1" applyProtection="1">
      <alignment horizontal="right" vertical="center"/>
      <protection locked="0"/>
    </xf>
    <xf numFmtId="0" fontId="103"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64"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19"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7" fillId="3" borderId="1" xfId="20477" applyFont="1" applyFill="1" applyBorder="1" applyAlignment="1">
      <alignment horizontal="left" vertical="center"/>
    </xf>
    <xf numFmtId="0" fontId="118" fillId="0" borderId="1" xfId="20477" applyFont="1" applyBorder="1" applyAlignment="1">
      <alignment horizontal="left" vertical="center"/>
    </xf>
    <xf numFmtId="0" fontId="118" fillId="0" borderId="158" xfId="20477" applyFont="1" applyBorder="1" applyAlignment="1">
      <alignment horizontal="left" vertical="center"/>
    </xf>
    <xf numFmtId="0" fontId="8" fillId="2" borderId="0"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14"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37" fillId="2" borderId="109"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229"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16" borderId="15" xfId="0" applyFont="1" applyFill="1" applyBorder="1" applyAlignment="1" applyProtection="1">
      <alignment horizontal="center" vertical="center" wrapText="1"/>
    </xf>
    <xf numFmtId="0" fontId="37" fillId="16" borderId="133"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62" fillId="2" borderId="37"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08"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74" fillId="2" borderId="150" xfId="0" applyFont="1" applyFill="1" applyBorder="1" applyAlignment="1" applyProtection="1">
      <alignment vertical="center"/>
    </xf>
    <xf numFmtId="0" fontId="74" fillId="2" borderId="151" xfId="0" applyFont="1" applyFill="1" applyBorder="1" applyAlignment="1" applyProtection="1">
      <alignment vertical="center"/>
    </xf>
    <xf numFmtId="0" fontId="37" fillId="2" borderId="95"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xf>
    <xf numFmtId="0" fontId="72" fillId="2" borderId="18" xfId="0" applyFont="1" applyFill="1" applyBorder="1" applyAlignment="1" applyProtection="1">
      <alignment horizontal="left" vertical="center" wrapText="1"/>
    </xf>
    <xf numFmtId="0" fontId="72" fillId="2" borderId="58"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62" fillId="2" borderId="1" xfId="0" applyFont="1" applyFill="1" applyBorder="1" applyAlignment="1" applyProtection="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0" borderId="1" xfId="0" applyFont="1" applyBorder="1" applyAlignment="1" applyProtection="1">
      <alignment horizontal="center" vertical="center"/>
      <protection locked="0"/>
    </xf>
    <xf numFmtId="183" fontId="62" fillId="2" borderId="2" xfId="0" applyNumberFormat="1" applyFont="1" applyFill="1" applyBorder="1" applyAlignment="1" applyProtection="1">
      <alignment horizontal="left" vertical="center" wrapText="1"/>
    </xf>
    <xf numFmtId="183" fontId="62" fillId="2" borderId="3" xfId="0" applyNumberFormat="1" applyFont="1" applyFill="1" applyBorder="1" applyAlignment="1" applyProtection="1">
      <alignment horizontal="left" vertical="center" wrapText="1"/>
    </xf>
    <xf numFmtId="183" fontId="62" fillId="2" borderId="4"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10" fontId="88"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2" fillId="2" borderId="1"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195" fontId="99" fillId="2" borderId="1"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0" fontId="79" fillId="2" borderId="118"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79" fillId="2" borderId="116"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4" xfId="0" applyFont="1" applyFill="1" applyBorder="1" applyAlignment="1" applyProtection="1">
      <alignment horizontal="left"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44" fillId="2" borderId="109" xfId="0" applyFont="1" applyFill="1" applyBorder="1" applyAlignment="1" applyProtection="1">
      <alignment horizontal="left" vertical="center" wrapText="1"/>
    </xf>
    <xf numFmtId="0" fontId="44" fillId="2" borderId="116"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6" xfId="0" applyFont="1" applyFill="1" applyBorder="1" applyAlignment="1" applyProtection="1">
      <alignment vertical="top" wrapText="1"/>
    </xf>
    <xf numFmtId="0" fontId="8" fillId="5" borderId="96" xfId="8209" applyFill="1" applyBorder="1" applyAlignment="1">
      <alignment horizontal="center" vertical="center"/>
    </xf>
    <xf numFmtId="0" fontId="30" fillId="2" borderId="10" xfId="20475" applyFont="1" applyFill="1" applyBorder="1" applyAlignment="1" applyProtection="1">
      <alignment horizontal="left" vertical="center" wrapText="1"/>
      <protection locked="0"/>
    </xf>
    <xf numFmtId="0" fontId="42" fillId="2" borderId="51" xfId="20475" applyFont="1" applyFill="1" applyBorder="1" applyAlignment="1" applyProtection="1">
      <alignment horizontal="left" vertical="center"/>
      <protection locked="0"/>
    </xf>
    <xf numFmtId="0" fontId="42" fillId="2" borderId="58" xfId="20475" applyFont="1" applyFill="1" applyBorder="1" applyAlignment="1" applyProtection="1">
      <alignment horizontal="left" vertical="center"/>
      <protection locked="0"/>
    </xf>
    <xf numFmtId="0" fontId="30" fillId="2" borderId="15" xfId="20475" applyFont="1" applyFill="1" applyBorder="1" applyAlignment="1" applyProtection="1">
      <alignment horizontal="left" vertical="center" wrapText="1"/>
      <protection locked="0"/>
    </xf>
    <xf numFmtId="0" fontId="30" fillId="2" borderId="64" xfId="20475" applyFont="1" applyFill="1" applyBorder="1" applyAlignment="1" applyProtection="1">
      <alignment horizontal="left" vertical="center" wrapText="1"/>
      <protection locked="0"/>
    </xf>
    <xf numFmtId="0" fontId="30" fillId="2" borderId="16" xfId="20475" applyFont="1" applyFill="1" applyBorder="1" applyAlignment="1" applyProtection="1">
      <alignment horizontal="left" vertical="center" wrapText="1"/>
      <protection locked="0"/>
    </xf>
    <xf numFmtId="0" fontId="30" fillId="2" borderId="41" xfId="20475" applyFont="1" applyFill="1" applyBorder="1" applyAlignment="1" applyProtection="1">
      <alignment horizontal="left" vertical="center"/>
      <protection locked="0"/>
    </xf>
    <xf numFmtId="0" fontId="30" fillId="2" borderId="4" xfId="20475" applyFont="1" applyFill="1" applyBorder="1" applyAlignment="1" applyProtection="1">
      <alignment horizontal="left" vertical="center"/>
      <protection locked="0"/>
    </xf>
    <xf numFmtId="0" fontId="31" fillId="2" borderId="2" xfId="20475" applyFont="1" applyFill="1" applyBorder="1" applyAlignment="1">
      <alignment horizontal="left" vertical="center"/>
    </xf>
    <xf numFmtId="0" fontId="31" fillId="2" borderId="4" xfId="20475" applyFont="1" applyFill="1" applyBorder="1" applyAlignment="1">
      <alignment horizontal="left" vertical="center"/>
    </xf>
    <xf numFmtId="0" fontId="30" fillId="2" borderId="33" xfId="20475" applyFont="1" applyFill="1" applyBorder="1" applyAlignment="1">
      <alignment horizontal="left" vertical="center"/>
    </xf>
    <xf numFmtId="0" fontId="30" fillId="2" borderId="62" xfId="20475" applyFont="1" applyFill="1" applyBorder="1" applyAlignment="1">
      <alignment horizontal="left" vertical="center"/>
    </xf>
    <xf numFmtId="0" fontId="30" fillId="14" borderId="120" xfId="20475" applyFont="1" applyFill="1" applyBorder="1" applyAlignment="1" applyProtection="1">
      <alignment vertical="center"/>
      <protection locked="0"/>
    </xf>
    <xf numFmtId="0" fontId="30" fillId="14" borderId="112" xfId="20475" applyFont="1" applyFill="1" applyBorder="1" applyAlignment="1" applyProtection="1">
      <alignment vertical="center"/>
      <protection locked="0"/>
    </xf>
    <xf numFmtId="0" fontId="30" fillId="2" borderId="2" xfId="20475" applyFont="1" applyFill="1" applyBorder="1" applyAlignment="1">
      <alignment horizontal="left" vertical="center"/>
    </xf>
    <xf numFmtId="0" fontId="30" fillId="2" borderId="4" xfId="20475" applyFont="1" applyFill="1" applyBorder="1" applyAlignment="1">
      <alignment horizontal="left" vertical="center"/>
    </xf>
    <xf numFmtId="0" fontId="42" fillId="2" borderId="118" xfId="20475" applyFont="1" applyFill="1" applyBorder="1" applyAlignment="1">
      <alignment horizontal="left" vertical="center"/>
    </xf>
    <xf numFmtId="0" fontId="42" fillId="2" borderId="25" xfId="20475" applyFont="1" applyFill="1" applyBorder="1" applyAlignment="1">
      <alignment horizontal="left" vertical="center"/>
    </xf>
    <xf numFmtId="0" fontId="42" fillId="2" borderId="110" xfId="20475" applyFont="1" applyFill="1" applyBorder="1" applyAlignment="1">
      <alignment horizontal="left" vertical="center"/>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56" fillId="2" borderId="15" xfId="0"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0" fontId="56" fillId="2" borderId="114"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119"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56" fillId="2" borderId="112" xfId="0" applyFont="1" applyFill="1" applyBorder="1" applyAlignment="1" applyProtection="1">
      <alignment horizontal="center" vertical="center" wrapText="1"/>
    </xf>
    <xf numFmtId="0" fontId="56" fillId="2" borderId="48" xfId="0" applyFont="1" applyFill="1" applyBorder="1" applyAlignment="1" applyProtection="1">
      <alignment horizontal="center" vertical="center"/>
    </xf>
    <xf numFmtId="0" fontId="56" fillId="2" borderId="114" xfId="0" applyFont="1" applyFill="1" applyBorder="1" applyAlignment="1" applyProtection="1">
      <alignment horizontal="center" vertical="center"/>
    </xf>
    <xf numFmtId="0" fontId="56" fillId="2" borderId="50" xfId="0" applyFont="1" applyFill="1" applyBorder="1" applyAlignment="1" applyProtection="1">
      <alignment horizontal="center" vertical="center"/>
    </xf>
    <xf numFmtId="0" fontId="56" fillId="2" borderId="119" xfId="0" applyFont="1" applyFill="1" applyBorder="1" applyAlignment="1" applyProtection="1">
      <alignment horizontal="center" vertical="center"/>
    </xf>
    <xf numFmtId="0" fontId="56" fillId="2" borderId="34" xfId="0" applyFont="1" applyFill="1" applyBorder="1" applyAlignment="1" applyProtection="1">
      <alignment horizontal="center" vertical="center"/>
    </xf>
    <xf numFmtId="0" fontId="56" fillId="2" borderId="112"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7" fillId="13" borderId="1" xfId="0" applyNumberFormat="1"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56" fillId="2" borderId="10"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58" xfId="0" applyFont="1" applyFill="1" applyBorder="1" applyAlignment="1" applyProtection="1">
      <alignment horizontal="center" vertical="center" textRotation="255" wrapText="1"/>
    </xf>
    <xf numFmtId="0" fontId="56" fillId="2" borderId="15"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textRotation="255" wrapText="1"/>
    </xf>
    <xf numFmtId="0" fontId="56" fillId="2" borderId="16" xfId="0" applyFont="1" applyFill="1" applyBorder="1" applyAlignment="1" applyProtection="1">
      <alignment horizontal="center" vertical="center" textRotation="255"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62" fillId="2" borderId="3"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4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49"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20"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44" xfId="0"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62" fillId="2" borderId="41" xfId="0" applyFont="1" applyFill="1" applyBorder="1" applyAlignment="1" applyProtection="1">
      <alignment horizontal="center" vertical="center"/>
    </xf>
    <xf numFmtId="0" fontId="56" fillId="2" borderId="15" xfId="0" applyFont="1" applyFill="1" applyBorder="1" applyAlignment="1" applyProtection="1">
      <alignment horizontal="center" vertical="center" textRotation="255" wrapText="1"/>
    </xf>
    <xf numFmtId="0" fontId="57" fillId="2" borderId="1"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176" fontId="56" fillId="2" borderId="1" xfId="0" applyNumberFormat="1" applyFont="1" applyFill="1" applyBorder="1" applyAlignment="1" applyProtection="1">
      <alignment horizontal="center" vertical="center"/>
    </xf>
    <xf numFmtId="176" fontId="57" fillId="13"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1" xfId="0" applyNumberFormat="1" applyFont="1" applyFill="1" applyBorder="1" applyAlignment="1" applyProtection="1">
      <alignment horizontal="center" vertical="center" wrapText="1"/>
    </xf>
    <xf numFmtId="49" fontId="31" fillId="2" borderId="111" xfId="0" applyNumberFormat="1"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59" fillId="2" borderId="6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1" fillId="2" borderId="3" xfId="10942" applyFont="1" applyFill="1" applyBorder="1" applyAlignment="1" applyProtection="1">
      <alignment horizontal="right" vertical="center" wrapText="1"/>
      <protection locked="0"/>
    </xf>
    <xf numFmtId="0" fontId="31" fillId="2" borderId="4" xfId="10942"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113"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31" fillId="2" borderId="4" xfId="10942" applyFont="1" applyFill="1" applyBorder="1" applyAlignment="1" applyProtection="1">
      <alignment horizontal="center" vertical="center" wrapText="1"/>
      <protection locked="0"/>
    </xf>
    <xf numFmtId="0" fontId="54" fillId="2" borderId="1"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6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2"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27" xfId="0" applyFont="1" applyFill="1" applyBorder="1" applyAlignment="1" applyProtection="1">
      <alignment horizontal="left" vertical="center"/>
    </xf>
    <xf numFmtId="0" fontId="54" fillId="2" borderId="111" xfId="0" applyFont="1" applyFill="1" applyBorder="1" applyAlignment="1" applyProtection="1">
      <alignment horizontal="left" vertical="center"/>
    </xf>
    <xf numFmtId="0" fontId="54" fillId="2" borderId="35" xfId="0" applyFont="1" applyFill="1" applyBorder="1" applyAlignment="1" applyProtection="1">
      <alignment horizontal="left" vertical="center"/>
    </xf>
    <xf numFmtId="0" fontId="54" fillId="2" borderId="20" xfId="0" applyFont="1" applyFill="1" applyBorder="1" applyAlignment="1" applyProtection="1">
      <alignment horizontal="left" vertical="center"/>
    </xf>
    <xf numFmtId="0" fontId="49" fillId="10" borderId="84" xfId="11337" applyFont="1" applyFill="1" applyBorder="1" applyAlignment="1" applyProtection="1">
      <alignment horizontal="left" vertical="center" wrapText="1"/>
    </xf>
    <xf numFmtId="0" fontId="49" fillId="10" borderId="77" xfId="11337" applyFont="1" applyFill="1" applyBorder="1" applyAlignment="1" applyProtection="1">
      <alignment horizontal="left" vertical="center" wrapText="1"/>
    </xf>
    <xf numFmtId="0" fontId="49" fillId="10" borderId="83" xfId="11337" applyFont="1" applyFill="1" applyBorder="1" applyAlignment="1" applyProtection="1">
      <alignment horizontal="left" vertical="center" wrapText="1"/>
    </xf>
    <xf numFmtId="0" fontId="6" fillId="10" borderId="84" xfId="11337" applyFont="1" applyFill="1" applyBorder="1" applyAlignment="1" applyProtection="1">
      <alignment horizontal="left" vertical="center" wrapText="1"/>
    </xf>
    <xf numFmtId="0" fontId="6" fillId="10" borderId="77" xfId="11337" applyFont="1" applyFill="1" applyBorder="1" applyAlignment="1" applyProtection="1">
      <alignment horizontal="left" vertical="center" wrapText="1"/>
    </xf>
    <xf numFmtId="0" fontId="6" fillId="10" borderId="83" xfId="11337" applyFont="1" applyFill="1" applyBorder="1" applyAlignment="1" applyProtection="1">
      <alignment horizontal="left" vertical="center" wrapText="1"/>
    </xf>
    <xf numFmtId="0" fontId="11" fillId="0" borderId="0" xfId="11337" applyFont="1" applyAlignment="1">
      <alignment horizontal="left" vertical="center"/>
    </xf>
    <xf numFmtId="0" fontId="42" fillId="0" borderId="0" xfId="11337" applyFont="1" applyAlignment="1">
      <alignment horizontal="left" vertical="center"/>
    </xf>
    <xf numFmtId="0" fontId="49" fillId="10" borderId="81" xfId="11337" applyFont="1" applyFill="1" applyBorder="1" applyAlignment="1" applyProtection="1">
      <alignment horizontal="left" vertical="center" wrapText="1"/>
    </xf>
    <xf numFmtId="0" fontId="49" fillId="10" borderId="82" xfId="11337" applyFont="1" applyFill="1" applyBorder="1" applyAlignment="1" applyProtection="1">
      <alignment horizontal="left" vertical="center" wrapText="1"/>
    </xf>
    <xf numFmtId="0" fontId="45" fillId="0" borderId="0" xfId="11337" applyFont="1" applyAlignment="1">
      <alignment horizontal="left" vertical="center"/>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cellXfs>
  <cellStyles count="31076">
    <cellStyle name="20% - 强调文字颜色 1 2" xfId="27"/>
    <cellStyle name="20% - 强调文字颜色 1 2 10" xfId="518"/>
    <cellStyle name="20% - 强调文字颜色 1 2 2" xfId="527"/>
    <cellStyle name="20% - 强调文字颜色 1 2 2 2" xfId="100"/>
    <cellStyle name="20% - 强调文字颜色 1 2 2 2 2" xfId="535"/>
    <cellStyle name="20% - 强调文字颜色 1 2 2 2 2 2" xfId="386"/>
    <cellStyle name="20% - 强调文字颜色 1 2 2 2 2 2 2" xfId="329"/>
    <cellStyle name="20% - 强调文字颜色 1 2 2 2 2 2 2 2" xfId="127"/>
    <cellStyle name="20% - 强调文字颜色 1 2 2 2 2 2 2 3" xfId="547"/>
    <cellStyle name="20% - 强调文字颜色 1 2 2 2 2 2 3" xfId="559"/>
    <cellStyle name="20% - 强调文字颜色 1 2 2 2 2 3" xfId="402"/>
    <cellStyle name="20% - 强调文字颜色 1 2 2 2 2 3 2" xfId="351"/>
    <cellStyle name="20% - 强调文字颜色 1 2 2 2 2 3 3" xfId="571"/>
    <cellStyle name="20% - 强调文字颜色 1 2 2 2 2 4" xfId="80"/>
    <cellStyle name="20% - 强调文字颜色 1 2 2 2 3" xfId="575"/>
    <cellStyle name="20% - 强调文字颜色 1 2 2 2 3 2" xfId="438"/>
    <cellStyle name="20% - 强调文字颜色 1 2 2 2 3 2 2" xfId="577"/>
    <cellStyle name="20% - 强调文字颜色 1 2 2 2 3 2 3" xfId="589"/>
    <cellStyle name="20% - 强调文字颜色 1 2 2 2 3 3" xfId="361"/>
    <cellStyle name="20% - 强调文字颜色 1 2 2 2 4" xfId="389"/>
    <cellStyle name="20% - 强调文字颜色 1 2 2 2 4 2" xfId="594"/>
    <cellStyle name="20% - 强调文字颜色 1 2 2 2 4 3" xfId="601"/>
    <cellStyle name="20% - 强调文字颜色 1 2 2 2 5" xfId="405"/>
    <cellStyle name="20% - 强调文字颜色 1 2 2 3" xfId="616"/>
    <cellStyle name="20% - 强调文字颜色 1 2 2 3 2" xfId="625"/>
    <cellStyle name="20% - 强调文字颜色 1 2 2 3 2 2" xfId="631"/>
    <cellStyle name="20% - 强调文字颜色 1 2 2 3 2 2 2" xfId="643"/>
    <cellStyle name="20% - 强调文字颜色 1 2 2 3 2 2 3" xfId="647"/>
    <cellStyle name="20% - 强调文字颜色 1 2 2 3 2 3" xfId="653"/>
    <cellStyle name="20% - 强调文字颜色 1 2 2 3 3" xfId="662"/>
    <cellStyle name="20% - 强调文字颜色 1 2 2 3 3 2" xfId="667"/>
    <cellStyle name="20% - 强调文字颜色 1 2 2 3 3 3" xfId="690"/>
    <cellStyle name="20% - 强调文字颜色 1 2 2 3 4" xfId="698"/>
    <cellStyle name="20% - 强调文字颜色 1 2 2 4" xfId="716"/>
    <cellStyle name="20% - 强调文字颜色 1 2 2 4 2" xfId="726"/>
    <cellStyle name="20% - 强调文字颜色 1 2 2 4 2 2" xfId="730"/>
    <cellStyle name="20% - 强调文字颜色 1 2 2 4 2 2 2" xfId="741"/>
    <cellStyle name="20% - 强调文字颜色 1 2 2 4 2 2 3" xfId="750"/>
    <cellStyle name="20% - 强调文字颜色 1 2 2 4 2 3" xfId="772"/>
    <cellStyle name="20% - 强调文字颜色 1 2 2 4 3" xfId="796"/>
    <cellStyle name="20% - 强调文字颜色 1 2 2 4 3 2" xfId="807"/>
    <cellStyle name="20% - 强调文字颜色 1 2 2 4 3 3" xfId="827"/>
    <cellStyle name="20% - 强调文字颜色 1 2 2 4 4" xfId="850"/>
    <cellStyle name="20% - 强调文字颜色 1 2 2 5" xfId="857"/>
    <cellStyle name="20% - 强调文字颜色 1 2 2 5 2" xfId="867"/>
    <cellStyle name="20% - 强调文字颜色 1 2 2 5 2 2" xfId="881"/>
    <cellStyle name="20% - 强调文字颜色 1 2 2 5 2 3" xfId="150"/>
    <cellStyle name="20% - 强调文字颜色 1 2 2 5 3" xfId="892"/>
    <cellStyle name="20% - 强调文字颜色 1 2 2 6" xfId="897"/>
    <cellStyle name="20% - 强调文字颜色 1 2 2 6 2" xfId="904"/>
    <cellStyle name="20% - 强调文字颜色 1 2 2 6 3" xfId="908"/>
    <cellStyle name="20% - 强调文字颜色 1 2 2 7" xfId="912"/>
    <cellStyle name="20% - 强调文字颜色 1 2 3" xfId="918"/>
    <cellStyle name="20% - 强调文字颜色 1 2 3 2" xfId="932"/>
    <cellStyle name="20% - 强调文字颜色 1 2 3 2 2" xfId="939"/>
    <cellStyle name="20% - 强调文字颜色 1 2 3 2 2 2" xfId="943"/>
    <cellStyle name="20% - 强调文字颜色 1 2 3 2 2 2 2" xfId="951"/>
    <cellStyle name="20% - 强调文字颜色 1 2 3 2 2 2 2 2" xfId="955"/>
    <cellStyle name="20% - 强调文字颜色 1 2 3 2 2 2 2 3" xfId="987"/>
    <cellStyle name="20% - 强调文字颜色 1 2 3 2 2 2 3" xfId="1006"/>
    <cellStyle name="20% - 强调文字颜色 1 2 3 2 2 3" xfId="1008"/>
    <cellStyle name="20% - 强调文字颜色 1 2 3 2 2 3 2" xfId="1018"/>
    <cellStyle name="20% - 强调文字颜色 1 2 3 2 2 3 3" xfId="254"/>
    <cellStyle name="20% - 强调文字颜色 1 2 3 2 2 4" xfId="340"/>
    <cellStyle name="20% - 强调文字颜色 1 2 3 2 3" xfId="1027"/>
    <cellStyle name="20% - 强调文字颜色 1 2 3 2 3 2" xfId="1031"/>
    <cellStyle name="20% - 强调文字颜色 1 2 3 2 3 2 2" xfId="474"/>
    <cellStyle name="20% - 强调文字颜色 1 2 3 2 3 2 3" xfId="500"/>
    <cellStyle name="20% - 强调文字颜色 1 2 3 2 3 3" xfId="1049"/>
    <cellStyle name="20% - 强调文字颜色 1 2 3 2 4" xfId="1059"/>
    <cellStyle name="20% - 强调文字颜色 1 2 3 2 4 2" xfId="1063"/>
    <cellStyle name="20% - 强调文字颜色 1 2 3 2 4 3" xfId="1076"/>
    <cellStyle name="20% - 强调文字颜色 1 2 3 2 5" xfId="1083"/>
    <cellStyle name="20% - 强调文字颜色 1 2 3 3" xfId="1101"/>
    <cellStyle name="20% - 强调文字颜色 1 2 3 3 2" xfId="1110"/>
    <cellStyle name="20% - 强调文字颜色 1 2 3 3 2 2" xfId="62"/>
    <cellStyle name="20% - 强调文字颜色 1 2 3 3 2 2 2" xfId="422"/>
    <cellStyle name="20% - 强调文字颜色 1 2 3 3 2 2 3" xfId="427"/>
    <cellStyle name="20% - 强调文字颜色 1 2 3 3 2 3" xfId="1114"/>
    <cellStyle name="20% - 强调文字颜色 1 2 3 3 3" xfId="1129"/>
    <cellStyle name="20% - 强调文字颜色 1 2 3 3 3 2" xfId="1132"/>
    <cellStyle name="20% - 强调文字颜色 1 2 3 3 3 3" xfId="1147"/>
    <cellStyle name="20% - 强调文字颜色 1 2 3 3 4" xfId="1163"/>
    <cellStyle name="20% - 强调文字颜色 1 2 3 4" xfId="1168"/>
    <cellStyle name="20% - 强调文字颜色 1 2 3 4 2" xfId="1175"/>
    <cellStyle name="20% - 强调文字颜色 1 2 3 4 2 2" xfId="193"/>
    <cellStyle name="20% - 强调文字颜色 1 2 3 4 2 2 2" xfId="1190"/>
    <cellStyle name="20% - 强调文字颜色 1 2 3 4 2 2 3" xfId="1195"/>
    <cellStyle name="20% - 强调文字颜色 1 2 3 4 2 3" xfId="1214"/>
    <cellStyle name="20% - 强调文字颜色 1 2 3 4 3" xfId="1215"/>
    <cellStyle name="20% - 强调文字颜色 1 2 3 4 3 2" xfId="1224"/>
    <cellStyle name="20% - 强调文字颜色 1 2 3 4 3 3" xfId="1235"/>
    <cellStyle name="20% - 强调文字颜色 1 2 3 4 4" xfId="1246"/>
    <cellStyle name="20% - 强调文字颜色 1 2 3 5" xfId="1253"/>
    <cellStyle name="20% - 强调文字颜色 1 2 3 5 2" xfId="1257"/>
    <cellStyle name="20% - 强调文字颜色 1 2 3 5 2 2" xfId="1263"/>
    <cellStyle name="20% - 强调文字颜色 1 2 3 5 2 3" xfId="1268"/>
    <cellStyle name="20% - 强调文字颜色 1 2 3 5 3" xfId="641"/>
    <cellStyle name="20% - 强调文字颜色 1 2 3 6" xfId="1271"/>
    <cellStyle name="20% - 强调文字颜色 1 2 3 6 2" xfId="1276"/>
    <cellStyle name="20% - 强调文字颜色 1 2 3 6 3" xfId="1282"/>
    <cellStyle name="20% - 强调文字颜色 1 2 3 7" xfId="524"/>
    <cellStyle name="20% - 强调文字颜色 1 2 4" xfId="1292"/>
    <cellStyle name="20% - 强调文字颜色 1 2 4 2" xfId="1304"/>
    <cellStyle name="20% - 强调文字颜色 1 2 4 2 2" xfId="1315"/>
    <cellStyle name="20% - 强调文字颜色 1 2 4 2 2 2" xfId="1321"/>
    <cellStyle name="20% - 强调文字颜色 1 2 4 2 2 2 2" xfId="1324"/>
    <cellStyle name="20% - 强调文字颜色 1 2 4 2 2 2 2 2" xfId="1346"/>
    <cellStyle name="20% - 强调文字颜色 1 2 4 2 2 2 2 3" xfId="208"/>
    <cellStyle name="20% - 强调文字颜色 1 2 4 2 2 2 3" xfId="1350"/>
    <cellStyle name="20% - 强调文字颜色 1 2 4 2 2 3" xfId="1277"/>
    <cellStyle name="20% - 强调文字颜色 1 2 4 2 2 3 2" xfId="1364"/>
    <cellStyle name="20% - 强调文字颜色 1 2 4 2 2 3 3" xfId="1375"/>
    <cellStyle name="20% - 强调文字颜色 1 2 4 2 2 4" xfId="1283"/>
    <cellStyle name="20% - 强调文字颜色 1 2 4 2 3" xfId="1376"/>
    <cellStyle name="20% - 强调文字颜色 1 2 4 2 3 2" xfId="179"/>
    <cellStyle name="20% - 强调文字颜色 1 2 4 2 3 2 2" xfId="1386"/>
    <cellStyle name="20% - 强调文字颜色 1 2 4 2 3 2 3" xfId="1389"/>
    <cellStyle name="20% - 强调文字颜色 1 2 4 2 3 3" xfId="97"/>
    <cellStyle name="20% - 强调文字颜色 1 2 4 2 4" xfId="1395"/>
    <cellStyle name="20% - 强调文字颜色 1 2 4 2 4 2" xfId="1398"/>
    <cellStyle name="20% - 强调文字颜色 1 2 4 2 4 3" xfId="929"/>
    <cellStyle name="20% - 强调文字颜色 1 2 4 2 5" xfId="1399"/>
    <cellStyle name="20% - 强调文字颜色 1 2 4 3" xfId="1412"/>
    <cellStyle name="20% - 强调文字颜色 1 2 4 3 2" xfId="1415"/>
    <cellStyle name="20% - 强调文字颜色 1 2 4 3 2 2" xfId="1419"/>
    <cellStyle name="20% - 强调文字颜色 1 2 4 3 2 2 2" xfId="1425"/>
    <cellStyle name="20% - 强调文字颜色 1 2 4 3 2 2 3" xfId="1441"/>
    <cellStyle name="20% - 强调文字颜色 1 2 4 3 2 3" xfId="1443"/>
    <cellStyle name="20% - 强调文字颜色 1 2 4 3 3" xfId="1447"/>
    <cellStyle name="20% - 强调文字颜色 1 2 4 3 3 2" xfId="1450"/>
    <cellStyle name="20% - 强调文字颜色 1 2 4 3 3 3" xfId="1460"/>
    <cellStyle name="20% - 强调文字颜色 1 2 4 3 4" xfId="151"/>
    <cellStyle name="20% - 强调文字颜色 1 2 4 4" xfId="1477"/>
    <cellStyle name="20% - 强调文字颜色 1 2 4 4 2" xfId="1489"/>
    <cellStyle name="20% - 强调文字颜色 1 2 4 4 2 2" xfId="1497"/>
    <cellStyle name="20% - 强调文字颜色 1 2 4 4 2 2 2" xfId="1513"/>
    <cellStyle name="20% - 强调文字颜色 1 2 4 4 2 2 3" xfId="1532"/>
    <cellStyle name="20% - 强调文字颜色 1 2 4 4 2 3" xfId="1541"/>
    <cellStyle name="20% - 强调文字颜色 1 2 4 4 3" xfId="1545"/>
    <cellStyle name="20% - 强调文字颜色 1 2 4 4 3 2" xfId="1562"/>
    <cellStyle name="20% - 强调文字颜色 1 2 4 4 3 3" xfId="1574"/>
    <cellStyle name="20% - 强调文字颜色 1 2 4 4 4" xfId="1578"/>
    <cellStyle name="20% - 强调文字颜色 1 2 4 5" xfId="1586"/>
    <cellStyle name="20% - 强调文字颜色 1 2 4 5 2" xfId="174"/>
    <cellStyle name="20% - 强调文字颜色 1 2 4 5 2 2" xfId="1606"/>
    <cellStyle name="20% - 强调文字颜色 1 2 4 5 2 3" xfId="168"/>
    <cellStyle name="20% - 强调文字颜色 1 2 4 5 3" xfId="105"/>
    <cellStyle name="20% - 强调文字颜色 1 2 4 6" xfId="1611"/>
    <cellStyle name="20% - 强调文字颜色 1 2 4 6 2" xfId="1446"/>
    <cellStyle name="20% - 强调文字颜色 1 2 4 6 3" xfId="1616"/>
    <cellStyle name="20% - 强调文字颜色 1 2 4 7" xfId="1623"/>
    <cellStyle name="20% - 强调文字颜色 1 2 5" xfId="1630"/>
    <cellStyle name="20% - 强调文字颜色 1 2 5 2" xfId="1643"/>
    <cellStyle name="20% - 强调文字颜色 1 2 5 2 2" xfId="338"/>
    <cellStyle name="20% - 强调文字颜色 1 2 5 2 2 2" xfId="1647"/>
    <cellStyle name="20% - 强调文字颜色 1 2 5 2 2 2 2" xfId="552"/>
    <cellStyle name="20% - 强调文字颜色 1 2 5 2 2 2 3" xfId="1653"/>
    <cellStyle name="20% - 强调文字颜色 1 2 5 2 2 3" xfId="1667"/>
    <cellStyle name="20% - 强调文字颜色 1 2 5 2 3" xfId="1673"/>
    <cellStyle name="20% - 强调文字颜色 1 2 5 2 3 2" xfId="1678"/>
    <cellStyle name="20% - 强调文字颜色 1 2 5 2 3 3" xfId="1700"/>
    <cellStyle name="20% - 强调文字颜色 1 2 5 2 4" xfId="1703"/>
    <cellStyle name="20% - 强调文字颜色 1 2 5 3" xfId="1711"/>
    <cellStyle name="20% - 强调文字颜色 1 2 5 3 2" xfId="1717"/>
    <cellStyle name="20% - 强调文字颜色 1 2 5 3 2 2" xfId="1729"/>
    <cellStyle name="20% - 强调文字颜色 1 2 5 3 2 3" xfId="964"/>
    <cellStyle name="20% - 强调文字颜色 1 2 5 3 3" xfId="1746"/>
    <cellStyle name="20% - 强调文字颜色 1 2 5 4" xfId="1756"/>
    <cellStyle name="20% - 强调文字颜色 1 2 5 4 2" xfId="1770"/>
    <cellStyle name="20% - 强调文字颜色 1 2 5 4 3" xfId="1772"/>
    <cellStyle name="20% - 强调文字颜色 1 2 5 5" xfId="1781"/>
    <cellStyle name="20% - 强调文字颜色 1 2 6" xfId="1783"/>
    <cellStyle name="20% - 强调文字颜色 1 2 6 2" xfId="1793"/>
    <cellStyle name="20% - 强调文字颜色 1 2 6 2 2" xfId="95"/>
    <cellStyle name="20% - 强调文字颜色 1 2 6 2 2 2" xfId="1802"/>
    <cellStyle name="20% - 强调文字颜色 1 2 6 2 2 3" xfId="1810"/>
    <cellStyle name="20% - 强调文字颜色 1 2 6 2 3" xfId="1819"/>
    <cellStyle name="20% - 强调文字颜色 1 2 6 3" xfId="334"/>
    <cellStyle name="20% - 强调文字颜色 1 2 6 3 2" xfId="1649"/>
    <cellStyle name="20% - 强调文字颜色 1 2 6 3 3" xfId="1663"/>
    <cellStyle name="20% - 强调文字颜色 1 2 6 4" xfId="1672"/>
    <cellStyle name="20% - 强调文字颜色 1 2 7" xfId="1828"/>
    <cellStyle name="20% - 强调文字颜色 1 2 7 2" xfId="1844"/>
    <cellStyle name="20% - 强调文字颜色 1 2 7 2 2" xfId="1845"/>
    <cellStyle name="20% - 强调文字颜色 1 2 7 2 2 2" xfId="1868"/>
    <cellStyle name="20% - 强调文字颜色 1 2 7 2 2 3" xfId="1871"/>
    <cellStyle name="20% - 强调文字颜色 1 2 7 2 3" xfId="1874"/>
    <cellStyle name="20% - 强调文字颜色 1 2 7 3" xfId="1716"/>
    <cellStyle name="20% - 强调文字颜色 1 2 7 3 2" xfId="1727"/>
    <cellStyle name="20% - 强调文字颜色 1 2 7 3 3" xfId="957"/>
    <cellStyle name="20% - 强调文字颜色 1 2 7 4" xfId="1745"/>
    <cellStyle name="20% - 强调文字颜色 1 2 8" xfId="1882"/>
    <cellStyle name="20% - 强调文字颜色 1 2 8 2" xfId="1898"/>
    <cellStyle name="20% - 强调文字颜色 1 2 8 2 2" xfId="1906"/>
    <cellStyle name="20% - 强调文字颜色 1 2 8 2 3" xfId="1914"/>
    <cellStyle name="20% - 强调文字颜色 1 2 8 3" xfId="1762"/>
    <cellStyle name="20% - 强调文字颜色 1 2 9" xfId="1922"/>
    <cellStyle name="20% - 强调文字颜色 1 2 9 2" xfId="1936"/>
    <cellStyle name="20% - 强调文字颜色 2 2" xfId="1938"/>
    <cellStyle name="20% - 强调文字颜色 2 2 10" xfId="1960"/>
    <cellStyle name="20% - 强调文字颜色 2 2 2" xfId="1967"/>
    <cellStyle name="20% - 强调文字颜色 2 2 2 2" xfId="1688"/>
    <cellStyle name="20% - 强调文字颜色 2 2 2 2 2" xfId="1975"/>
    <cellStyle name="20% - 强调文字颜色 2 2 2 2 2 2" xfId="1993"/>
    <cellStyle name="20% - 强调文字颜色 2 2 2 2 2 2 2" xfId="455"/>
    <cellStyle name="20% - 强调文字颜色 2 2 2 2 2 2 2 2" xfId="280"/>
    <cellStyle name="20% - 强调文字颜色 2 2 2 2 2 2 2 3" xfId="1995"/>
    <cellStyle name="20% - 强调文字颜色 2 2 2 2 2 2 3" xfId="469"/>
    <cellStyle name="20% - 强调文字颜色 2 2 2 2 2 3" xfId="2004"/>
    <cellStyle name="20% - 强调文字颜色 2 2 2 2 2 3 2" xfId="2012"/>
    <cellStyle name="20% - 强调文字颜色 2 2 2 2 2 3 3" xfId="2017"/>
    <cellStyle name="20% - 强调文字颜色 2 2 2 2 2 4" xfId="806"/>
    <cellStyle name="20% - 强调文字颜色 2 2 2 2 3" xfId="2022"/>
    <cellStyle name="20% - 强调文字颜色 2 2 2 2 3 2" xfId="2036"/>
    <cellStyle name="20% - 强调文字颜色 2 2 2 2 3 2 2" xfId="2050"/>
    <cellStyle name="20% - 强调文字颜色 2 2 2 2 3 2 3" xfId="2055"/>
    <cellStyle name="20% - 强调文字颜色 2 2 2 2 3 3" xfId="2059"/>
    <cellStyle name="20% - 强调文字颜色 2 2 2 2 4" xfId="2074"/>
    <cellStyle name="20% - 强调文字颜色 2 2 2 2 4 2" xfId="2079"/>
    <cellStyle name="20% - 强调文字颜色 2 2 2 2 4 3" xfId="2085"/>
    <cellStyle name="20% - 强调文字颜色 2 2 2 2 5" xfId="1044"/>
    <cellStyle name="20% - 强调文字颜色 2 2 2 3" xfId="2098"/>
    <cellStyle name="20% - 强调文字颜色 2 2 2 3 2" xfId="2121"/>
    <cellStyle name="20% - 强调文字颜色 2 2 2 3 2 2" xfId="2125"/>
    <cellStyle name="20% - 强调文字颜色 2 2 2 3 2 2 2" xfId="1296"/>
    <cellStyle name="20% - 强调文字颜色 2 2 2 3 2 2 3" xfId="1632"/>
    <cellStyle name="20% - 强调文字颜色 2 2 2 3 2 3" xfId="2130"/>
    <cellStyle name="20% - 强调文字颜色 2 2 2 3 3" xfId="2139"/>
    <cellStyle name="20% - 强调文字颜色 2 2 2 3 3 2" xfId="2148"/>
    <cellStyle name="20% - 强调文字颜色 2 2 2 3 3 3" xfId="2161"/>
    <cellStyle name="20% - 强调文字颜色 2 2 2 3 4" xfId="2169"/>
    <cellStyle name="20% - 强调文字颜色 2 2 2 4" xfId="2178"/>
    <cellStyle name="20% - 强调文字颜色 2 2 2 4 2" xfId="2187"/>
    <cellStyle name="20% - 强调文字颜色 2 2 2 4 2 2" xfId="298"/>
    <cellStyle name="20% - 强调文字颜色 2 2 2 4 2 2 2" xfId="2212"/>
    <cellStyle name="20% - 强调文字颜色 2 2 2 4 2 2 3" xfId="2223"/>
    <cellStyle name="20% - 强调文字颜色 2 2 2 4 2 3" xfId="410"/>
    <cellStyle name="20% - 强调文字颜色 2 2 2 4 3" xfId="2224"/>
    <cellStyle name="20% - 强调文字颜色 2 2 2 4 3 2" xfId="2237"/>
    <cellStyle name="20% - 强调文字颜色 2 2 2 4 3 3" xfId="2249"/>
    <cellStyle name="20% - 强调文字颜色 2 2 2 4 4" xfId="868"/>
    <cellStyle name="20% - 强调文字颜色 2 2 2 5" xfId="2114"/>
    <cellStyle name="20% - 强调文字颜色 2 2 2 5 2" xfId="2126"/>
    <cellStyle name="20% - 强调文字颜色 2 2 2 5 2 2" xfId="1293"/>
    <cellStyle name="20% - 强调文字颜色 2 2 2 5 2 3" xfId="1628"/>
    <cellStyle name="20% - 强调文字颜色 2 2 2 5 3" xfId="2132"/>
    <cellStyle name="20% - 强调文字颜色 2 2 2 6" xfId="2141"/>
    <cellStyle name="20% - 强调文字颜色 2 2 2 6 2" xfId="2155"/>
    <cellStyle name="20% - 强调文字颜色 2 2 2 6 3" xfId="2168"/>
    <cellStyle name="20% - 强调文字颜色 2 2 2 7" xfId="2173"/>
    <cellStyle name="20% - 强调文字颜色 2 2 3" xfId="2260"/>
    <cellStyle name="20% - 强调文字颜色 2 2 3 2" xfId="2272"/>
    <cellStyle name="20% - 强调文字颜色 2 2 3 2 2" xfId="2287"/>
    <cellStyle name="20% - 强调文字颜色 2 2 3 2 2 2" xfId="82"/>
    <cellStyle name="20% - 强调文字颜色 2 2 3 2 2 2 2" xfId="2297"/>
    <cellStyle name="20% - 强调文字颜色 2 2 3 2 2 2 2 2" xfId="2303"/>
    <cellStyle name="20% - 强调文字颜色 2 2 3 2 2 2 2 3" xfId="2335"/>
    <cellStyle name="20% - 强调文字颜色 2 2 3 2 2 2 3" xfId="1387"/>
    <cellStyle name="20% - 强调文字颜色 2 2 3 2 2 3" xfId="2346"/>
    <cellStyle name="20% - 强调文字颜色 2 2 3 2 2 3 2" xfId="2361"/>
    <cellStyle name="20% - 强调文字颜色 2 2 3 2 2 3 3" xfId="536"/>
    <cellStyle name="20% - 强调文字颜色 2 2 3 2 2 4" xfId="1231"/>
    <cellStyle name="20% - 强调文字颜色 2 2 3 2 3" xfId="2371"/>
    <cellStyle name="20% - 强调文字颜色 2 2 3 2 3 2" xfId="288"/>
    <cellStyle name="20% - 强调文字颜色 2 2 3 2 3 2 2" xfId="2394"/>
    <cellStyle name="20% - 强调文字颜色 2 2 3 2 3 2 3" xfId="2406"/>
    <cellStyle name="20% - 强调文字颜色 2 2 3 2 3 3" xfId="2418"/>
    <cellStyle name="20% - 强调文字颜色 2 2 3 2 4" xfId="2427"/>
    <cellStyle name="20% - 强调文字颜色 2 2 3 2 4 2" xfId="2434"/>
    <cellStyle name="20% - 强调文字颜色 2 2 3 2 4 3" xfId="2447"/>
    <cellStyle name="20% - 强调文字颜色 2 2 3 2 5" xfId="1135"/>
    <cellStyle name="20% - 强调文字颜色 2 2 3 3" xfId="2454"/>
    <cellStyle name="20% - 强调文字颜色 2 2 3 3 2" xfId="2462"/>
    <cellStyle name="20% - 强调文字颜色 2 2 3 3 2 2" xfId="2470"/>
    <cellStyle name="20% - 强调文字颜色 2 2 3 3 2 2 2" xfId="607"/>
    <cellStyle name="20% - 强调文字颜色 2 2 3 3 2 2 3" xfId="707"/>
    <cellStyle name="20% - 强调文字颜色 2 2 3 3 2 3" xfId="2486"/>
    <cellStyle name="20% - 强调文字颜色 2 2 3 3 3" xfId="2499"/>
    <cellStyle name="20% - 强调文字颜色 2 2 3 3 3 2" xfId="2511"/>
    <cellStyle name="20% - 强调文字颜色 2 2 3 3 3 3" xfId="2529"/>
    <cellStyle name="20% - 强调文字颜色 2 2 3 3 4" xfId="2540"/>
    <cellStyle name="20% - 强调文字颜色 2 2 3 4" xfId="2548"/>
    <cellStyle name="20% - 强调文字颜色 2 2 3 4 2" xfId="2551"/>
    <cellStyle name="20% - 强调文字颜色 2 2 3 4 2 2" xfId="2567"/>
    <cellStyle name="20% - 强调文字颜色 2 2 3 4 2 2 2" xfId="2110"/>
    <cellStyle name="20% - 强调文字颜色 2 2 3 4 2 2 3" xfId="2184"/>
    <cellStyle name="20% - 强调文字颜色 2 2 3 4 2 3" xfId="1182"/>
    <cellStyle name="20% - 强调文字颜色 2 2 3 4 3" xfId="2577"/>
    <cellStyle name="20% - 强调文字颜色 2 2 3 4 3 2" xfId="2595"/>
    <cellStyle name="20% - 强调文字颜色 2 2 3 4 3 3" xfId="2604"/>
    <cellStyle name="20% - 强调文字颜色 2 2 3 4 4" xfId="2613"/>
    <cellStyle name="20% - 强调文字颜色 2 2 3 5" xfId="2189"/>
    <cellStyle name="20% - 强调文字颜色 2 2 3 5 2" xfId="304"/>
    <cellStyle name="20% - 强调文字颜色 2 2 3 5 2 2" xfId="2203"/>
    <cellStyle name="20% - 强调文字颜色 2 2 3 5 2 3" xfId="2217"/>
    <cellStyle name="20% - 强调文字颜色 2 2 3 5 3" xfId="418"/>
    <cellStyle name="20% - 强调文字颜色 2 2 3 6" xfId="2228"/>
    <cellStyle name="20% - 强调文字颜色 2 2 3 6 2" xfId="2243"/>
    <cellStyle name="20% - 强调文字颜色 2 2 3 6 3" xfId="2255"/>
    <cellStyle name="20% - 强调文字颜色 2 2 3 7" xfId="874"/>
    <cellStyle name="20% - 强调文字颜色 2 2 4" xfId="2624"/>
    <cellStyle name="20% - 强调文字颜色 2 2 4 2" xfId="2637"/>
    <cellStyle name="20% - 强调文字颜色 2 2 4 2 2" xfId="399"/>
    <cellStyle name="20% - 强调文字颜色 2 2 4 2 2 2" xfId="344"/>
    <cellStyle name="20% - 强调文字颜色 2 2 4 2 2 2 2" xfId="756"/>
    <cellStyle name="20% - 强调文字颜色 2 2 4 2 2 2 2 2" xfId="504"/>
    <cellStyle name="20% - 强调文字颜色 2 2 4 2 2 2 2 3" xfId="2644"/>
    <cellStyle name="20% - 强调文字颜色 2 2 4 2 2 2 3" xfId="2648"/>
    <cellStyle name="20% - 强调文字颜色 2 2 4 2 2 3" xfId="564"/>
    <cellStyle name="20% - 强调文字颜色 2 2 4 2 2 3 2" xfId="2655"/>
    <cellStyle name="20% - 强调文字颜色 2 2 4 2 2 3 3" xfId="1984"/>
    <cellStyle name="20% - 强调文字颜色 2 2 4 2 2 4" xfId="1551"/>
    <cellStyle name="20% - 强调文字颜色 2 2 4 2 3" xfId="73"/>
    <cellStyle name="20% - 强调文字颜色 2 2 4 2 3 2" xfId="2289"/>
    <cellStyle name="20% - 强调文字颜色 2 2 4 2 3 2 2" xfId="2323"/>
    <cellStyle name="20% - 强调文字颜色 2 2 4 2 3 2 3" xfId="2328"/>
    <cellStyle name="20% - 强调文字颜色 2 2 4 2 3 3" xfId="1380"/>
    <cellStyle name="20% - 强调文字颜色 2 2 4 2 4" xfId="2337"/>
    <cellStyle name="20% - 强调文字颜色 2 2 4 2 4 2" xfId="2354"/>
    <cellStyle name="20% - 强调文字颜色 2 2 4 2 4 3" xfId="528"/>
    <cellStyle name="20% - 强调文字颜色 2 2 4 2 5" xfId="1225"/>
    <cellStyle name="20% - 强调文字颜色 2 2 4 3" xfId="2677"/>
    <cellStyle name="20% - 强调文字颜色 2 2 4 3 2" xfId="359"/>
    <cellStyle name="20% - 强调文字颜色 2 2 4 3 2 2" xfId="2680"/>
    <cellStyle name="20% - 强调文字颜色 2 2 4 3 2 2 2" xfId="2692"/>
    <cellStyle name="20% - 强调文字颜色 2 2 4 3 2 2 3" xfId="2713"/>
    <cellStyle name="20% - 强调文字颜色 2 2 4 3 2 3" xfId="2724"/>
    <cellStyle name="20% - 强调文字颜色 2 2 4 3 3" xfId="285"/>
    <cellStyle name="20% - 强调文字颜色 2 2 4 3 3 2" xfId="2374"/>
    <cellStyle name="20% - 强调文字颜色 2 2 4 3 3 3" xfId="2399"/>
    <cellStyle name="20% - 强调文字颜色 2 2 4 3 4" xfId="2412"/>
    <cellStyle name="20% - 强调文字颜色 2 2 4 4" xfId="2740"/>
    <cellStyle name="20% - 强调文字颜色 2 2 4 4 2" xfId="599"/>
    <cellStyle name="20% - 强调文字颜色 2 2 4 4 2 2" xfId="2743"/>
    <cellStyle name="20% - 强调文字颜色 2 2 4 4 2 2 2" xfId="2756"/>
    <cellStyle name="20% - 强调文字颜色 2 2 4 4 2 2 3" xfId="20"/>
    <cellStyle name="20% - 强调文字颜色 2 2 4 4 2 3" xfId="2758"/>
    <cellStyle name="20% - 强调文字颜色 2 2 4 4 3" xfId="2428"/>
    <cellStyle name="20% - 强调文字颜色 2 2 4 4 3 2" xfId="2762"/>
    <cellStyle name="20% - 强调文字颜色 2 2 4 4 3 3" xfId="2781"/>
    <cellStyle name="20% - 强调文字颜色 2 2 4 4 4" xfId="2437"/>
    <cellStyle name="20% - 强调文字颜色 2 2 4 5" xfId="2123"/>
    <cellStyle name="20% - 强调文字颜色 2 2 4 5 2" xfId="1298"/>
    <cellStyle name="20% - 强调文字颜色 2 2 4 5 2 2" xfId="1307"/>
    <cellStyle name="20% - 强调文字颜色 2 2 4 5 2 3" xfId="1404"/>
    <cellStyle name="20% - 强调文字颜色 2 2 4 5 3" xfId="1637"/>
    <cellStyle name="20% - 强调文字颜色 2 2 4 6" xfId="2128"/>
    <cellStyle name="20% - 强调文字颜色 2 2 4 6 2" xfId="2787"/>
    <cellStyle name="20% - 强调文字颜色 2 2 4 6 3" xfId="2807"/>
    <cellStyle name="20% - 强调文字颜色 2 2 4 7" xfId="2810"/>
    <cellStyle name="20% - 强调文字颜色 2 2 5" xfId="2817"/>
    <cellStyle name="20% - 强调文字颜色 2 2 5 2" xfId="2819"/>
    <cellStyle name="20% - 强调文字颜色 2 2 5 2 2" xfId="652"/>
    <cellStyle name="20% - 强调文字颜色 2 2 5 2 2 2" xfId="1284"/>
    <cellStyle name="20% - 强调文字颜色 2 2 5 2 2 2 2" xfId="1205"/>
    <cellStyle name="20% - 强调文字颜色 2 2 5 2 2 2 3" xfId="2829"/>
    <cellStyle name="20% - 强调文字颜色 2 2 5 2 2 3" xfId="2836"/>
    <cellStyle name="20% - 强调文字颜色 2 2 5 2 3" xfId="2463"/>
    <cellStyle name="20% - 强调文字颜色 2 2 5 2 3 2" xfId="606"/>
    <cellStyle name="20% - 强调文字颜色 2 2 5 2 3 3" xfId="706"/>
    <cellStyle name="20% - 强调文字颜色 2 2 5 2 4" xfId="2477"/>
    <cellStyle name="20% - 强调文字颜色 2 2 5 3" xfId="2843"/>
    <cellStyle name="20% - 强调文字颜色 2 2 5 3 2" xfId="679"/>
    <cellStyle name="20% - 强调文字颜色 2 2 5 3 2 2" xfId="1612"/>
    <cellStyle name="20% - 强调文字颜色 2 2 5 3 2 3" xfId="1325"/>
    <cellStyle name="20% - 强调文字颜色 2 2 5 3 3" xfId="2502"/>
    <cellStyle name="20% - 强调文字颜色 2 2 5 4" xfId="1945"/>
    <cellStyle name="20% - 强调文字颜色 2 2 5 4 2" xfId="2846"/>
    <cellStyle name="20% - 强调文字颜色 2 2 5 4 3" xfId="2850"/>
    <cellStyle name="20% - 强调文字颜色 2 2 5 5" xfId="2143"/>
    <cellStyle name="20% - 强调文字颜色 2 2 6" xfId="2858"/>
    <cellStyle name="20% - 强调文字颜色 2 2 6 2" xfId="2862"/>
    <cellStyle name="20% - 强调文字颜色 2 2 6 2 2" xfId="771"/>
    <cellStyle name="20% - 强调文字颜色 2 2 6 2 2 2" xfId="2863"/>
    <cellStyle name="20% - 强调文字颜色 2 2 6 2 2 3" xfId="2651"/>
    <cellStyle name="20% - 强调文字颜色 2 2 6 2 3" xfId="2560"/>
    <cellStyle name="20% - 强调文字颜色 2 2 6 3" xfId="2867"/>
    <cellStyle name="20% - 强调文字颜色 2 2 6 3 2" xfId="826"/>
    <cellStyle name="20% - 强调文字颜色 2 2 6 3 3" xfId="2581"/>
    <cellStyle name="20% - 强调文字颜色 2 2 6 4" xfId="2868"/>
    <cellStyle name="20% - 强调文字颜色 2 2 7" xfId="2872"/>
    <cellStyle name="20% - 强调文字颜色 2 2 7 2" xfId="1086"/>
    <cellStyle name="20% - 强调文字颜色 2 2 7 2 2" xfId="137"/>
    <cellStyle name="20% - 强调文字颜色 2 2 7 2 2 2" xfId="2875"/>
    <cellStyle name="20% - 强调文字颜色 2 2 7 2 2 3" xfId="2876"/>
    <cellStyle name="20% - 强调文字颜色 2 2 7 2 3" xfId="2195"/>
    <cellStyle name="20% - 强调文字颜色 2 2 7 3" xfId="2883"/>
    <cellStyle name="20% - 强调文字颜色 2 2 7 3 2" xfId="2885"/>
    <cellStyle name="20% - 强调文字颜色 2 2 7 3 3" xfId="2891"/>
    <cellStyle name="20% - 强调文字颜色 2 2 7 4" xfId="2041"/>
    <cellStyle name="20% - 强调文字颜色 2 2 8" xfId="2905"/>
    <cellStyle name="20% - 强调文字颜色 2 2 8 2" xfId="2915"/>
    <cellStyle name="20% - 强调文字颜色 2 2 8 2 2" xfId="2917"/>
    <cellStyle name="20% - 强调文字颜色 2 2 8 2 3" xfId="2923"/>
    <cellStyle name="20% - 强调文字颜色 2 2 8 3" xfId="2935"/>
    <cellStyle name="20% - 强调文字颜色 2 2 9" xfId="1903"/>
    <cellStyle name="20% - 强调文字颜色 2 2 9 2" xfId="1910"/>
    <cellStyle name="20% - 强调文字颜色 3 2" xfId="2947"/>
    <cellStyle name="20% - 强调文字颜色 3 2 10" xfId="2955"/>
    <cellStyle name="20% - 强调文字颜色 3 2 2" xfId="2093"/>
    <cellStyle name="20% - 强调文字颜色 3 2 2 2" xfId="2963"/>
    <cellStyle name="20% - 强调文字颜色 3 2 2 2 2" xfId="2972"/>
    <cellStyle name="20% - 强调文字颜色 3 2 2 2 2 2" xfId="2973"/>
    <cellStyle name="20% - 强调文字颜色 3 2 2 2 2 2 2" xfId="1156"/>
    <cellStyle name="20% - 强调文字颜色 3 2 2 2 2 2 2 2" xfId="2798"/>
    <cellStyle name="20% - 强调文字颜色 3 2 2 2 2 2 2 3" xfId="2986"/>
    <cellStyle name="20% - 强调文字颜色 3 2 2 2 2 2 3" xfId="2380"/>
    <cellStyle name="20% - 强调文字颜色 3 2 2 2 2 3" xfId="2992"/>
    <cellStyle name="20% - 强调文字颜色 3 2 2 2 2 3 2" xfId="3010"/>
    <cellStyle name="20% - 强调文字颜色 3 2 2 2 2 3 3" xfId="3013"/>
    <cellStyle name="20% - 强调文字颜色 3 2 2 2 2 4" xfId="2229"/>
    <cellStyle name="20% - 强调文字颜色 3 2 2 2 3" xfId="3019"/>
    <cellStyle name="20% - 强调文字颜色 3 2 2 2 3 2" xfId="3024"/>
    <cellStyle name="20% - 强调文字颜色 3 2 2 2 3 2 2" xfId="1242"/>
    <cellStyle name="20% - 强调文字颜色 3 2 2 2 3 2 3" xfId="2775"/>
    <cellStyle name="20% - 强调文字颜色 3 2 2 2 3 3" xfId="3037"/>
    <cellStyle name="20% - 强调文字颜色 3 2 2 2 4" xfId="88"/>
    <cellStyle name="20% - 强调文字颜色 3 2 2 2 4 2" xfId="1798"/>
    <cellStyle name="20% - 强调文字颜色 3 2 2 2 4 3" xfId="1807"/>
    <cellStyle name="20% - 强调文字颜色 3 2 2 2 5" xfId="1811"/>
    <cellStyle name="20% - 强调文字颜色 3 2 2 3" xfId="3043"/>
    <cellStyle name="20% - 强调文字颜色 3 2 2 3 2" xfId="3051"/>
    <cellStyle name="20% - 强调文字颜色 3 2 2 3 2 2" xfId="1618"/>
    <cellStyle name="20% - 强调文字颜色 3 2 2 3 2 2 2" xfId="1465"/>
    <cellStyle name="20% - 强调文字颜色 3 2 2 3 2 2 3" xfId="3057"/>
    <cellStyle name="20% - 强调文字颜色 3 2 2 3 2 3" xfId="3064"/>
    <cellStyle name="20% - 强调文字颜色 3 2 2 3 3" xfId="3068"/>
    <cellStyle name="20% - 强调文字颜色 3 2 2 3 3 2" xfId="3073"/>
    <cellStyle name="20% - 强调文字颜色 3 2 2 3 3 3" xfId="273"/>
    <cellStyle name="20% - 强调文字颜色 3 2 2 3 4" xfId="1644"/>
    <cellStyle name="20% - 强调文字颜色 3 2 2 4" xfId="3084"/>
    <cellStyle name="20% - 强调文字颜色 3 2 2 4 2" xfId="3090"/>
    <cellStyle name="20% - 强调文字颜色 3 2 2 4 2 2" xfId="1001"/>
    <cellStyle name="20% - 强调文字颜色 3 2 2 4 2 2 2" xfId="3102"/>
    <cellStyle name="20% - 强调文字颜色 3 2 2 4 2 2 3" xfId="3120"/>
    <cellStyle name="20% - 强调文字颜色 3 2 2 4 2 3" xfId="3129"/>
    <cellStyle name="20% - 强调文字颜色 3 2 2 4 3" xfId="3137"/>
    <cellStyle name="20% - 强调文字颜色 3 2 2 4 3 2" xfId="244"/>
    <cellStyle name="20% - 强调文字颜色 3 2 2 4 3 3" xfId="3147"/>
    <cellStyle name="20% - 强调文字颜色 3 2 2 4 4" xfId="1683"/>
    <cellStyle name="20% - 强调文字颜色 3 2 2 5" xfId="3157"/>
    <cellStyle name="20% - 强调文字颜色 3 2 2 5 2" xfId="356"/>
    <cellStyle name="20% - 强调文字颜色 3 2 2 5 2 2" xfId="493"/>
    <cellStyle name="20% - 强调文字颜色 3 2 2 5 2 3" xfId="3159"/>
    <cellStyle name="20% - 强调文字颜色 3 2 2 5 3" xfId="3168"/>
    <cellStyle name="20% - 强调文字颜色 3 2 2 6" xfId="3175"/>
    <cellStyle name="20% - 强调文字颜色 3 2 2 6 2" xfId="587"/>
    <cellStyle name="20% - 强调文字颜色 3 2 2 6 3" xfId="1593"/>
    <cellStyle name="20% - 强调文字颜色 3 2 2 7" xfId="3177"/>
    <cellStyle name="20% - 强调文字颜色 3 2 3" xfId="1859"/>
    <cellStyle name="20% - 强调文字颜色 3 2 3 2" xfId="3184"/>
    <cellStyle name="20% - 强调文字颜色 3 2 3 2 2" xfId="795"/>
    <cellStyle name="20% - 强调文字颜色 3 2 3 2 2 2" xfId="804"/>
    <cellStyle name="20% - 强调文字颜色 3 2 3 2 2 2 2" xfId="3187"/>
    <cellStyle name="20% - 强调文字颜色 3 2 3 2 2 2 2 2" xfId="3194"/>
    <cellStyle name="20% - 强调文字颜色 3 2 3 2 2 2 2 3" xfId="3204"/>
    <cellStyle name="20% - 强调文字颜色 3 2 3 2 2 2 3" xfId="2300"/>
    <cellStyle name="20% - 强调文字颜色 3 2 3 2 2 3" xfId="824"/>
    <cellStyle name="20% - 强调文字颜色 3 2 3 2 2 3 2" xfId="979"/>
    <cellStyle name="20% - 强调文字颜色 3 2 3 2 2 3 3" xfId="3209"/>
    <cellStyle name="20% - 强调文字颜色 3 2 3 2 2 4" xfId="2587"/>
    <cellStyle name="20% - 强调文字颜色 3 2 3 2 3" xfId="843"/>
    <cellStyle name="20% - 强调文字颜色 3 2 3 2 3 2" xfId="3219"/>
    <cellStyle name="20% - 强调文字颜色 3 2 3 2 3 2 2" xfId="3226"/>
    <cellStyle name="20% - 强调文字颜色 3 2 3 2 3 2 3" xfId="3231"/>
    <cellStyle name="20% - 强调文字颜色 3 2 3 2 3 3" xfId="3242"/>
    <cellStyle name="20% - 强调文字颜色 3 2 3 2 4" xfId="3251"/>
    <cellStyle name="20% - 强调文字颜色 3 2 3 2 4 2" xfId="1847"/>
    <cellStyle name="20% - 强调文字颜色 3 2 3 2 4 3" xfId="3269"/>
    <cellStyle name="20% - 强调文字颜色 3 2 3 2 5" xfId="3283"/>
    <cellStyle name="20% - 强调文字颜色 3 2 3 3" xfId="3299"/>
    <cellStyle name="20% - 强调文字颜色 3 2 3 3 2" xfId="3304"/>
    <cellStyle name="20% - 强调文字颜色 3 2 3 3 2 2" xfId="2811"/>
    <cellStyle name="20% - 强调文字颜色 3 2 3 3 2 2 2" xfId="1996"/>
    <cellStyle name="20% - 强调文字颜色 3 2 3 3 2 2 3" xfId="3311"/>
    <cellStyle name="20% - 强调文字颜色 3 2 3 3 2 3" xfId="2887"/>
    <cellStyle name="20% - 强调文字颜色 3 2 3 3 3" xfId="3320"/>
    <cellStyle name="20% - 强调文字颜色 3 2 3 3 3 2" xfId="3329"/>
    <cellStyle name="20% - 强调文字颜色 3 2 3 3 3 3" xfId="3342"/>
    <cellStyle name="20% - 强调文字颜色 3 2 3 3 4" xfId="1734"/>
    <cellStyle name="20% - 强调文字颜色 3 2 3 4" xfId="3355"/>
    <cellStyle name="20% - 强调文字颜色 3 2 3 4 2" xfId="3361"/>
    <cellStyle name="20% - 强调文字颜色 3 2 3 4 2 2" xfId="3365"/>
    <cellStyle name="20% - 强调文字颜色 3 2 3 4 2 2 2" xfId="3371"/>
    <cellStyle name="20% - 强调文字颜色 3 2 3 4 2 2 3" xfId="3377"/>
    <cellStyle name="20% - 强调文字颜色 3 2 3 4 2 3" xfId="3390"/>
    <cellStyle name="20% - 强调文字颜色 3 2 3 4 3" xfId="3398"/>
    <cellStyle name="20% - 强调文字颜色 3 2 3 4 3 2" xfId="3413"/>
    <cellStyle name="20% - 强调文字颜色 3 2 3 4 3 3" xfId="3424"/>
    <cellStyle name="20% - 强调文字颜色 3 2 3 4 4" xfId="3435"/>
    <cellStyle name="20% - 强调文字颜色 3 2 3 5" xfId="3440"/>
    <cellStyle name="20% - 强调文字颜色 3 2 3 5 2" xfId="3447"/>
    <cellStyle name="20% - 强调文字颜色 3 2 3 5 2 2" xfId="1786"/>
    <cellStyle name="20% - 强调文字颜色 3 2 3 5 2 3" xfId="1837"/>
    <cellStyle name="20% - 强调文字颜色 3 2 3 5 3" xfId="3454"/>
    <cellStyle name="20% - 强调文字颜色 3 2 3 6" xfId="3459"/>
    <cellStyle name="20% - 强调文字颜色 3 2 3 6 2" xfId="3463"/>
    <cellStyle name="20% - 强调文字颜色 3 2 3 6 3" xfId="3471"/>
    <cellStyle name="20% - 强调文字颜色 3 2 3 7" xfId="3477"/>
    <cellStyle name="20% - 强调文字颜色 3 2 4" xfId="3266"/>
    <cellStyle name="20% - 强调文字颜色 3 2 4 2" xfId="3491"/>
    <cellStyle name="20% - 强调文字颜色 3 2 4 2 2" xfId="3496"/>
    <cellStyle name="20% - 强调文字颜色 3 2 4 2 2 2" xfId="1229"/>
    <cellStyle name="20% - 强调文字颜色 3 2 4 2 2 2 2" xfId="2216"/>
    <cellStyle name="20% - 强调文字颜色 3 2 4 2 2 2 2 2" xfId="3296"/>
    <cellStyle name="20% - 强调文字颜色 3 2 4 2 2 2 2 3" xfId="3352"/>
    <cellStyle name="20% - 强调文字颜色 3 2 4 2 2 2 3" xfId="623"/>
    <cellStyle name="20% - 强调文字颜色 3 2 4 2 2 3" xfId="3499"/>
    <cellStyle name="20% - 强调文字颜色 3 2 4 2 2 3 2" xfId="3505"/>
    <cellStyle name="20% - 强调文字颜色 3 2 4 2 2 3 3" xfId="722"/>
    <cellStyle name="20% - 强调文字颜色 3 2 4 2 2 4" xfId="3508"/>
    <cellStyle name="20% - 强调文字颜色 3 2 4 2 3" xfId="3514"/>
    <cellStyle name="20% - 强调文字颜色 3 2 4 2 3 2" xfId="3520"/>
    <cellStyle name="20% - 强调文字颜色 3 2 4 2 3 2 2" xfId="3524"/>
    <cellStyle name="20% - 强调文字颜色 3 2 4 2 3 2 3" xfId="1104"/>
    <cellStyle name="20% - 强调文字颜色 3 2 4 2 3 3" xfId="3528"/>
    <cellStyle name="20% - 强调文字颜色 3 2 4 2 4" xfId="3532"/>
    <cellStyle name="20% - 强调文字颜色 3 2 4 2 4 2" xfId="3546"/>
    <cellStyle name="20% - 强调文字颜色 3 2 4 2 4 3" xfId="3562"/>
    <cellStyle name="20% - 强调文字颜色 3 2 4 2 5" xfId="3569"/>
    <cellStyle name="20% - 强调文字颜色 3 2 4 3" xfId="639"/>
    <cellStyle name="20% - 强调文字颜色 3 2 4 3 2" xfId="646"/>
    <cellStyle name="20% - 强调文字颜色 3 2 4 3 2 2" xfId="3572"/>
    <cellStyle name="20% - 强调文字颜色 3 2 4 3 2 2 2" xfId="1402"/>
    <cellStyle name="20% - 强调文字颜色 3 2 4 3 2 2 3" xfId="1468"/>
    <cellStyle name="20% - 强调文字颜色 3 2 4 3 2 3" xfId="3582"/>
    <cellStyle name="20% - 强调文字颜色 3 2 4 3 3" xfId="650"/>
    <cellStyle name="20% - 强调文字颜色 3 2 4 3 3 2" xfId="3594"/>
    <cellStyle name="20% - 强调文字颜色 3 2 4 3 3 3" xfId="3601"/>
    <cellStyle name="20% - 强调文字颜色 3 2 4 3 4" xfId="3608"/>
    <cellStyle name="20% - 强调文字颜色 3 2 4 4" xfId="654"/>
    <cellStyle name="20% - 强调文字颜色 3 2 4 4 2" xfId="3617"/>
    <cellStyle name="20% - 强调文字颜色 3 2 4 4 2 2" xfId="3626"/>
    <cellStyle name="20% - 强调文字颜色 3 2 4 4 2 2 2" xfId="2666"/>
    <cellStyle name="20% - 强调文字颜色 3 2 4 4 2 2 3" xfId="2732"/>
    <cellStyle name="20% - 强调文字颜色 3 2 4 4 2 3" xfId="3636"/>
    <cellStyle name="20% - 强调文字颜色 3 2 4 4 3" xfId="3645"/>
    <cellStyle name="20% - 强调文字颜色 3 2 4 4 3 2" xfId="3653"/>
    <cellStyle name="20% - 强调文字颜色 3 2 4 4 3 3" xfId="3660"/>
    <cellStyle name="20% - 强调文字颜色 3 2 4 4 4" xfId="381"/>
    <cellStyle name="20% - 强调文字颜色 3 2 4 5" xfId="2472"/>
    <cellStyle name="20% - 强调文字颜色 3 2 4 5 2" xfId="613"/>
    <cellStyle name="20% - 强调文字颜色 3 2 4 5 2 2" xfId="624"/>
    <cellStyle name="20% - 强调文字颜色 3 2 4 5 2 3" xfId="660"/>
    <cellStyle name="20% - 强调文字颜色 3 2 4 5 3" xfId="712"/>
    <cellStyle name="20% - 强调文字颜色 3 2 4 6" xfId="2493"/>
    <cellStyle name="20% - 强调文字颜色 3 2 4 6 2" xfId="1090"/>
    <cellStyle name="20% - 强调文字颜色 3 2 4 6 3" xfId="1166"/>
    <cellStyle name="20% - 强调文字颜色 3 2 4 7" xfId="3580"/>
    <cellStyle name="20% - 强调文字颜色 3 2 5" xfId="3680"/>
    <cellStyle name="20% - 强调文字颜色 3 2 5 2" xfId="3689"/>
    <cellStyle name="20% - 强调文字颜色 3 2 5 2 2" xfId="3690"/>
    <cellStyle name="20% - 强调文字颜色 3 2 5 2 2 2" xfId="1548"/>
    <cellStyle name="20% - 强调文字颜色 3 2 5 2 2 2 2" xfId="2177"/>
    <cellStyle name="20% - 强调文字颜色 3 2 5 2 2 2 3" xfId="2113"/>
    <cellStyle name="20% - 强调文字颜色 3 2 5 2 2 3" xfId="3694"/>
    <cellStyle name="20% - 强调文字颜色 3 2 5 2 3" xfId="3699"/>
    <cellStyle name="20% - 强调文字颜色 3 2 5 2 3 2" xfId="1392"/>
    <cellStyle name="20% - 强调文字颜色 3 2 5 2 3 3" xfId="3705"/>
    <cellStyle name="20% - 强调文字颜色 3 2 5 2 4" xfId="3716"/>
    <cellStyle name="20% - 强调文字颜色 3 2 5 3" xfId="678"/>
    <cellStyle name="20% - 强调文字颜色 3 2 5 3 2" xfId="116"/>
    <cellStyle name="20% - 强调文字颜色 3 2 5 3 2 2" xfId="3722"/>
    <cellStyle name="20% - 强调文字颜色 3 2 5 3 2 3" xfId="3733"/>
    <cellStyle name="20% - 强调文字颜色 3 2 5 3 3" xfId="231"/>
    <cellStyle name="20% - 强调文字颜色 3 2 5 4" xfId="694"/>
    <cellStyle name="20% - 强调文字颜色 3 2 5 4 2" xfId="3738"/>
    <cellStyle name="20% - 强调文字颜色 3 2 5 4 3" xfId="1334"/>
    <cellStyle name="20% - 强调文字颜色 3 2 5 5" xfId="2518"/>
    <cellStyle name="20% - 强调文字颜色 3 2 6" xfId="3769"/>
    <cellStyle name="20% - 强调文字颜色 3 2 6 2" xfId="3779"/>
    <cellStyle name="20% - 强调文字颜色 3 2 6 2 2" xfId="3784"/>
    <cellStyle name="20% - 强调文字颜色 3 2 6 2 2 2" xfId="3794"/>
    <cellStyle name="20% - 强调文字颜色 3 2 6 2 2 3" xfId="3800"/>
    <cellStyle name="20% - 强调文字颜色 3 2 6 2 3" xfId="3815"/>
    <cellStyle name="20% - 强调文字颜色 3 2 6 3" xfId="3824"/>
    <cellStyle name="20% - 强调文字颜色 3 2 6 3 2" xfId="3829"/>
    <cellStyle name="20% - 强调文字颜色 3 2 6 3 3" xfId="3837"/>
    <cellStyle name="20% - 强调文字颜色 3 2 6 4" xfId="3840"/>
    <cellStyle name="20% - 强调文字颜色 3 2 7" xfId="3848"/>
    <cellStyle name="20% - 强调文字颜色 3 2 7 2" xfId="3859"/>
    <cellStyle name="20% - 强调文字颜色 3 2 7 2 2" xfId="1699"/>
    <cellStyle name="20% - 强调文字颜色 3 2 7 2 2 2" xfId="3861"/>
    <cellStyle name="20% - 强调文字颜色 3 2 7 2 2 3" xfId="3872"/>
    <cellStyle name="20% - 强调文字颜色 3 2 7 2 3" xfId="3877"/>
    <cellStyle name="20% - 强调文字颜色 3 2 7 3" xfId="3883"/>
    <cellStyle name="20% - 强调文字颜色 3 2 7 3 2" xfId="3894"/>
    <cellStyle name="20% - 强调文字颜色 3 2 7 3 3" xfId="3900"/>
    <cellStyle name="20% - 强调文字颜色 3 2 7 4" xfId="3905"/>
    <cellStyle name="20% - 强调文字颜色 3 2 8" xfId="3093"/>
    <cellStyle name="20% - 强调文字颜色 3 2 8 2" xfId="997"/>
    <cellStyle name="20% - 强调文字颜色 3 2 8 2 2" xfId="3101"/>
    <cellStyle name="20% - 强调文字颜色 3 2 8 2 3" xfId="3119"/>
    <cellStyle name="20% - 强调文字颜色 3 2 8 3" xfId="3126"/>
    <cellStyle name="20% - 强调文字颜色 3 2 9" xfId="3140"/>
    <cellStyle name="20% - 强调文字颜色 3 2 9 2" xfId="239"/>
    <cellStyle name="20% - 强调文字颜色 4 2" xfId="584"/>
    <cellStyle name="20% - 强调文字颜色 4 2 10" xfId="3914"/>
    <cellStyle name="20% - 强调文字颜色 4 2 2" xfId="3919"/>
    <cellStyle name="20% - 强调文字颜色 4 2 2 2" xfId="3926"/>
    <cellStyle name="20% - 强调文字颜色 4 2 2 2 2" xfId="3928"/>
    <cellStyle name="20% - 强调文字颜色 4 2 2 2 2 2" xfId="3940"/>
    <cellStyle name="20% - 强调文字颜色 4 2 2 2 2 2 2" xfId="1913"/>
    <cellStyle name="20% - 强调文字颜色 4 2 2 2 2 2 2 2" xfId="1831"/>
    <cellStyle name="20% - 强调文字颜色 4 2 2 2 2 2 2 3" xfId="1894"/>
    <cellStyle name="20% - 强调文字颜色 4 2 2 2 2 2 3" xfId="3944"/>
    <cellStyle name="20% - 强调文字颜色 4 2 2 2 2 3" xfId="1014"/>
    <cellStyle name="20% - 强调文字颜色 4 2 2 2 2 3 2" xfId="3950"/>
    <cellStyle name="20% - 强调文字颜色 4 2 2 2 2 3 3" xfId="3953"/>
    <cellStyle name="20% - 强调文字颜色 4 2 2 2 2 4" xfId="251"/>
    <cellStyle name="20% - 强调文字颜色 4 2 2 2 3" xfId="738"/>
    <cellStyle name="20% - 强调文字颜色 4 2 2 2 3 2" xfId="747"/>
    <cellStyle name="20% - 强调文字颜色 4 2 2 2 3 2 2" xfId="3954"/>
    <cellStyle name="20% - 强调文字颜色 4 2 2 2 3 2 3" xfId="3956"/>
    <cellStyle name="20% - 强调文字颜色 4 2 2 2 3 3" xfId="755"/>
    <cellStyle name="20% - 强调文字颜色 4 2 2 2 4" xfId="786"/>
    <cellStyle name="20% - 强调文字颜色 4 2 2 2 4 2" xfId="3962"/>
    <cellStyle name="20% - 强调文字颜色 4 2 2 2 4 3" xfId="2654"/>
    <cellStyle name="20% - 强调文字颜色 4 2 2 2 5" xfId="2575"/>
    <cellStyle name="20% - 强调文字颜色 4 2 2 3" xfId="3965"/>
    <cellStyle name="20% - 强调文字颜色 4 2 2 3 2" xfId="3968"/>
    <cellStyle name="20% - 强调文字颜色 4 2 2 3 2 2" xfId="3973"/>
    <cellStyle name="20% - 强调文字颜色 4 2 2 3 2 2 2" xfId="3152"/>
    <cellStyle name="20% - 强调文字颜色 4 2 2 3 2 2 3" xfId="3976"/>
    <cellStyle name="20% - 强调文字颜色 4 2 2 3 2 3" xfId="3984"/>
    <cellStyle name="20% - 强调文字颜色 4 2 2 3 3" xfId="817"/>
    <cellStyle name="20% - 强调文字颜色 4 2 2 3 3 2" xfId="3988"/>
    <cellStyle name="20% - 强调文字颜色 4 2 2 3 3 3" xfId="2313"/>
    <cellStyle name="20% - 强调文字颜色 4 2 2 3 4" xfId="837"/>
    <cellStyle name="20% - 强调文字颜色 4 2 2 4" xfId="3991"/>
    <cellStyle name="20% - 强调文字颜色 4 2 2 4 2" xfId="3995"/>
    <cellStyle name="20% - 强调文字颜色 4 2 2 4 2 2" xfId="3997"/>
    <cellStyle name="20% - 强调文字颜色 4 2 2 4 2 2 2" xfId="3419"/>
    <cellStyle name="20% - 强调文字颜色 4 2 2 4 2 2 3" xfId="4006"/>
    <cellStyle name="20% - 强调文字颜色 4 2 2 4 2 3" xfId="4017"/>
    <cellStyle name="20% - 强调文字颜色 4 2 2 4 3" xfId="4018"/>
    <cellStyle name="20% - 强调文字颜色 4 2 2 4 3 2" xfId="3947"/>
    <cellStyle name="20% - 强调文字颜色 4 2 2 4 3 3" xfId="4020"/>
    <cellStyle name="20% - 强调文字颜色 4 2 2 4 4" xfId="4021"/>
    <cellStyle name="20% - 强调文字颜色 4 2 2 5" xfId="4025"/>
    <cellStyle name="20% - 强调文字颜色 4 2 2 5 2" xfId="4036"/>
    <cellStyle name="20% - 强调文字颜色 4 2 2 5 2 2" xfId="4042"/>
    <cellStyle name="20% - 强调文字颜色 4 2 2 5 2 3" xfId="4050"/>
    <cellStyle name="20% - 强调文字颜色 4 2 2 5 3" xfId="1866"/>
    <cellStyle name="20% - 强调文字颜色 4 2 2 6" xfId="354"/>
    <cellStyle name="20% - 强调文字颜色 4 2 2 6 2" xfId="496"/>
    <cellStyle name="20% - 强调文字颜色 4 2 2 6 3" xfId="3163"/>
    <cellStyle name="20% - 强调文字颜色 4 2 2 7" xfId="3166"/>
    <cellStyle name="20% - 强调文字颜色 4 2 3" xfId="4056"/>
    <cellStyle name="20% - 强调文字颜色 4 2 3 2" xfId="3197"/>
    <cellStyle name="20% - 强调文字颜色 4 2 3 2 2" xfId="4059"/>
    <cellStyle name="20% - 强调文字颜色 4 2 3 2 2 2" xfId="2232"/>
    <cellStyle name="20% - 强调文字颜色 4 2 3 2 2 2 2" xfId="2932"/>
    <cellStyle name="20% - 强调文字颜色 4 2 3 2 2 2 2 2" xfId="4073"/>
    <cellStyle name="20% - 强调文字颜色 4 2 3 2 2 2 2 3" xfId="4086"/>
    <cellStyle name="20% - 强调文字颜色 4 2 3 2 2 2 3" xfId="4090"/>
    <cellStyle name="20% - 强调文字颜色 4 2 3 2 2 3" xfId="4098"/>
    <cellStyle name="20% - 强调文字颜色 4 2 3 2 2 3 2" xfId="4107"/>
    <cellStyle name="20% - 强调文字颜色 4 2 3 2 2 3 3" xfId="4119"/>
    <cellStyle name="20% - 强调文字颜色 4 2 3 2 2 4" xfId="4126"/>
    <cellStyle name="20% - 强调文字颜色 4 2 3 2 3" xfId="884"/>
    <cellStyle name="20% - 强调文字颜色 4 2 3 2 3 2" xfId="4133"/>
    <cellStyle name="20% - 强调文字颜色 4 2 3 2 3 2 2" xfId="4134"/>
    <cellStyle name="20% - 强调文字颜色 4 2 3 2 3 2 3" xfId="4138"/>
    <cellStyle name="20% - 强调文字颜色 4 2 3 2 3 3" xfId="2707"/>
    <cellStyle name="20% - 强调文字颜色 4 2 3 2 4" xfId="140"/>
    <cellStyle name="20% - 强调文字颜色 4 2 3 2 4 2" xfId="4144"/>
    <cellStyle name="20% - 强调文字颜色 4 2 3 2 4 3" xfId="4163"/>
    <cellStyle name="20% - 强调文字颜色 4 2 3 2 5" xfId="2200"/>
    <cellStyle name="20% - 强调文字颜色 4 2 3 3" xfId="4170"/>
    <cellStyle name="20% - 强调文字颜色 4 2 3 3 2" xfId="4174"/>
    <cellStyle name="20% - 强调文字颜色 4 2 3 3 2 2" xfId="4180"/>
    <cellStyle name="20% - 强调文字颜色 4 2 3 3 2 2 2" xfId="4183"/>
    <cellStyle name="20% - 强调文字颜色 4 2 3 3 2 2 3" xfId="4190"/>
    <cellStyle name="20% - 强调文字颜色 4 2 3 3 2 3" xfId="2794"/>
    <cellStyle name="20% - 强调文字颜色 4 2 3 3 3" xfId="4196"/>
    <cellStyle name="20% - 强调文字颜色 4 2 3 3 3 2" xfId="4201"/>
    <cellStyle name="20% - 强调文字颜色 4 2 3 3 3 3" xfId="4204"/>
    <cellStyle name="20% - 强调文字颜色 4 2 3 3 4" xfId="4206"/>
    <cellStyle name="20% - 强调文字颜色 4 2 3 4" xfId="4213"/>
    <cellStyle name="20% - 强调文字颜色 4 2 3 4 2" xfId="4216"/>
    <cellStyle name="20% - 强调文字颜色 4 2 3 4 2 2" xfId="4221"/>
    <cellStyle name="20% - 强调文字颜色 4 2 3 4 2 2 2" xfId="4227"/>
    <cellStyle name="20% - 强调文字颜色 4 2 3 4 2 2 3" xfId="4242"/>
    <cellStyle name="20% - 强调文字颜色 4 2 3 4 2 3" xfId="4248"/>
    <cellStyle name="20% - 强调文字颜色 4 2 3 4 3" xfId="4251"/>
    <cellStyle name="20% - 强调文字颜色 4 2 3 4 3 2" xfId="3982"/>
    <cellStyle name="20% - 强调文字颜色 4 2 3 4 3 3" xfId="4261"/>
    <cellStyle name="20% - 强调文字颜色 4 2 3 4 4" xfId="4263"/>
    <cellStyle name="20% - 强调文字颜色 4 2 3 5" xfId="4264"/>
    <cellStyle name="20% - 强调文字颜色 4 2 3 5 2" xfId="4271"/>
    <cellStyle name="20% - 强调文字颜色 4 2 3 5 2 2" xfId="4281"/>
    <cellStyle name="20% - 强调文字颜色 4 2 3 5 2 3" xfId="4069"/>
    <cellStyle name="20% - 强调文字颜色 4 2 3 5 3" xfId="4288"/>
    <cellStyle name="20% - 强调文字颜色 4 2 3 6" xfId="585"/>
    <cellStyle name="20% - 强调文字颜色 4 2 3 6 2" xfId="4296"/>
    <cellStyle name="20% - 强调文字颜色 4 2 3 6 3" xfId="2952"/>
    <cellStyle name="20% - 强调文字颜色 4 2 3 7" xfId="1591"/>
    <cellStyle name="20% - 强调文字颜色 4 2 4" xfId="4302"/>
    <cellStyle name="20% - 强调文字颜色 4 2 4 2" xfId="4309"/>
    <cellStyle name="20% - 强调文字颜色 4 2 4 2 2" xfId="4321"/>
    <cellStyle name="20% - 强调文字颜色 4 2 4 2 2 2" xfId="2590"/>
    <cellStyle name="20% - 强调文字颜色 4 2 4 2 2 2 2" xfId="3114"/>
    <cellStyle name="20% - 强调文字颜色 4 2 4 2 2 2 2 2" xfId="4331"/>
    <cellStyle name="20% - 强调文字颜色 4 2 4 2 2 2 2 3" xfId="4335"/>
    <cellStyle name="20% - 强调文字颜色 4 2 4 2 2 2 3" xfId="4350"/>
    <cellStyle name="20% - 强调文字颜色 4 2 4 2 2 3" xfId="4360"/>
    <cellStyle name="20% - 强调文字颜色 4 2 4 2 2 3 2" xfId="4369"/>
    <cellStyle name="20% - 强调文字颜色 4 2 4 2 2 3 3" xfId="4380"/>
    <cellStyle name="20% - 强调文字颜色 4 2 4 2 2 4" xfId="4390"/>
    <cellStyle name="20% - 强调文字颜色 4 2 4 2 3" xfId="4395"/>
    <cellStyle name="20% - 强调文字颜色 4 2 4 2 3 2" xfId="4404"/>
    <cellStyle name="20% - 强调文字颜色 4 2 4 2 3 2 2" xfId="36"/>
    <cellStyle name="20% - 强调文字颜色 4 2 4 2 3 2 3" xfId="435"/>
    <cellStyle name="20% - 强调文字颜色 4 2 4 2 3 3" xfId="2753"/>
    <cellStyle name="20% - 强调文字颜色 4 2 4 2 4" xfId="4409"/>
    <cellStyle name="20% - 强调文字颜色 4 2 4 2 4 2" xfId="3666"/>
    <cellStyle name="20% - 强调文字颜色 4 2 4 2 4 3" xfId="3752"/>
    <cellStyle name="20% - 强调文字颜色 4 2 4 2 5" xfId="4414"/>
    <cellStyle name="20% - 强调文字颜色 4 2 4 3" xfId="67"/>
    <cellStyle name="20% - 强调文字颜色 4 2 4 3 2" xfId="425"/>
    <cellStyle name="20% - 强调文字颜色 4 2 4 3 2 2" xfId="2897"/>
    <cellStyle name="20% - 强调文字颜色 4 2 4 3 2 2 2" xfId="4424"/>
    <cellStyle name="20% - 强调文字颜色 4 2 4 3 2 2 3" xfId="4435"/>
    <cellStyle name="20% - 强调文字颜色 4 2 4 3 2 3" xfId="4439"/>
    <cellStyle name="20% - 强调文字颜色 4 2 4 3 3" xfId="429"/>
    <cellStyle name="20% - 强调文字颜色 4 2 4 3 3 2" xfId="4450"/>
    <cellStyle name="20% - 强调文字颜色 4 2 4 3 3 3" xfId="4455"/>
    <cellStyle name="20% - 强调文字颜色 4 2 4 3 4" xfId="464"/>
    <cellStyle name="20% - 强调文字颜色 4 2 4 4" xfId="1123"/>
    <cellStyle name="20% - 强调文字颜色 4 2 4 4 2" xfId="4094"/>
    <cellStyle name="20% - 强调文字颜色 4 2 4 4 2 2" xfId="4104"/>
    <cellStyle name="20% - 强调文字颜色 4 2 4 4 2 2 2" xfId="4466"/>
    <cellStyle name="20% - 强调文字颜色 4 2 4 4 2 2 3" xfId="4481"/>
    <cellStyle name="20% - 强调文字颜色 4 2 4 4 2 3" xfId="4116"/>
    <cellStyle name="20% - 强调文字颜色 4 2 4 4 3" xfId="4129"/>
    <cellStyle name="20% - 强调文字颜色 4 2 4 4 3 2" xfId="4014"/>
    <cellStyle name="20% - 强调文字颜色 4 2 4 4 3 3" xfId="4489"/>
    <cellStyle name="20% - 强调文字颜色 4 2 4 4 4" xfId="4495"/>
    <cellStyle name="20% - 强调文字颜色 4 2 4 5" xfId="2688"/>
    <cellStyle name="20% - 强调文字颜色 4 2 4 5 2" xfId="2701"/>
    <cellStyle name="20% - 强调文字颜色 4 2 4 5 2 2" xfId="1890"/>
    <cellStyle name="20% - 强调文字颜色 4 2 4 5 2 3" xfId="1931"/>
    <cellStyle name="20% - 强调文字颜色 4 2 4 5 3" xfId="2721"/>
    <cellStyle name="20% - 强调文字颜色 4 2 4 6" xfId="2728"/>
    <cellStyle name="20% - 强调文字颜色 4 2 4 6 2" xfId="4159"/>
    <cellStyle name="20% - 强调文字颜色 4 2 4 6 3" xfId="4507"/>
    <cellStyle name="20% - 强调文字颜色 4 2 4 7" xfId="3730"/>
    <cellStyle name="20% - 强调文字颜色 4 2 5" xfId="4510"/>
    <cellStyle name="20% - 强调文字颜色 4 2 5 2" xfId="2421"/>
    <cellStyle name="20% - 强调文字颜色 4 2 5 2 2" xfId="2431"/>
    <cellStyle name="20% - 强调文字颜色 4 2 5 2 2 2" xfId="3511"/>
    <cellStyle name="20% - 强调文字颜色 4 2 5 2 2 2 2" xfId="3381"/>
    <cellStyle name="20% - 强调文字颜色 4 2 5 2 2 2 3" xfId="860"/>
    <cellStyle name="20% - 强调文字颜色 4 2 5 2 2 3" xfId="4515"/>
    <cellStyle name="20% - 强调文字颜色 4 2 5 2 3" xfId="2441"/>
    <cellStyle name="20% - 强调文字颜色 4 2 5 2 3 2" xfId="4521"/>
    <cellStyle name="20% - 强调文字颜色 4 2 5 2 3 3" xfId="1314"/>
    <cellStyle name="20% - 强调文字颜色 4 2 5 2 4" xfId="3551"/>
    <cellStyle name="20% - 强调文字颜色 4 2 5 3" xfId="1133"/>
    <cellStyle name="20% - 强调文字颜色 4 2 5 3 2" xfId="4523"/>
    <cellStyle name="20% - 强调文字颜色 4 2 5 3 2 2" xfId="4526"/>
    <cellStyle name="20% - 强调文字颜色 4 2 5 3 2 3" xfId="4530"/>
    <cellStyle name="20% - 强调文字颜色 4 2 5 3 3" xfId="4536"/>
    <cellStyle name="20% - 强调文字颜色 4 2 5 4" xfId="1148"/>
    <cellStyle name="20% - 强调文字颜色 4 2 5 4 2" xfId="2790"/>
    <cellStyle name="20% - 强调文字颜色 4 2 5 4 3" xfId="2991"/>
    <cellStyle name="20% - 强调文字颜色 4 2 5 5" xfId="2376"/>
    <cellStyle name="20% - 强调文字颜色 4 2 6" xfId="4539"/>
    <cellStyle name="20% - 强调文字颜色 4 2 6 2" xfId="2538"/>
    <cellStyle name="20% - 强调文字颜色 4 2 6 2 2" xfId="4541"/>
    <cellStyle name="20% - 强调文字颜色 4 2 6 2 2 2" xfId="4542"/>
    <cellStyle name="20% - 强调文字颜色 4 2 6 2 2 3" xfId="4545"/>
    <cellStyle name="20% - 强调文字颜色 4 2 6 2 3" xfId="4549"/>
    <cellStyle name="20% - 强调文字颜色 4 2 6 3" xfId="121"/>
    <cellStyle name="20% - 强调文字颜色 4 2 6 3 2" xfId="4551"/>
    <cellStyle name="20% - 强调文字颜色 4 2 6 3 3" xfId="4559"/>
    <cellStyle name="20% - 强调文字颜色 4 2 6 4" xfId="3008"/>
    <cellStyle name="20% - 强调文字颜色 4 2 7" xfId="4562"/>
    <cellStyle name="20% - 强调文字颜色 4 2 7 2" xfId="2608"/>
    <cellStyle name="20% - 强调文字颜色 4 2 7 2 2" xfId="4565"/>
    <cellStyle name="20% - 强调文字颜色 4 2 7 2 2 2" xfId="4574"/>
    <cellStyle name="20% - 强调文字颜色 4 2 7 2 2 3" xfId="4577"/>
    <cellStyle name="20% - 强调文字颜色 4 2 7 2 3" xfId="4584"/>
    <cellStyle name="20% - 强调文字颜色 4 2 7 3" xfId="2918"/>
    <cellStyle name="20% - 强调文字颜色 4 2 7 3 2" xfId="4587"/>
    <cellStyle name="20% - 强调文字颜色 4 2 7 3 3" xfId="4594"/>
    <cellStyle name="20% - 强调文字颜色 4 2 7 4" xfId="2926"/>
    <cellStyle name="20% - 强调文字颜色 4 2 8" xfId="3357"/>
    <cellStyle name="20% - 强调文字颜色 4 2 8 2" xfId="3362"/>
    <cellStyle name="20% - 强调文字颜色 4 2 8 2 2" xfId="3369"/>
    <cellStyle name="20% - 强调文字颜色 4 2 8 2 3" xfId="3376"/>
    <cellStyle name="20% - 强调文字颜色 4 2 8 3" xfId="3385"/>
    <cellStyle name="20% - 强调文字颜色 4 2 9" xfId="3403"/>
    <cellStyle name="20% - 强调文字颜色 4 2 9 2" xfId="3409"/>
    <cellStyle name="20% - 强调文字颜色 5 2" xfId="4597"/>
    <cellStyle name="20% - 强调文字颜色 5 2 10" xfId="1378"/>
    <cellStyle name="20% - 强调文字颜色 5 2 2" xfId="4603"/>
    <cellStyle name="20% - 强调文字颜色 5 2 2 2" xfId="4618"/>
    <cellStyle name="20% - 强调文字颜色 5 2 2 2 2" xfId="4628"/>
    <cellStyle name="20% - 强调文字颜色 5 2 2 2 2 2" xfId="3534"/>
    <cellStyle name="20% - 强调文字颜色 5 2 2 2 2 2 2" xfId="3542"/>
    <cellStyle name="20% - 强调文字颜色 5 2 2 2 2 2 2 2" xfId="4631"/>
    <cellStyle name="20% - 强调文字颜色 5 2 2 2 2 2 2 3" xfId="1414"/>
    <cellStyle name="20% - 强调文字颜色 5 2 2 2 2 2 3" xfId="3558"/>
    <cellStyle name="20% - 强调文字颜色 5 2 2 2 2 3" xfId="3564"/>
    <cellStyle name="20% - 强调文字颜色 5 2 2 2 2 3 2" xfId="4638"/>
    <cellStyle name="20% - 强调文字颜色 5 2 2 2 2 3 3" xfId="4614"/>
    <cellStyle name="20% - 强调文字颜色 5 2 2 2 2 4" xfId="3223"/>
    <cellStyle name="20% - 强调文字颜色 5 2 2 2 3" xfId="1766"/>
    <cellStyle name="20% - 强调文字颜色 5 2 2 2 3 2" xfId="3611"/>
    <cellStyle name="20% - 强调文字颜色 5 2 2 2 3 2 2" xfId="4651"/>
    <cellStyle name="20% - 强调文字颜色 5 2 2 2 3 2 3" xfId="4663"/>
    <cellStyle name="20% - 强调文字颜色 5 2 2 2 3 3" xfId="4665"/>
    <cellStyle name="20% - 强调文字颜色 5 2 2 2 4" xfId="1776"/>
    <cellStyle name="20% - 强调文字颜色 5 2 2 2 4 2" xfId="379"/>
    <cellStyle name="20% - 强调文字颜色 5 2 2 2 4 3" xfId="395"/>
    <cellStyle name="20% - 强调文字颜色 5 2 2 2 5" xfId="4672"/>
    <cellStyle name="20% - 强调文字颜色 5 2 2 3" xfId="4674"/>
    <cellStyle name="20% - 强调文字颜色 5 2 2 3 2" xfId="4681"/>
    <cellStyle name="20% - 强调文字颜色 5 2 2 3 2 2" xfId="3708"/>
    <cellStyle name="20% - 强调文字颜色 5 2 2 3 2 2 2" xfId="4687"/>
    <cellStyle name="20% - 强调文字颜色 5 2 2 3 2 2 3" xfId="4697"/>
    <cellStyle name="20% - 强调文字颜色 5 2 2 3 2 3" xfId="4701"/>
    <cellStyle name="20% - 强调文字颜色 5 2 2 3 3" xfId="4708"/>
    <cellStyle name="20% - 强调文字颜色 5 2 2 3 3 2" xfId="477"/>
    <cellStyle name="20% - 强调文字颜色 5 2 2 3 3 3" xfId="510"/>
    <cellStyle name="20% - 强调文字颜色 5 2 2 3 4" xfId="4716"/>
    <cellStyle name="20% - 强调文字颜色 5 2 2 4" xfId="1478"/>
    <cellStyle name="20% - 强调文字颜色 5 2 2 4 2" xfId="1493"/>
    <cellStyle name="20% - 强调文字颜色 5 2 2 4 2 2" xfId="1498"/>
    <cellStyle name="20% - 强调文字颜色 5 2 2 4 2 2 2" xfId="4723"/>
    <cellStyle name="20% - 强调文字颜色 5 2 2 4 2 2 3" xfId="4734"/>
    <cellStyle name="20% - 强调文字颜色 5 2 2 4 2 3" xfId="1515"/>
    <cellStyle name="20% - 强调文字颜色 5 2 2 4 3" xfId="1536"/>
    <cellStyle name="20% - 强调文字颜色 5 2 2 4 3 2" xfId="4740"/>
    <cellStyle name="20% - 强调文字颜色 5 2 2 4 3 3" xfId="4750"/>
    <cellStyle name="20% - 强调文字颜色 5 2 2 4 4" xfId="4757"/>
    <cellStyle name="20% - 强调文字颜色 5 2 2 5" xfId="1542"/>
    <cellStyle name="20% - 强调文字颜色 5 2 2 5 2" xfId="1558"/>
    <cellStyle name="20% - 强调文字颜色 5 2 2 5 2 2" xfId="4762"/>
    <cellStyle name="20% - 强调文字颜色 5 2 2 5 2 3" xfId="4769"/>
    <cellStyle name="20% - 强调文字颜色 5 2 2 5 3" xfId="1568"/>
    <cellStyle name="20% - 强调文字颜色 5 2 2 6" xfId="1576"/>
    <cellStyle name="20% - 强调文字颜色 5 2 2 6 2" xfId="4777"/>
    <cellStyle name="20% - 强调文字颜色 5 2 2 6 3" xfId="4782"/>
    <cellStyle name="20% - 强调文字颜色 5 2 2 7" xfId="4787"/>
    <cellStyle name="20% - 强调文字颜色 5 2 3" xfId="4792"/>
    <cellStyle name="20% - 强调文字颜色 5 2 3 2" xfId="4797"/>
    <cellStyle name="20% - 强调文字颜色 5 2 3 2 2" xfId="4806"/>
    <cellStyle name="20% - 强调文字颜色 5 2 3 2 2 2" xfId="249"/>
    <cellStyle name="20% - 强调文字颜色 5 2 3 2 2 2 2" xfId="3806"/>
    <cellStyle name="20% - 强调文字颜色 5 2 3 2 2 2 2 2" xfId="3853"/>
    <cellStyle name="20% - 强调文字颜色 5 2 3 2 2 2 2 3" xfId="3099"/>
    <cellStyle name="20% - 强调文字颜色 5 2 3 2 2 2 3" xfId="4572"/>
    <cellStyle name="20% - 强调文字颜色 5 2 3 2 2 3" xfId="4810"/>
    <cellStyle name="20% - 强调文字颜色 5 2 3 2 2 3 2" xfId="4823"/>
    <cellStyle name="20% - 强调文字颜色 5 2 3 2 2 3 3" xfId="4829"/>
    <cellStyle name="20% - 强调文字颜色 5 2 3 2 2 4" xfId="4836"/>
    <cellStyle name="20% - 强调文字颜色 5 2 3 2 3" xfId="4850"/>
    <cellStyle name="20% - 强调文字颜色 5 2 3 2 3 2" xfId="2647"/>
    <cellStyle name="20% - 强调文字颜色 5 2 3 2 3 2 2" xfId="4851"/>
    <cellStyle name="20% - 强调文字颜色 5 2 3 2 3 2 3" xfId="4852"/>
    <cellStyle name="20% - 强调文字颜色 5 2 3 2 3 3" xfId="4855"/>
    <cellStyle name="20% - 强调文字颜色 5 2 3 2 4" xfId="1694"/>
    <cellStyle name="20% - 强调文字颜色 5 2 3 2 4 2" xfId="1977"/>
    <cellStyle name="20% - 强调文字颜色 5 2 3 2 4 3" xfId="2026"/>
    <cellStyle name="20% - 强调文字颜色 5 2 3 2 5" xfId="2106"/>
    <cellStyle name="20% - 强调文字颜色 5 2 3 3" xfId="4863"/>
    <cellStyle name="20% - 强调文字颜色 5 2 3 3 2" xfId="4872"/>
    <cellStyle name="20% - 强调文字颜色 5 2 3 3 2 2" xfId="4873"/>
    <cellStyle name="20% - 强调文字颜色 5 2 3 3 2 2 2" xfId="3869"/>
    <cellStyle name="20% - 强调文字颜色 5 2 3 3 2 2 3" xfId="4874"/>
    <cellStyle name="20% - 强调文字颜色 5 2 3 3 2 3" xfId="3189"/>
    <cellStyle name="20% - 强调文字颜色 5 2 3 3 3" xfId="4880"/>
    <cellStyle name="20% - 强调文字颜色 5 2 3 3 3 2" xfId="2325"/>
    <cellStyle name="20% - 强调文字颜色 5 2 3 3 3 3" xfId="4883"/>
    <cellStyle name="20% - 强调文字颜色 5 2 3 3 4" xfId="2278"/>
    <cellStyle name="20% - 强调文字颜色 5 2 3 4" xfId="170"/>
    <cellStyle name="20% - 强调文字颜色 5 2 3 4 2" xfId="1598"/>
    <cellStyle name="20% - 强调文字颜色 5 2 3 4 2 2" xfId="198"/>
    <cellStyle name="20% - 强调文字颜色 5 2 3 4 2 2 2" xfId="214"/>
    <cellStyle name="20% - 强调文字颜色 5 2 3 4 2 2 3" xfId="225"/>
    <cellStyle name="20% - 强调文字颜色 5 2 3 4 2 3" xfId="4888"/>
    <cellStyle name="20% - 强调文字颜色 5 2 3 4 3" xfId="164"/>
    <cellStyle name="20% - 强调文字颜色 5 2 3 4 3 2" xfId="4894"/>
    <cellStyle name="20% - 强调文字颜色 5 2 3 4 3 3" xfId="4898"/>
    <cellStyle name="20% - 强调文字颜色 5 2 3 4 4" xfId="2642"/>
    <cellStyle name="20% - 强调文字颜色 5 2 3 5" xfId="102"/>
    <cellStyle name="20% - 强调文字颜色 5 2 3 5 2" xfId="4906"/>
    <cellStyle name="20% - 强调文字颜色 5 2 3 5 2 2" xfId="4908"/>
    <cellStyle name="20% - 强调文字颜色 5 2 3 5 2 3" xfId="4325"/>
    <cellStyle name="20% - 强调文字颜色 5 2 3 5 3" xfId="4918"/>
    <cellStyle name="20% - 强调文字颜色 5 2 3 6" xfId="4919"/>
    <cellStyle name="20% - 强调文字颜色 5 2 3 6 2" xfId="4921"/>
    <cellStyle name="20% - 强调文字颜色 5 2 3 6 3" xfId="4923"/>
    <cellStyle name="20% - 强调文字颜色 5 2 3 7" xfId="4925"/>
    <cellStyle name="20% - 强调文字颜色 5 2 4" xfId="4933"/>
    <cellStyle name="20% - 强调文字颜色 5 2 4 2" xfId="4941"/>
    <cellStyle name="20% - 强调文字颜色 5 2 4 2 2" xfId="4947"/>
    <cellStyle name="20% - 强调文字颜色 5 2 4 2 2 2" xfId="4124"/>
    <cellStyle name="20% - 强调文字颜色 5 2 4 2 2 2 2" xfId="3999"/>
    <cellStyle name="20% - 强调文字颜色 5 2 4 2 2 2 2 2" xfId="4951"/>
    <cellStyle name="20% - 强调文字颜色 5 2 4 2 2 2 2 3" xfId="182"/>
    <cellStyle name="20% - 强调文字颜色 5 2 4 2 2 2 3" xfId="4482"/>
    <cellStyle name="20% - 强调文字颜色 5 2 4 2 2 3" xfId="4490"/>
    <cellStyle name="20% - 强调文字颜色 5 2 4 2 2 3 2" xfId="4955"/>
    <cellStyle name="20% - 强调文字颜色 5 2 4 2 2 3 3" xfId="4960"/>
    <cellStyle name="20% - 强调文字颜色 5 2 4 2 2 4" xfId="1"/>
    <cellStyle name="20% - 强调文字颜色 5 2 4 2 3" xfId="4967"/>
    <cellStyle name="20% - 强调文字颜色 5 2 4 2 3 2" xfId="2711"/>
    <cellStyle name="20% - 强调文字颜色 5 2 4 2 3 2 2" xfId="4972"/>
    <cellStyle name="20% - 强调文字颜色 5 2 4 2 3 2 3" xfId="222"/>
    <cellStyle name="20% - 强调文字颜色 5 2 4 2 3 3" xfId="4980"/>
    <cellStyle name="20% - 强调文字颜色 5 2 4 2 4" xfId="4983"/>
    <cellStyle name="20% - 强调文字颜色 5 2 4 2 4 2" xfId="4497"/>
    <cellStyle name="20% - 强调文字颜色 5 2 4 2 4 3" xfId="4993"/>
    <cellStyle name="20% - 强调文字颜色 5 2 4 2 5" xfId="4999"/>
    <cellStyle name="20% - 强调文字颜色 5 2 4 3" xfId="1423"/>
    <cellStyle name="20% - 强调文字颜色 5 2 4 3 2" xfId="1429"/>
    <cellStyle name="20% - 强调文字颜色 5 2 4 3 2 2" xfId="2982"/>
    <cellStyle name="20% - 强调文字颜色 5 2 4 3 2 2 2" xfId="5012"/>
    <cellStyle name="20% - 强调文字颜色 5 2 4 3 2 2 3" xfId="93"/>
    <cellStyle name="20% - 强调文字颜色 5 2 4 3 2 3" xfId="5018"/>
    <cellStyle name="20% - 强调文字颜色 5 2 4 3 3" xfId="1437"/>
    <cellStyle name="20% - 强调文字颜色 5 2 4 3 3 2" xfId="5020"/>
    <cellStyle name="20% - 强调文字颜色 5 2 4 3 3 3" xfId="5028"/>
    <cellStyle name="20% - 强调文字颜色 5 2 4 3 4" xfId="5036"/>
    <cellStyle name="20% - 强调文字颜色 5 2 4 4" xfId="1444"/>
    <cellStyle name="20% - 强调文字颜色 5 2 4 4 2" xfId="5049"/>
    <cellStyle name="20% - 强调文字颜色 5 2 4 4 2 2" xfId="5061"/>
    <cellStyle name="20% - 强调文字颜色 5 2 4 4 2 2 2" xfId="5073"/>
    <cellStyle name="20% - 强调文字颜色 5 2 4 4 2 2 3" xfId="3029"/>
    <cellStyle name="20% - 强调文字颜色 5 2 4 4 2 3" xfId="5084"/>
    <cellStyle name="20% - 强调文字颜色 5 2 4 4 3" xfId="5092"/>
    <cellStyle name="20% - 强调文字颜色 5 2 4 4 3 2" xfId="5106"/>
    <cellStyle name="20% - 强调文字颜色 5 2 4 4 3 3" xfId="319"/>
    <cellStyle name="20% - 强调文字颜色 5 2 4 4 4" xfId="5117"/>
    <cellStyle name="20% - 强调文字颜色 5 2 4 5" xfId="1614"/>
    <cellStyle name="20% - 强调文字颜色 5 2 4 5 2" xfId="5127"/>
    <cellStyle name="20% - 强调文字颜色 5 2 4 5 2 2" xfId="4079"/>
    <cellStyle name="20% - 强调文字颜色 5 2 4 5 2 3" xfId="2939"/>
    <cellStyle name="20% - 强调文字颜色 5 2 4 5 3" xfId="5131"/>
    <cellStyle name="20% - 强调文字颜色 5 2 4 6" xfId="1332"/>
    <cellStyle name="20% - 强调文字颜色 5 2 4 6 2" xfId="5138"/>
    <cellStyle name="20% - 强调文字颜色 5 2 4 6 3" xfId="5148"/>
    <cellStyle name="20% - 强调文字颜色 5 2 4 7" xfId="5159"/>
    <cellStyle name="20% - 强调文字颜色 5 2 5" xfId="4959"/>
    <cellStyle name="20% - 强调文字颜色 5 2 5 2" xfId="5169"/>
    <cellStyle name="20% - 强调文字颜色 5 2 5 2 2" xfId="2835"/>
    <cellStyle name="20% - 强调文字颜色 5 2 5 2 2 2" xfId="4388"/>
    <cellStyle name="20% - 强调文字颜色 5 2 5 2 2 2 2" xfId="4234"/>
    <cellStyle name="20% - 强调文字颜色 5 2 5 2 2 2 3" xfId="376"/>
    <cellStyle name="20% - 强调文字颜色 5 2 5 2 2 3" xfId="2968"/>
    <cellStyle name="20% - 强调文字颜色 5 2 5 2 3" xfId="3791"/>
    <cellStyle name="20% - 强调文字颜色 5 2 5 2 3 2" xfId="16"/>
    <cellStyle name="20% - 强调文字颜色 5 2 5 2 3 3" xfId="3048"/>
    <cellStyle name="20% - 强调文字颜色 5 2 5 2 4" xfId="3797"/>
    <cellStyle name="20% - 强调文字颜色 5 2 5 3" xfId="1452"/>
    <cellStyle name="20% - 强调文字颜色 5 2 5 3 2" xfId="705"/>
    <cellStyle name="20% - 强调文字颜色 5 2 5 3 2 2" xfId="5176"/>
    <cellStyle name="20% - 强调文字颜色 5 2 5 3 2 3" xfId="790"/>
    <cellStyle name="20% - 强调文字颜色 5 2 5 3 3" xfId="5181"/>
    <cellStyle name="20% - 强调文字颜色 5 2 5 4" xfId="1461"/>
    <cellStyle name="20% - 强调文字颜色 5 2 5 4 2" xfId="5189"/>
    <cellStyle name="20% - 强调文字颜色 5 2 5 4 3" xfId="4726"/>
    <cellStyle name="20% - 强调文字颜色 5 2 5 5" xfId="3053"/>
    <cellStyle name="20% - 强调文字颜色 5 2 6" xfId="4964"/>
    <cellStyle name="20% - 强调文字颜色 5 2 6 2" xfId="5195"/>
    <cellStyle name="20% - 强调文字颜色 5 2 6 2 2" xfId="1329"/>
    <cellStyle name="20% - 强调文字颜色 5 2 6 2 2 2" xfId="5145"/>
    <cellStyle name="20% - 强调文字颜色 5 2 6 2 2 3" xfId="5155"/>
    <cellStyle name="20% - 强调文字颜色 5 2 6 2 3" xfId="5165"/>
    <cellStyle name="20% - 强调文字颜色 5 2 6 3" xfId="5197"/>
    <cellStyle name="20% - 强调文字颜色 5 2 6 3 2" xfId="5203"/>
    <cellStyle name="20% - 强调文字颜色 5 2 6 3 3" xfId="5207"/>
    <cellStyle name="20% - 强调文字颜色 5 2 6 4" xfId="5208"/>
    <cellStyle name="20% - 强调文字颜色 5 2 7" xfId="5220"/>
    <cellStyle name="20% - 强调文字颜色 5 2 7 2" xfId="5223"/>
    <cellStyle name="20% - 强调文字颜色 5 2 7 2 2" xfId="5228"/>
    <cellStyle name="20% - 强调文字颜色 5 2 7 2 2 2" xfId="5236"/>
    <cellStyle name="20% - 强调文字颜色 5 2 7 2 2 3" xfId="5238"/>
    <cellStyle name="20% - 强调文字颜色 5 2 7 2 3" xfId="5239"/>
    <cellStyle name="20% - 强调文字颜色 5 2 7 3" xfId="5242"/>
    <cellStyle name="20% - 强调文字颜色 5 2 7 3 2" xfId="5248"/>
    <cellStyle name="20% - 强调文字颜色 5 2 7 3 3" xfId="5259"/>
    <cellStyle name="20% - 强调文字颜色 5 2 7 4" xfId="5260"/>
    <cellStyle name="20% - 强调文字颜色 5 2 8" xfId="3619"/>
    <cellStyle name="20% - 强调文字颜色 5 2 8 2" xfId="3630"/>
    <cellStyle name="20% - 强调文字颜色 5 2 8 2 2" xfId="2667"/>
    <cellStyle name="20% - 强调文字颜色 5 2 8 2 3" xfId="2734"/>
    <cellStyle name="20% - 强调文字颜色 5 2 8 3" xfId="3640"/>
    <cellStyle name="20% - 强调文字颜色 5 2 9" xfId="3647"/>
    <cellStyle name="20% - 强调文字颜色 5 2 9 2" xfId="3655"/>
    <cellStyle name="20% - 强调文字颜色 6 2" xfId="2387"/>
    <cellStyle name="20% - 强调文字颜色 6 2 10" xfId="5266"/>
    <cellStyle name="20% - 强调文字颜色 6 2 2" xfId="3314"/>
    <cellStyle name="20% - 强调文字颜色 6 2 2 2" xfId="5270"/>
    <cellStyle name="20% - 强调文字颜色 6 2 2 2 2" xfId="5272"/>
    <cellStyle name="20% - 强调文字颜色 6 2 2 2 2 2" xfId="5275"/>
    <cellStyle name="20% - 强调文字颜色 6 2 2 2 2 2 2" xfId="209"/>
    <cellStyle name="20% - 强调文字颜色 6 2 2 2 2 2 2 2" xfId="5276"/>
    <cellStyle name="20% - 强调文字颜色 6 2 2 2 2 2 2 3" xfId="5281"/>
    <cellStyle name="20% - 强调文字颜色 6 2 2 2 2 2 3" xfId="5282"/>
    <cellStyle name="20% - 强调文字颜色 6 2 2 2 2 3" xfId="5287"/>
    <cellStyle name="20% - 强调文字颜色 6 2 2 2 2 3 2" xfId="5288"/>
    <cellStyle name="20% - 强调文字颜色 6 2 2 2 2 3 3" xfId="5290"/>
    <cellStyle name="20% - 强调文字颜色 6 2 2 2 2 4" xfId="5294"/>
    <cellStyle name="20% - 强调文字颜色 6 2 2 2 3" xfId="2848"/>
    <cellStyle name="20% - 强调文字颜色 6 2 2 2 3 2" xfId="5296"/>
    <cellStyle name="20% - 强调文字颜色 6 2 2 2 3 2 2" xfId="5300"/>
    <cellStyle name="20% - 强调文字颜色 6 2 2 2 3 2 3" xfId="5301"/>
    <cellStyle name="20% - 强调文字颜色 6 2 2 2 3 3" xfId="5231"/>
    <cellStyle name="20% - 强调文字颜色 6 2 2 2 4" xfId="2852"/>
    <cellStyle name="20% - 强调文字颜色 6 2 2 2 4 2" xfId="5303"/>
    <cellStyle name="20% - 强调文字颜色 6 2 2 2 4 3" xfId="5252"/>
    <cellStyle name="20% - 强调文字颜色 6 2 2 2 5" xfId="5307"/>
    <cellStyle name="20% - 强调文字颜色 6 2 2 3" xfId="5311"/>
    <cellStyle name="20% - 强调文字颜色 6 2 2 3 2" xfId="5322"/>
    <cellStyle name="20% - 强调文字颜色 6 2 2 3 2 2" xfId="5332"/>
    <cellStyle name="20% - 强调文字颜色 6 2 2 3 2 2 2" xfId="5334"/>
    <cellStyle name="20% - 强调文字颜色 6 2 2 3 2 2 3" xfId="5335"/>
    <cellStyle name="20% - 强调文字颜色 6 2 2 3 2 3" xfId="5343"/>
    <cellStyle name="20% - 强调文字颜色 6 2 2 3 3" xfId="5358"/>
    <cellStyle name="20% - 强调文字颜色 6 2 2 3 3 2" xfId="5359"/>
    <cellStyle name="20% - 强调文字颜色 6 2 2 3 3 3" xfId="2669"/>
    <cellStyle name="20% - 强调文字颜色 6 2 2 3 4" xfId="5373"/>
    <cellStyle name="20% - 强调文字颜色 6 2 2 4" xfId="5377"/>
    <cellStyle name="20% - 强调文字颜色 6 2 2 4 2" xfId="5385"/>
    <cellStyle name="20% - 强调文字颜色 6 2 2 4 2 2" xfId="5386"/>
    <cellStyle name="20% - 强调文字颜色 6 2 2 4 2 2 2" xfId="5391"/>
    <cellStyle name="20% - 强调文字颜色 6 2 2 4 2 2 3" xfId="5397"/>
    <cellStyle name="20% - 强调文字颜色 6 2 2 4 2 3" xfId="5398"/>
    <cellStyle name="20% - 强调文字颜色 6 2 2 4 3" xfId="5407"/>
    <cellStyle name="20% - 强调文字颜色 6 2 2 4 3 2" xfId="5408"/>
    <cellStyle name="20% - 强调文字颜色 6 2 2 4 3 3" xfId="5410"/>
    <cellStyle name="20% - 强调文字颜色 6 2 2 4 4" xfId="5417"/>
    <cellStyle name="20% - 强调文字颜色 6 2 2 5" xfId="2010"/>
    <cellStyle name="20% - 强调文字颜色 6 2 2 5 2" xfId="4812"/>
    <cellStyle name="20% - 强调文字颜色 6 2 2 5 2 2" xfId="4827"/>
    <cellStyle name="20% - 强调文字颜色 6 2 2 5 2 3" xfId="4834"/>
    <cellStyle name="20% - 强调文字颜色 6 2 2 5 3" xfId="4840"/>
    <cellStyle name="20% - 强调文字颜色 6 2 2 6" xfId="2014"/>
    <cellStyle name="20% - 强调文字颜色 6 2 2 6 2" xfId="4859"/>
    <cellStyle name="20% - 强调文字颜色 6 2 2 6 3" xfId="5419"/>
    <cellStyle name="20% - 强调文字颜色 6 2 2 7" xfId="5427"/>
    <cellStyle name="20% - 强调文字颜色 6 2 3" xfId="5429"/>
    <cellStyle name="20% - 强调文字颜色 6 2 3 2" xfId="845"/>
    <cellStyle name="20% - 强调文字颜色 6 2 3 2 2" xfId="3215"/>
    <cellStyle name="20% - 强调文字颜色 6 2 3 2 2 2" xfId="3225"/>
    <cellStyle name="20% - 强调文字颜色 6 2 3 2 2 2 2" xfId="5017"/>
    <cellStyle name="20% - 强调文字颜色 6 2 3 2 2 2 2 2" xfId="5434"/>
    <cellStyle name="20% - 强调文字颜色 6 2 3 2 2 2 2 3" xfId="5437"/>
    <cellStyle name="20% - 强调文字颜色 6 2 3 2 2 2 3" xfId="5440"/>
    <cellStyle name="20% - 强调文字颜色 6 2 3 2 2 3" xfId="3230"/>
    <cellStyle name="20% - 强调文字颜色 6 2 3 2 2 3 2" xfId="5025"/>
    <cellStyle name="20% - 强调文字颜色 6 2 3 2 2 3 3" xfId="5441"/>
    <cellStyle name="20% - 强调文字颜色 6 2 3 2 2 4" xfId="5443"/>
    <cellStyle name="20% - 强调文字颜色 6 2 3 2 3" xfId="3235"/>
    <cellStyle name="20% - 强调文字颜色 6 2 3 2 3 2" xfId="5444"/>
    <cellStyle name="20% - 强调文字颜色 6 2 3 2 3 2 2" xfId="5077"/>
    <cellStyle name="20% - 强调文字颜色 6 2 3 2 3 2 3" xfId="5451"/>
    <cellStyle name="20% - 强调文字颜色 6 2 3 2 3 3" xfId="5453"/>
    <cellStyle name="20% - 强调文字颜色 6 2 3 2 4" xfId="4396"/>
    <cellStyle name="20% - 强调文字颜色 6 2 3 2 4 2" xfId="31"/>
    <cellStyle name="20% - 强调文字颜色 6 2 3 2 4 3" xfId="430"/>
    <cellStyle name="20% - 强调文字颜色 6 2 3 2 5" xfId="2746"/>
    <cellStyle name="20% - 强调文字颜色 6 2 3 3" xfId="3255"/>
    <cellStyle name="20% - 强调文字颜色 6 2 3 3 2" xfId="1857"/>
    <cellStyle name="20% - 强调文字颜色 6 2 3 3 2 2" xfId="5457"/>
    <cellStyle name="20% - 强调文字颜色 6 2 3 3 2 2 2" xfId="789"/>
    <cellStyle name="20% - 强调文字颜色 6 2 3 3 2 2 3" xfId="5460"/>
    <cellStyle name="20% - 强调文字颜色 6 2 3 3 2 3" xfId="3291"/>
    <cellStyle name="20% - 强调文字颜色 6 2 3 3 3" xfId="3280"/>
    <cellStyle name="20% - 强调文字颜色 6 2 3 3 3 2" xfId="5466"/>
    <cellStyle name="20% - 强调文字颜色 6 2 3 3 3 3" xfId="5470"/>
    <cellStyle name="20% - 强调文字颜色 6 2 3 3 4" xfId="3662"/>
    <cellStyle name="20% - 强调文字颜色 6 2 3 4" xfId="3288"/>
    <cellStyle name="20% - 强调文字颜色 6 2 3 4 2" xfId="5471"/>
    <cellStyle name="20% - 强调文字颜色 6 2 3 4 2 2" xfId="5475"/>
    <cellStyle name="20% - 强调文字颜色 6 2 3 4 2 2 2" xfId="5477"/>
    <cellStyle name="20% - 强调文字颜色 6 2 3 4 2 2 3" xfId="5483"/>
    <cellStyle name="20% - 强调文字颜色 6 2 3 4 2 3" xfId="5491"/>
    <cellStyle name="20% - 强调文字颜色 6 2 3 4 3" xfId="5492"/>
    <cellStyle name="20% - 强调文字颜色 6 2 3 4 3 2" xfId="5497"/>
    <cellStyle name="20% - 强调文字颜色 6 2 3 4 3 3" xfId="5498"/>
    <cellStyle name="20% - 强调文字颜色 6 2 3 4 4" xfId="5499"/>
    <cellStyle name="20% - 强调文字颜色 6 2 3 5" xfId="3186"/>
    <cellStyle name="20% - 强调文字颜色 6 2 3 5 2" xfId="3193"/>
    <cellStyle name="20% - 强调文字颜色 6 2 3 5 2 2" xfId="5507"/>
    <cellStyle name="20% - 强调文字颜色 6 2 3 5 2 3" xfId="5513"/>
    <cellStyle name="20% - 强调文字颜色 6 2 3 5 3" xfId="3203"/>
    <cellStyle name="20% - 强调文字颜色 6 2 3 6" xfId="2299"/>
    <cellStyle name="20% - 强调文字颜色 6 2 3 6 2" xfId="4887"/>
    <cellStyle name="20% - 强调文字颜色 6 2 3 6 3" xfId="5518"/>
    <cellStyle name="20% - 强调文字颜色 6 2 3 7" xfId="2329"/>
    <cellStyle name="20% - 强调文字颜色 6 2 4" xfId="5529"/>
    <cellStyle name="20% - 强调文字颜色 6 2 4 2" xfId="3317"/>
    <cellStyle name="20% - 强调文字颜色 6 2 4 2 2" xfId="3324"/>
    <cellStyle name="20% - 强调文字颜色 6 2 4 2 2 2" xfId="4838"/>
    <cellStyle name="20% - 强调文字颜色 6 2 4 2 2 2 2" xfId="5535"/>
    <cellStyle name="20% - 强调文字颜色 6 2 4 2 2 2 2 2" xfId="5215"/>
    <cellStyle name="20% - 强调文字颜色 6 2 4 2 2 2 2 3" xfId="3613"/>
    <cellStyle name="20% - 强调文字颜色 6 2 4 2 2 2 3" xfId="5536"/>
    <cellStyle name="20% - 强调文字颜色 6 2 4 2 2 3" xfId="5538"/>
    <cellStyle name="20% - 强调文字颜色 6 2 4 2 2 3 2" xfId="5540"/>
    <cellStyle name="20% - 强调文字颜色 6 2 4 2 2 3 3" xfId="5541"/>
    <cellStyle name="20% - 强调文字颜色 6 2 4 2 2 4" xfId="5543"/>
    <cellStyle name="20% - 强调文字颜色 6 2 4 2 3" xfId="3335"/>
    <cellStyle name="20% - 强调文字颜色 6 2 4 2 3 2" xfId="5425"/>
    <cellStyle name="20% - 强调文字颜色 6 2 4 2 3 2 2" xfId="5545"/>
    <cellStyle name="20% - 强调文字颜色 6 2 4 2 3 2 3" xfId="5546"/>
    <cellStyle name="20% - 强调文字颜色 6 2 4 2 3 3" xfId="5549"/>
    <cellStyle name="20% - 强调文字颜色 6 2 4 2 4" xfId="4442"/>
    <cellStyle name="20% - 强调文字颜色 6 2 4 2 4 2" xfId="2067"/>
    <cellStyle name="20% - 强调文字颜色 6 2 4 2 4 3" xfId="1038"/>
    <cellStyle name="20% - 强调文字颜色 6 2 4 2 5" xfId="4452"/>
    <cellStyle name="20% - 强调文字颜色 6 2 4 3" xfId="1738"/>
    <cellStyle name="20% - 强调文字颜色 6 2 4 3 2" xfId="5553"/>
    <cellStyle name="20% - 强调文字颜色 6 2 4 3 2 2" xfId="3206"/>
    <cellStyle name="20% - 强调文字颜色 6 2 4 3 2 2 2" xfId="5555"/>
    <cellStyle name="20% - 强调文字颜色 6 2 4 3 2 2 3" xfId="5557"/>
    <cellStyle name="20% - 强调文字颜色 6 2 4 3 2 3" xfId="5559"/>
    <cellStyle name="20% - 强调文字颜色 6 2 4 3 3" xfId="5563"/>
    <cellStyle name="20% - 强调文字颜色 6 2 4 3 3 2" xfId="5519"/>
    <cellStyle name="20% - 强调文字颜色 6 2 4 3 3 3" xfId="5564"/>
    <cellStyle name="20% - 强调文字颜色 6 2 4 3 4" xfId="5567"/>
    <cellStyle name="20% - 强调文字颜色 6 2 4 4" xfId="970"/>
    <cellStyle name="20% - 强调文字颜色 6 2 4 4 2" xfId="5575"/>
    <cellStyle name="20% - 强调文字颜色 6 2 4 4 2 2" xfId="5576"/>
    <cellStyle name="20% - 强调文字颜色 6 2 4 4 2 2 2" xfId="5583"/>
    <cellStyle name="20% - 强调文字颜色 6 2 4 4 2 2 3" xfId="5584"/>
    <cellStyle name="20% - 强调文字颜色 6 2 4 4 2 3" xfId="5585"/>
    <cellStyle name="20% - 强调文字颜色 6 2 4 4 3" xfId="5596"/>
    <cellStyle name="20% - 强调文字颜色 6 2 4 4 3 2" xfId="5597"/>
    <cellStyle name="20% - 强调文字颜色 6 2 4 4 3 3" xfId="5600"/>
    <cellStyle name="20% - 强调文字颜色 6 2 4 4 4" xfId="5603"/>
    <cellStyle name="20% - 强调文字颜色 6 2 4 5" xfId="978"/>
    <cellStyle name="20% - 强调文字颜色 6 2 4 5 2" xfId="4893"/>
    <cellStyle name="20% - 强调文字颜色 6 2 4 5 2 2" xfId="4339"/>
    <cellStyle name="20% - 强调文字颜色 6 2 4 5 2 3" xfId="5607"/>
    <cellStyle name="20% - 强调文字颜色 6 2 4 5 3" xfId="5578"/>
    <cellStyle name="20% - 强调文字颜色 6 2 4 6" xfId="3208"/>
    <cellStyle name="20% - 强调文字颜色 6 2 4 6 2" xfId="4899"/>
    <cellStyle name="20% - 强调文字颜色 6 2 4 6 3" xfId="5598"/>
    <cellStyle name="20% - 强调文字颜色 6 2 4 7" xfId="5610"/>
    <cellStyle name="20% - 强调文字颜色 6 2 5" xfId="5619"/>
    <cellStyle name="20% - 强调文字颜色 6 2 5 2" xfId="3395"/>
    <cellStyle name="20% - 强调文字颜色 6 2 5 2 2" xfId="3408"/>
    <cellStyle name="20% - 强调文字颜色 6 2 5 2 2 2" xfId="4"/>
    <cellStyle name="20% - 强调文字颜色 6 2 5 2 2 2 2" xfId="5627"/>
    <cellStyle name="20% - 强调文字颜色 6 2 5 2 2 2 3" xfId="5638"/>
    <cellStyle name="20% - 强调文字颜色 6 2 5 2 2 3" xfId="5640"/>
    <cellStyle name="20% - 强调文字颜色 6 2 5 2 3" xfId="3422"/>
    <cellStyle name="20% - 强调文字颜色 6 2 5 2 3 2" xfId="5644"/>
    <cellStyle name="20% - 强调文字颜色 6 2 5 2 3 3" xfId="5645"/>
    <cellStyle name="20% - 强调文字颜色 6 2 5 2 4" xfId="4009"/>
    <cellStyle name="20% - 强调文字颜色 6 2 5 3" xfId="3431"/>
    <cellStyle name="20% - 强调文字颜色 6 2 5 3 2" xfId="5650"/>
    <cellStyle name="20% - 强调文字颜色 6 2 5 3 2 2" xfId="5439"/>
    <cellStyle name="20% - 强调文字颜色 6 2 5 3 2 3" xfId="5651"/>
    <cellStyle name="20% - 强调文字颜色 6 2 5 3 3" xfId="5655"/>
    <cellStyle name="20% - 强调文字颜色 6 2 5 4" xfId="5662"/>
    <cellStyle name="20% - 强调文字颜色 6 2 5 4 2" xfId="211"/>
    <cellStyle name="20% - 强调文字颜色 6 2 5 4 3" xfId="213"/>
    <cellStyle name="20% - 强调文字颜色 6 2 5 5" xfId="3112"/>
    <cellStyle name="20% - 强调文字颜色 6 2 6" xfId="5663"/>
    <cellStyle name="20% - 强调文字颜色 6 2 6 2" xfId="3448"/>
    <cellStyle name="20% - 强调文字颜色 6 2 6 2 2" xfId="5666"/>
    <cellStyle name="20% - 强调文字颜色 6 2 6 2 2 2" xfId="5670"/>
    <cellStyle name="20% - 强调文字颜色 6 2 6 2 2 3" xfId="84"/>
    <cellStyle name="20% - 强调文字颜色 6 2 6 2 3" xfId="5671"/>
    <cellStyle name="20% - 强调文字颜色 6 2 6 3" xfId="5672"/>
    <cellStyle name="20% - 强调文字颜色 6 2 6 3 2" xfId="5674"/>
    <cellStyle name="20% - 强调文字颜色 6 2 6 3 3" xfId="5675"/>
    <cellStyle name="20% - 强调文字颜色 6 2 6 4" xfId="5682"/>
    <cellStyle name="20% - 强调文字颜色 6 2 7" xfId="5683"/>
    <cellStyle name="20% - 强调文字颜色 6 2 7 2" xfId="3466"/>
    <cellStyle name="20% - 强调文字颜色 6 2 7 2 2" xfId="51"/>
    <cellStyle name="20% - 强调文字颜色 6 2 7 2 2 2" xfId="5693"/>
    <cellStyle name="20% - 强调文字颜色 6 2 7 2 2 3" xfId="5698"/>
    <cellStyle name="20% - 强调文字颜色 6 2 7 2 3" xfId="5706"/>
    <cellStyle name="20% - 强调文字颜色 6 2 7 3" xfId="5711"/>
    <cellStyle name="20% - 强调文字颜色 6 2 7 3 2" xfId="5720"/>
    <cellStyle name="20% - 强调文字颜色 6 2 7 3 3" xfId="5729"/>
    <cellStyle name="20% - 强调文字颜色 6 2 7 4" xfId="5740"/>
    <cellStyle name="20% - 强调文字颜色 6 2 8" xfId="3742"/>
    <cellStyle name="20% - 强调文字颜色 6 2 8 2" xfId="5743"/>
    <cellStyle name="20% - 强调文字颜色 6 2 8 2 2" xfId="3993"/>
    <cellStyle name="20% - 强调文字颜色 6 2 8 2 3" xfId="4029"/>
    <cellStyle name="20% - 强调文字颜色 6 2 8 3" xfId="5749"/>
    <cellStyle name="20% - 强调文字颜色 6 2 9" xfId="1340"/>
    <cellStyle name="20% - 强调文字颜色 6 2 9 2" xfId="5754"/>
    <cellStyle name="40% - 强调文字颜色 1 2" xfId="5757"/>
    <cellStyle name="40% - 强调文字颜色 1 2 10" xfId="4381"/>
    <cellStyle name="40% - 强调文字颜色 1 2 2" xfId="5764"/>
    <cellStyle name="40% - 强调文字颜色 1 2 2 2" xfId="5776"/>
    <cellStyle name="40% - 强调文字颜色 1 2 2 2 2" xfId="5783"/>
    <cellStyle name="40% - 强调文字颜色 1 2 2 2 2 2" xfId="5787"/>
    <cellStyle name="40% - 强调文字颜色 1 2 2 2 2 2 2" xfId="5792"/>
    <cellStyle name="40% - 强调文字颜色 1 2 2 2 2 2 2 2" xfId="5796"/>
    <cellStyle name="40% - 强调文字颜色 1 2 2 2 2 2 2 3" xfId="5801"/>
    <cellStyle name="40% - 强调文字颜色 1 2 2 2 2 2 3" xfId="2355"/>
    <cellStyle name="40% - 强调文字颜色 1 2 2 2 2 3" xfId="302"/>
    <cellStyle name="40% - 强调文字颜色 1 2 2 2 2 3 2" xfId="2199"/>
    <cellStyle name="40% - 强调文字颜色 1 2 2 2 2 3 3" xfId="2213"/>
    <cellStyle name="40% - 强调文字颜色 1 2 2 2 2 4" xfId="413"/>
    <cellStyle name="40% - 强调文字颜色 1 2 2 2 3" xfId="5807"/>
    <cellStyle name="40% - 强调文字颜色 1 2 2 2 3 2" xfId="5815"/>
    <cellStyle name="40% - 强调文字颜色 1 2 2 2 3 2 2" xfId="5819"/>
    <cellStyle name="40% - 强调文字颜色 1 2 2 2 3 2 3" xfId="5822"/>
    <cellStyle name="40% - 强调文字颜色 1 2 2 2 3 3" xfId="2241"/>
    <cellStyle name="40% - 强调文字颜色 1 2 2 2 4" xfId="5831"/>
    <cellStyle name="40% - 强调文字颜色 1 2 2 2 4 2" xfId="5832"/>
    <cellStyle name="40% - 强调文字颜色 1 2 2 2 4 3" xfId="5835"/>
    <cellStyle name="40% - 强调文字颜色 1 2 2 2 5" xfId="5840"/>
    <cellStyle name="40% - 强调文字颜色 1 2 2 3" xfId="4644"/>
    <cellStyle name="40% - 强调文字颜色 1 2 2 3 2" xfId="5844"/>
    <cellStyle name="40% - 强调文字颜色 1 2 2 3 2 2" xfId="5848"/>
    <cellStyle name="40% - 强调文字颜色 1 2 2 3 2 2 2" xfId="5856"/>
    <cellStyle name="40% - 强调文字颜色 1 2 2 3 2 2 3" xfId="1098"/>
    <cellStyle name="40% - 强调文字颜色 1 2 2 3 2 3" xfId="1297"/>
    <cellStyle name="40% - 强调文字颜色 1 2 2 3 3" xfId="5859"/>
    <cellStyle name="40% - 强调文字颜色 1 2 2 3 3 2" xfId="5863"/>
    <cellStyle name="40% - 强调文字颜色 1 2 2 3 3 3" xfId="2785"/>
    <cellStyle name="40% - 强调文字颜色 1 2 2 3 4" xfId="451"/>
    <cellStyle name="40% - 强调文字颜色 1 2 2 4" xfId="4657"/>
    <cellStyle name="40% - 强调文字颜色 1 2 2 4 2" xfId="5309"/>
    <cellStyle name="40% - 强调文字颜色 1 2 2 4 2 2" xfId="5319"/>
    <cellStyle name="40% - 强调文字颜色 1 2 2 4 2 2 2" xfId="5331"/>
    <cellStyle name="40% - 强调文字颜色 1 2 2 4 2 2 3" xfId="5342"/>
    <cellStyle name="40% - 强调文字颜色 1 2 2 4 2 3" xfId="5354"/>
    <cellStyle name="40% - 强调文字颜色 1 2 2 4 3" xfId="5375"/>
    <cellStyle name="40% - 强调文字颜色 1 2 2 4 3 2" xfId="5383"/>
    <cellStyle name="40% - 强调文字颜色 1 2 2 4 3 3" xfId="5404"/>
    <cellStyle name="40% - 强调文字颜色 1 2 2 4 4" xfId="2008"/>
    <cellStyle name="40% - 强调文字颜色 1 2 2 5" xfId="5868"/>
    <cellStyle name="40% - 强调文字颜色 1 2 2 5 2" xfId="3253"/>
    <cellStyle name="40% - 强调文字颜色 1 2 2 5 2 2" xfId="1855"/>
    <cellStyle name="40% - 强调文字颜色 1 2 2 5 2 3" xfId="3279"/>
    <cellStyle name="40% - 强调文字颜色 1 2 2 5 3" xfId="3287"/>
    <cellStyle name="40% - 强调文字颜色 1 2 2 6" xfId="1721"/>
    <cellStyle name="40% - 强调文字颜色 1 2 2 6 2" xfId="1737"/>
    <cellStyle name="40% - 强调文字颜色 1 2 2 6 3" xfId="969"/>
    <cellStyle name="40% - 强调文字颜色 1 2 2 7" xfId="1750"/>
    <cellStyle name="40% - 强调文字颜色 1 2 3" xfId="5872"/>
    <cellStyle name="40% - 强调文字颜色 1 2 3 2" xfId="5877"/>
    <cellStyle name="40% - 强调文字颜色 1 2 3 2 2" xfId="5882"/>
    <cellStyle name="40% - 强调文字颜色 1 2 3 2 2 2" xfId="5885"/>
    <cellStyle name="40% - 强调文字颜色 1 2 3 2 2 2 2" xfId="5895"/>
    <cellStyle name="40% - 强调文字颜色 1 2 3 2 2 2 2 2" xfId="5901"/>
    <cellStyle name="40% - 强调文字颜色 1 2 3 2 2 2 2 3" xfId="5910"/>
    <cellStyle name="40% - 强调文字颜色 1 2 3 2 2 2 3" xfId="2662"/>
    <cellStyle name="40% - 强调文字颜色 1 2 3 2 2 3" xfId="5917"/>
    <cellStyle name="40% - 强调文字颜色 1 2 3 2 2 3 2" xfId="2105"/>
    <cellStyle name="40% - 强调文字颜色 1 2 3 2 2 3 3" xfId="2181"/>
    <cellStyle name="40% - 强调文字颜色 1 2 3 2 2 4" xfId="5918"/>
    <cellStyle name="40% - 强调文字颜色 1 2 3 2 3" xfId="5921"/>
    <cellStyle name="40% - 强调文字颜色 1 2 3 2 3 2" xfId="5924"/>
    <cellStyle name="40% - 强调文字颜色 1 2 3 2 3 2 2" xfId="988"/>
    <cellStyle name="40% - 强调文字颜色 1 2 3 2 3 2 3" xfId="5926"/>
    <cellStyle name="40% - 强调文字颜色 1 2 3 2 3 3" xfId="5932"/>
    <cellStyle name="40% - 强调文字颜色 1 2 3 2 4" xfId="5933"/>
    <cellStyle name="40% - 强调文字颜色 1 2 3 2 4 2" xfId="5934"/>
    <cellStyle name="40% - 强调文字颜色 1 2 3 2 4 3" xfId="4567"/>
    <cellStyle name="40% - 强调文字颜色 1 2 3 2 5" xfId="5937"/>
    <cellStyle name="40% - 强调文字颜色 1 2 3 3" xfId="5940"/>
    <cellStyle name="40% - 强调文字颜色 1 2 3 3 2" xfId="5944"/>
    <cellStyle name="40% - 强调文字颜色 1 2 3 3 2 2" xfId="5945"/>
    <cellStyle name="40% - 强调文字颜色 1 2 3 3 2 2 2" xfId="5954"/>
    <cellStyle name="40% - 强调文字颜色 1 2 3 3 2 2 3" xfId="4160"/>
    <cellStyle name="40% - 强调文字颜色 1 2 3 3 2 3" xfId="2207"/>
    <cellStyle name="40% - 强调文字颜色 1 2 3 3 3" xfId="5955"/>
    <cellStyle name="40% - 强调文字颜色 1 2 3 3 3 2" xfId="5956"/>
    <cellStyle name="40% - 强调文字颜色 1 2 3 3 3 3" xfId="5959"/>
    <cellStyle name="40% - 强调文字颜色 1 2 3 3 4" xfId="2043"/>
    <cellStyle name="40% - 强调文字颜色 1 2 3 4" xfId="5963"/>
    <cellStyle name="40% - 强调文字颜色 1 2 3 4 2" xfId="5966"/>
    <cellStyle name="40% - 强调文字颜色 1 2 3 4 2 2" xfId="5976"/>
    <cellStyle name="40% - 强调文字颜色 1 2 3 4 2 2 2" xfId="3672"/>
    <cellStyle name="40% - 强调文字颜色 1 2 3 4 2 2 3" xfId="3760"/>
    <cellStyle name="40% - 强调文字颜色 1 2 3 4 2 3" xfId="5988"/>
    <cellStyle name="40% - 强调文字颜色 1 2 3 4 3" xfId="5990"/>
    <cellStyle name="40% - 强调文字颜色 1 2 3 4 3 2" xfId="5997"/>
    <cellStyle name="40% - 强调文字颜色 1 2 3 4 3 3" xfId="6004"/>
    <cellStyle name="40% - 强调文字颜色 1 2 3 4 4" xfId="6005"/>
    <cellStyle name="40% - 强调文字颜色 1 2 3 5" xfId="4626"/>
    <cellStyle name="40% - 强调文字颜色 1 2 3 5 2" xfId="3535"/>
    <cellStyle name="40% - 强调文字颜色 1 2 3 5 2 2" xfId="3543"/>
    <cellStyle name="40% - 强调文字颜色 1 2 3 5 2 3" xfId="3559"/>
    <cellStyle name="40% - 强调文字颜色 1 2 3 5 3" xfId="3566"/>
    <cellStyle name="40% - 强调文字颜色 1 2 3 6" xfId="1764"/>
    <cellStyle name="40% - 强调文字颜色 1 2 3 6 2" xfId="3612"/>
    <cellStyle name="40% - 强调文字颜色 1 2 3 6 3" xfId="4666"/>
    <cellStyle name="40% - 强调文字颜色 1 2 3 7" xfId="1774"/>
    <cellStyle name="40% - 强调文字颜色 1 2 4" xfId="5043"/>
    <cellStyle name="40% - 强调文字颜色 1 2 4 2" xfId="5055"/>
    <cellStyle name="40% - 强调文字颜色 1 2 4 2 2" xfId="5065"/>
    <cellStyle name="40% - 强调文字颜色 1 2 4 2 2 2" xfId="6006"/>
    <cellStyle name="40% - 强调文字颜色 1 2 4 2 2 2 2" xfId="4351"/>
    <cellStyle name="40% - 强调文字颜色 1 2 4 2 2 2 2 2" xfId="4361"/>
    <cellStyle name="40% - 强调文字颜色 1 2 4 2 2 2 2 3" xfId="4378"/>
    <cellStyle name="40% - 强调文字颜色 1 2 4 2 2 2 3" xfId="4384"/>
    <cellStyle name="40% - 强调文字颜色 1 2 4 2 2 3" xfId="6011"/>
    <cellStyle name="40% - 强调文字颜色 1 2 4 2 2 3 2" xfId="2745"/>
    <cellStyle name="40% - 强调文字颜色 1 2 4 2 2 3 3" xfId="12"/>
    <cellStyle name="40% - 强调文字颜色 1 2 4 2 2 4" xfId="6015"/>
    <cellStyle name="40% - 强调文字颜色 1 2 4 2 3" xfId="3020"/>
    <cellStyle name="40% - 强调文字颜色 1 2 4 2 3 2" xfId="1236"/>
    <cellStyle name="40% - 强调文字颜色 1 2 4 2 3 2 2" xfId="4436"/>
    <cellStyle name="40% - 强调文字颜色 1 2 4 2 3 2 3" xfId="5174"/>
    <cellStyle name="40% - 强调文字颜色 1 2 4 2 3 3" xfId="2769"/>
    <cellStyle name="40% - 强调文字颜色 1 2 4 2 4" xfId="3033"/>
    <cellStyle name="40% - 强调文字颜色 1 2 4 2 4 2" xfId="6022"/>
    <cellStyle name="40% - 强调文字颜色 1 2 4 2 4 3" xfId="6029"/>
    <cellStyle name="40% - 强调文字颜色 1 2 4 2 5" xfId="4130"/>
    <cellStyle name="40% - 强调文字颜色 1 2 4 3" xfId="5081"/>
    <cellStyle name="40% - 强调文字颜色 1 2 4 3 2" xfId="6031"/>
    <cellStyle name="40% - 强调文字颜色 1 2 4 3 2 2" xfId="6035"/>
    <cellStyle name="40% - 强调文字颜色 1 2 4 3 2 2 2" xfId="4511"/>
    <cellStyle name="40% - 强调文字颜色 1 2 4 3 2 2 3" xfId="5142"/>
    <cellStyle name="40% - 强调文字颜色 1 2 4 3 2 3" xfId="1306"/>
    <cellStyle name="40% - 强调文字颜色 1 2 4 3 3" xfId="1794"/>
    <cellStyle name="40% - 强调文字颜色 1 2 4 3 3 2" xfId="6036"/>
    <cellStyle name="40% - 强调文字颜色 1 2 4 3 3 3" xfId="1640"/>
    <cellStyle name="40% - 强调文字颜色 1 2 4 3 4" xfId="1803"/>
    <cellStyle name="40% - 强调文字颜色 1 2 4 4" xfId="5447"/>
    <cellStyle name="40% - 强调文字颜色 1 2 4 4 2" xfId="6039"/>
    <cellStyle name="40% - 强调文字颜色 1 2 4 4 2 2" xfId="1373"/>
    <cellStyle name="40% - 强调文字颜色 1 2 4 4 2 2 2" xfId="4544"/>
    <cellStyle name="40% - 强调文字颜色 1 2 4 4 2 2 3" xfId="5234"/>
    <cellStyle name="40% - 强调文字颜色 1 2 4 4 2 3" xfId="6050"/>
    <cellStyle name="40% - 强调文字颜色 1 2 4 4 3" xfId="6053"/>
    <cellStyle name="40% - 强调文字颜色 1 2 4 4 3 2" xfId="2827"/>
    <cellStyle name="40% - 强调文字颜色 1 2 4 4 3 3" xfId="6061"/>
    <cellStyle name="40% - 强调文字颜色 1 2 4 4 4" xfId="6064"/>
    <cellStyle name="40% - 强调文字颜色 1 2 4 5" xfId="4678"/>
    <cellStyle name="40% - 强调文字颜色 1 2 4 5 2" xfId="3710"/>
    <cellStyle name="40% - 强调文字颜色 1 2 4 5 2 2" xfId="4690"/>
    <cellStyle name="40% - 强调文字颜色 1 2 4 5 2 3" xfId="4700"/>
    <cellStyle name="40% - 强调文字颜色 1 2 4 5 3" xfId="4703"/>
    <cellStyle name="40% - 强调文字颜色 1 2 4 6" xfId="4705"/>
    <cellStyle name="40% - 强调文字颜色 1 2 4 6 2" xfId="480"/>
    <cellStyle name="40% - 强调文字颜色 1 2 4 6 3" xfId="513"/>
    <cellStyle name="40% - 强调文字颜色 1 2 4 7" xfId="4714"/>
    <cellStyle name="40% - 强调文字颜色 1 2 5" xfId="5090"/>
    <cellStyle name="40% - 强调文字颜色 1 2 5 2" xfId="5101"/>
    <cellStyle name="40% - 强调文字颜色 1 2 5 2 2" xfId="6066"/>
    <cellStyle name="40% - 强调文字颜色 1 2 5 2 2 2" xfId="1533"/>
    <cellStyle name="40% - 强调文字颜色 1 2 5 2 2 2 2" xfId="4743"/>
    <cellStyle name="40% - 强调文字颜色 1 2 5 2 2 2 3" xfId="4747"/>
    <cellStyle name="40% - 强调文字颜色 1 2 5 2 2 3" xfId="4754"/>
    <cellStyle name="40% - 强调文字颜色 1 2 5 2 3" xfId="3070"/>
    <cellStyle name="40% - 强调文字颜色 1 2 5 2 3 2" xfId="1571"/>
    <cellStyle name="40% - 强调文字颜色 1 2 5 2 3 3" xfId="6074"/>
    <cellStyle name="40% - 强调文字颜色 1 2 5 2 4" xfId="267"/>
    <cellStyle name="40% - 强调文字颜色 1 2 5 3" xfId="314"/>
    <cellStyle name="40% - 强调文字颜色 1 2 5 3 2" xfId="6075"/>
    <cellStyle name="40% - 强调文字颜色 1 2 5 3 2 2" xfId="160"/>
    <cellStyle name="40% - 强调文字颜色 1 2 5 3 2 3" xfId="2639"/>
    <cellStyle name="40% - 强调文字颜色 1 2 5 3 3" xfId="548"/>
    <cellStyle name="40% - 强调文字颜色 1 2 5 4" xfId="6079"/>
    <cellStyle name="40% - 强调文字颜色 1 2 5 4 2" xfId="6085"/>
    <cellStyle name="40% - 强调文字颜色 1 2 5 4 3" xfId="6096"/>
    <cellStyle name="40% - 强调文字颜色 1 2 5 5" xfId="1491"/>
    <cellStyle name="40% - 强调文字颜色 1 2 6" xfId="5115"/>
    <cellStyle name="40% - 强调文字颜色 1 2 6 2" xfId="6103"/>
    <cellStyle name="40% - 强调文字颜色 1 2 6 2 2" xfId="6105"/>
    <cellStyle name="40% - 强调文字颜色 1 2 6 2 2 2" xfId="6109"/>
    <cellStyle name="40% - 强调文字颜色 1 2 6 2 2 3" xfId="6111"/>
    <cellStyle name="40% - 强调文字颜色 1 2 6 2 3" xfId="238"/>
    <cellStyle name="40% - 强调文字颜色 1 2 6 3" xfId="6114"/>
    <cellStyle name="40% - 强调文字颜色 1 2 6 3 2" xfId="6117"/>
    <cellStyle name="40% - 强调文字颜色 1 2 6 3 3" xfId="6121"/>
    <cellStyle name="40% - 强调文字颜色 1 2 6 4" xfId="6128"/>
    <cellStyle name="40% - 强调文字颜色 1 2 7" xfId="6132"/>
    <cellStyle name="40% - 强调文字颜色 1 2 7 2" xfId="6134"/>
    <cellStyle name="40% - 强调文字颜色 1 2 7 2 2" xfId="6135"/>
    <cellStyle name="40% - 强调文字颜色 1 2 7 2 2 2" xfId="6136"/>
    <cellStyle name="40% - 强调文字颜色 1 2 7 2 2 3" xfId="6138"/>
    <cellStyle name="40% - 强调文字颜色 1 2 7 2 3" xfId="6140"/>
    <cellStyle name="40% - 强调文字颜色 1 2 7 3" xfId="6143"/>
    <cellStyle name="40% - 强调文字颜色 1 2 7 3 2" xfId="6146"/>
    <cellStyle name="40% - 强调文字颜色 1 2 7 3 3" xfId="6148"/>
    <cellStyle name="40% - 强调文字颜色 1 2 7 4" xfId="6152"/>
    <cellStyle name="40% - 强调文字颜色 1 2 8" xfId="6155"/>
    <cellStyle name="40% - 强调文字颜色 1 2 8 2" xfId="6160"/>
    <cellStyle name="40% - 强调文字颜色 1 2 8 2 2" xfId="6162"/>
    <cellStyle name="40% - 强调文字颜色 1 2 8 2 3" xfId="6166"/>
    <cellStyle name="40% - 强调文字颜色 1 2 8 3" xfId="6173"/>
    <cellStyle name="40% - 强调文字颜色 1 2 9" xfId="295"/>
    <cellStyle name="40% - 强调文字颜色 1 2 9 2" xfId="2206"/>
    <cellStyle name="40% - 强调文字颜色 2 2" xfId="6175"/>
    <cellStyle name="40% - 强调文字颜色 2 2 10" xfId="1681"/>
    <cellStyle name="40% - 强调文字颜色 2 2 2" xfId="923"/>
    <cellStyle name="40% - 强调文字颜色 2 2 2 2" xfId="6178"/>
    <cellStyle name="40% - 强调文字颜色 2 2 2 2 2" xfId="6189"/>
    <cellStyle name="40% - 强调文字颜色 2 2 2 2 2 2" xfId="6195"/>
    <cellStyle name="40% - 强调文字颜色 2 2 2 2 2 2 2" xfId="959"/>
    <cellStyle name="40% - 强调文字颜色 2 2 2 2 2 2 2 2" xfId="5570"/>
    <cellStyle name="40% - 强调文字颜色 2 2 2 2 2 2 2 3" xfId="5593"/>
    <cellStyle name="40% - 强调文字颜色 2 2 2 2 2 2 3" xfId="974"/>
    <cellStyle name="40% - 强调文字颜色 2 2 2 2 2 3" xfId="6200"/>
    <cellStyle name="40% - 强调文字颜色 2 2 2 2 2 3 2" xfId="5658"/>
    <cellStyle name="40% - 强调文字颜色 2 2 2 2 2 3 3" xfId="3108"/>
    <cellStyle name="40% - 强调文字颜色 2 2 2 2 2 4" xfId="6206"/>
    <cellStyle name="40% - 强调文字颜色 2 2 2 2 3" xfId="6213"/>
    <cellStyle name="40% - 强调文字颜色 2 2 2 2 3 2" xfId="6219"/>
    <cellStyle name="40% - 强调文字颜色 2 2 2 2 3 2 2" xfId="4667"/>
    <cellStyle name="40% - 强调文字颜色 2 2 2 2 3 2 3" xfId="5445"/>
    <cellStyle name="40% - 强调文字颜色 2 2 2 2 3 3" xfId="6221"/>
    <cellStyle name="40% - 强调文字颜色 2 2 2 2 4" xfId="349"/>
    <cellStyle name="40% - 强调文字颜色 2 2 2 2 4 2" xfId="6224"/>
    <cellStyle name="40% - 强调文字颜色 2 2 2 2 4 3" xfId="6230"/>
    <cellStyle name="40% - 强调文字颜色 2 2 2 2 5" xfId="569"/>
    <cellStyle name="40% - 强调文字颜色 2 2 2 3" xfId="6239"/>
    <cellStyle name="40% - 强调文字颜色 2 2 2 3 2" xfId="6251"/>
    <cellStyle name="40% - 强调文字颜色 2 2 2 3 2 2" xfId="468"/>
    <cellStyle name="40% - 强调文字颜色 2 2 2 3 2 2 2" xfId="6252"/>
    <cellStyle name="40% - 强调文字颜色 2 2 2 3 2 2 3" xfId="6255"/>
    <cellStyle name="40% - 强调文字颜色 2 2 2 3 2 3" xfId="6257"/>
    <cellStyle name="40% - 强调文字颜色 2 2 2 3 3" xfId="6267"/>
    <cellStyle name="40% - 强调文字颜色 2 2 2 3 3 2" xfId="2013"/>
    <cellStyle name="40% - 强调文字颜色 2 2 2 3 3 3" xfId="5426"/>
    <cellStyle name="40% - 强调文字颜色 2 2 2 3 4" xfId="2295"/>
    <cellStyle name="40% - 强调文字颜色 2 2 2 4" xfId="6273"/>
    <cellStyle name="40% - 强调文字颜色 2 2 2 4 2" xfId="6276"/>
    <cellStyle name="40% - 强调文字颜色 2 2 2 4 2 2" xfId="2058"/>
    <cellStyle name="40% - 强调文字颜色 2 2 2 4 2 2 2" xfId="6282"/>
    <cellStyle name="40% - 强调文字颜色 2 2 2 4 2 2 3" xfId="6289"/>
    <cellStyle name="40% - 强调文字颜色 2 2 2 4 2 3" xfId="6296"/>
    <cellStyle name="40% - 强调文字颜色 2 2 2 4 3" xfId="5793"/>
    <cellStyle name="40% - 强调文字颜色 2 2 2 4 3 2" xfId="5797"/>
    <cellStyle name="40% - 强调文字颜色 2 2 2 4 3 3" xfId="5802"/>
    <cellStyle name="40% - 强调文字颜色 2 2 2 4 4" xfId="2360"/>
    <cellStyle name="40% - 强调文字颜色 2 2 2 5" xfId="6299"/>
    <cellStyle name="40% - 强调文字颜色 2 2 2 5 2" xfId="143"/>
    <cellStyle name="40% - 强调文字颜色 2 2 2 5 2 2" xfId="4149"/>
    <cellStyle name="40% - 强调文字颜色 2 2 2 5 2 3" xfId="4164"/>
    <cellStyle name="40% - 强调文字颜色 2 2 2 5 3" xfId="2202"/>
    <cellStyle name="40% - 强调文字颜色 2 2 2 6" xfId="6305"/>
    <cellStyle name="40% - 强调文字颜色 2 2 2 6 2" xfId="4209"/>
    <cellStyle name="40% - 强调文字颜色 2 2 2 6 3" xfId="6307"/>
    <cellStyle name="40% - 强调文字颜色 2 2 2 7" xfId="6315"/>
    <cellStyle name="40% - 强调文字颜色 2 2 3" xfId="6317"/>
    <cellStyle name="40% - 强调文字颜色 2 2 3 2" xfId="6322"/>
    <cellStyle name="40% - 强调文字颜色 2 2 3 2 2" xfId="70"/>
    <cellStyle name="40% - 强调文字颜色 2 2 3 2 2 2" xfId="417"/>
    <cellStyle name="40% - 强调文字颜色 2 2 3 2 2 2 2" xfId="6308"/>
    <cellStyle name="40% - 强调文字颜色 2 2 3 2 2 2 2 2" xfId="6327"/>
    <cellStyle name="40% - 强调文字颜色 2 2 3 2 2 2 2 3" xfId="6330"/>
    <cellStyle name="40% - 强调文字颜色 2 2 3 2 2 2 3" xfId="3502"/>
    <cellStyle name="40% - 强调文字颜色 2 2 3 2 2 3" xfId="6333"/>
    <cellStyle name="40% - 强调文字颜色 2 2 3 2 2 3 2" xfId="6334"/>
    <cellStyle name="40% - 强调文字颜色 2 2 3 2 2 3 3" xfId="3379"/>
    <cellStyle name="40% - 强调文字颜色 2 2 3 2 2 4" xfId="6337"/>
    <cellStyle name="40% - 强调文字颜色 2 2 3 2 3" xfId="6343"/>
    <cellStyle name="40% - 强调文字颜色 2 2 3 2 3 2" xfId="2254"/>
    <cellStyle name="40% - 强调文字颜色 2 2 3 2 3 2 2" xfId="488"/>
    <cellStyle name="40% - 强调文字颜色 2 2 3 2 3 2 3" xfId="6347"/>
    <cellStyle name="40% - 强调文字颜色 2 2 3 2 3 3" xfId="6349"/>
    <cellStyle name="40% - 强调文字颜色 2 2 3 2 4" xfId="4599"/>
    <cellStyle name="40% - 强调文字颜色 2 2 3 2 4 2" xfId="4605"/>
    <cellStyle name="40% - 强调文字颜色 2 2 3 2 4 3" xfId="4794"/>
    <cellStyle name="40% - 强调文字颜色 2 2 3 2 5" xfId="6357"/>
    <cellStyle name="40% - 强调文字颜色 2 2 3 3" xfId="6360"/>
    <cellStyle name="40% - 强调文字颜色 2 2 3 3 2" xfId="6365"/>
    <cellStyle name="40% - 强调文字颜色 2 2 3 3 2 2" xfId="1634"/>
    <cellStyle name="40% - 强调文字颜色 2 2 3 3 2 2 2" xfId="6368"/>
    <cellStyle name="40% - 强调文字颜色 2 2 3 3 2 2 3" xfId="6372"/>
    <cellStyle name="40% - 强调文字颜色 2 2 3 3 2 3" xfId="6373"/>
    <cellStyle name="40% - 强调文字颜色 2 2 3 3 3" xfId="6375"/>
    <cellStyle name="40% - 强调文字颜色 2 2 3 3 3 2" xfId="2804"/>
    <cellStyle name="40% - 强调文字颜色 2 2 3 3 3 3" xfId="6378"/>
    <cellStyle name="40% - 强调文字颜色 2 2 3 3 4" xfId="2389"/>
    <cellStyle name="40% - 强调文字颜色 2 2 3 4" xfId="6381"/>
    <cellStyle name="40% - 强调文字颜色 2 2 3 4 2" xfId="6382"/>
    <cellStyle name="40% - 强调文字颜色 2 2 3 4 2 2" xfId="5370"/>
    <cellStyle name="40% - 强调文字颜色 2 2 3 4 2 2 2" xfId="6385"/>
    <cellStyle name="40% - 强调文字颜色 2 2 3 4 2 2 3" xfId="6393"/>
    <cellStyle name="40% - 强调文字颜色 2 2 3 4 2 3" xfId="6400"/>
    <cellStyle name="40% - 强调文字颜色 2 2 3 4 3" xfId="5820"/>
    <cellStyle name="40% - 强调文字颜色 2 2 3 4 3 2" xfId="5415"/>
    <cellStyle name="40% - 强调文字颜色 2 2 3 4 3 3" xfId="6402"/>
    <cellStyle name="40% - 强调文字颜色 2 2 3 4 4" xfId="5823"/>
    <cellStyle name="40% - 强调文字颜色 2 2 3 5" xfId="6404"/>
    <cellStyle name="40% - 强调文字颜色 2 2 3 5 2" xfId="4411"/>
    <cellStyle name="40% - 强调文字颜色 2 2 3 5 2 2" xfId="3670"/>
    <cellStyle name="40% - 强调文字颜色 2 2 3 5 2 3" xfId="3756"/>
    <cellStyle name="40% - 强调文字颜色 2 2 3 5 3" xfId="4416"/>
    <cellStyle name="40% - 强调文字颜色 2 2 3 6" xfId="6408"/>
    <cellStyle name="40% - 强调文字颜色 2 2 3 6 2" xfId="467"/>
    <cellStyle name="40% - 强调文字颜色 2 2 3 6 3" xfId="491"/>
    <cellStyle name="40% - 强调文字颜色 2 2 3 7" xfId="6412"/>
    <cellStyle name="40% - 强调文字颜色 2 2 4" xfId="5185"/>
    <cellStyle name="40% - 强调文字颜色 2 2 4 2" xfId="6417"/>
    <cellStyle name="40% - 强调文字颜色 2 2 4 2 2" xfId="195"/>
    <cellStyle name="40% - 强调文字颜色 2 2 4 2 2 2" xfId="5920"/>
    <cellStyle name="40% - 强调文字颜色 2 2 4 2 2 2 2" xfId="2457"/>
    <cellStyle name="40% - 强调文字颜色 2 2 4 2 2 2 2 2" xfId="2461"/>
    <cellStyle name="40% - 强调文字颜色 2 2 4 2 2 2 2 3" xfId="2498"/>
    <cellStyle name="40% - 强调文字颜色 2 2 4 2 2 2 3" xfId="2544"/>
    <cellStyle name="40% - 强调文字颜色 2 2 4 2 2 3" xfId="6421"/>
    <cellStyle name="40% - 强调文字颜色 2 2 4 2 2 3 2" xfId="2672"/>
    <cellStyle name="40% - 强调文字颜色 2 2 4 2 2 3 3" xfId="2737"/>
    <cellStyle name="40% - 强调文字颜色 2 2 4 2 2 4" xfId="6423"/>
    <cellStyle name="40% - 强调文字颜色 2 2 4 2 3" xfId="3910"/>
    <cellStyle name="40% - 强调文字颜色 2 2 4 2 3 2" xfId="6433"/>
    <cellStyle name="40% - 强调文字颜色 2 2 4 2 3 2 2" xfId="6441"/>
    <cellStyle name="40% - 强调文字颜色 2 2 4 2 3 2 3" xfId="6447"/>
    <cellStyle name="40% - 强调文字颜色 2 2 4 2 3 3" xfId="6451"/>
    <cellStyle name="40% - 强调文字颜色 2 2 4 2 4" xfId="6457"/>
    <cellStyle name="40% - 强调文字颜色 2 2 4 2 4 2" xfId="4586"/>
    <cellStyle name="40% - 强调文字颜色 2 2 4 2 4 3" xfId="25"/>
    <cellStyle name="40% - 强调文字颜色 2 2 4 2 5" xfId="6466"/>
    <cellStyle name="40% - 强调文字颜色 2 2 4 3" xfId="6471"/>
    <cellStyle name="40% - 强调文字颜色 2 2 4 3 2" xfId="6473"/>
    <cellStyle name="40% - 强调文字颜色 2 2 4 3 2 2" xfId="2220"/>
    <cellStyle name="40% - 强调文字颜色 2 2 4 3 2 2 2" xfId="3301"/>
    <cellStyle name="40% - 强调文字颜色 2 2 4 3 2 2 3" xfId="3353"/>
    <cellStyle name="40% - 强调文字颜色 2 2 4 3 2 3" xfId="627"/>
    <cellStyle name="40% - 强调文字颜色 2 2 4 3 3" xfId="6483"/>
    <cellStyle name="40% - 强调文字颜色 2 2 4 3 3 2" xfId="6489"/>
    <cellStyle name="40% - 强调文字颜色 2 2 4 3 3 3" xfId="729"/>
    <cellStyle name="40% - 强调文字颜色 2 2 4 3 4" xfId="6493"/>
    <cellStyle name="40% - 强调文字颜色 2 2 4 4" xfId="6498"/>
    <cellStyle name="40% - 强调文字颜色 2 2 4 4 2" xfId="6499"/>
    <cellStyle name="40% - 强调文字颜色 2 2 4 4 2 2" xfId="6507"/>
    <cellStyle name="40% - 强调文字颜色 2 2 4 4 2 2 2" xfId="4169"/>
    <cellStyle name="40% - 强调文字颜色 2 2 4 4 2 2 3" xfId="4212"/>
    <cellStyle name="40% - 强调文字颜色 2 2 4 4 2 3" xfId="1112"/>
    <cellStyle name="40% - 强调文字颜色 2 2 4 4 3" xfId="6511"/>
    <cellStyle name="40% - 强调文字颜色 2 2 4 4 3 2" xfId="6517"/>
    <cellStyle name="40% - 强调文字颜色 2 2 4 4 3 3" xfId="1177"/>
    <cellStyle name="40% - 强调文字颜色 2 2 4 4 4" xfId="6521"/>
    <cellStyle name="40% - 强调文字颜色 2 2 4 5" xfId="6523"/>
    <cellStyle name="40% - 强调文字颜色 2 2 4 5 2" xfId="3552"/>
    <cellStyle name="40% - 强调文字颜色 2 2 4 5 2 2" xfId="6524"/>
    <cellStyle name="40% - 强调文字颜色 2 2 4 5 2 3" xfId="1417"/>
    <cellStyle name="40% - 强调文字颜色 2 2 4 5 3" xfId="6532"/>
    <cellStyle name="40% - 强调文字颜色 2 2 4 6" xfId="6536"/>
    <cellStyle name="40% - 强调文字颜色 2 2 4 6 2" xfId="6537"/>
    <cellStyle name="40% - 强调文字颜色 2 2 4 6 3" xfId="4622"/>
    <cellStyle name="40% - 强调文字颜色 2 2 4 7" xfId="6539"/>
    <cellStyle name="40% - 强调文字颜色 2 2 5" xfId="4721"/>
    <cellStyle name="40% - 强调文字颜色 2 2 5 2" xfId="6544"/>
    <cellStyle name="40% - 强调文字颜色 2 2 5 2 2" xfId="6545"/>
    <cellStyle name="40% - 强调文字颜色 2 2 5 2 2 2" xfId="6016"/>
    <cellStyle name="40% - 强调文字颜色 2 2 5 2 2 2 2" xfId="3749"/>
    <cellStyle name="40% - 强调文字颜色 2 2 5 2 2 2 3" xfId="6551"/>
    <cellStyle name="40% - 强调文字颜色 2 2 5 2 2 3" xfId="6554"/>
    <cellStyle name="40% - 强调文字颜色 2 2 5 2 3" xfId="6555"/>
    <cellStyle name="40% - 强调文字颜色 2 2 5 2 3 2" xfId="6561"/>
    <cellStyle name="40% - 强调文字颜色 2 2 5 2 3 3" xfId="6566"/>
    <cellStyle name="40% - 强调文字颜色 2 2 5 2 4" xfId="6568"/>
    <cellStyle name="40% - 强调文字颜色 2 2 5 3" xfId="6573"/>
    <cellStyle name="40% - 强调文字颜色 2 2 5 3 2" xfId="6574"/>
    <cellStyle name="40% - 强调文字颜色 2 2 5 3 2 2" xfId="1406"/>
    <cellStyle name="40% - 强调文字颜色 2 2 5 3 2 3" xfId="1471"/>
    <cellStyle name="40% - 强调文字颜色 2 2 5 3 3" xfId="6576"/>
    <cellStyle name="40% - 强调文字颜色 2 2 5 4" xfId="6582"/>
    <cellStyle name="40% - 强调文字颜色 2 2 5 4 2" xfId="6586"/>
    <cellStyle name="40% - 强调文字颜色 2 2 5 4 3" xfId="6590"/>
    <cellStyle name="40% - 强调文字颜色 2 2 5 5" xfId="6593"/>
    <cellStyle name="40% - 强调文字颜色 2 2 6" xfId="4732"/>
    <cellStyle name="40% - 强调文字颜色 2 2 6 2" xfId="6597"/>
    <cellStyle name="40% - 强调文字颜色 2 2 6 2 2" xfId="6598"/>
    <cellStyle name="40% - 强调文字颜色 2 2 6 2 2 2" xfId="6599"/>
    <cellStyle name="40% - 强调文字颜色 2 2 6 2 2 3" xfId="6602"/>
    <cellStyle name="40% - 强调文字颜色 2 2 6 2 3" xfId="6605"/>
    <cellStyle name="40% - 强调文字颜色 2 2 6 3" xfId="6608"/>
    <cellStyle name="40% - 强调文字颜色 2 2 6 3 2" xfId="6419"/>
    <cellStyle name="40% - 强调文字颜色 2 2 6 3 3" xfId="6426"/>
    <cellStyle name="40% - 强调文字颜色 2 2 6 4" xfId="6614"/>
    <cellStyle name="40% - 强调文字颜色 2 2 7" xfId="525"/>
    <cellStyle name="40% - 强调文字颜色 2 2 7 2" xfId="99"/>
    <cellStyle name="40% - 强调文字颜色 2 2 7 2 2" xfId="534"/>
    <cellStyle name="40% - 强调文字颜色 2 2 7 2 2 2" xfId="384"/>
    <cellStyle name="40% - 强调文字颜色 2 2 7 2 2 3" xfId="400"/>
    <cellStyle name="40% - 强调文字颜色 2 2 7 2 3" xfId="574"/>
    <cellStyle name="40% - 强调文字颜色 2 2 7 3" xfId="615"/>
    <cellStyle name="40% - 强调文字颜色 2 2 7 3 2" xfId="628"/>
    <cellStyle name="40% - 强调文字颜色 2 2 7 3 3" xfId="665"/>
    <cellStyle name="40% - 强调文字颜色 2 2 7 4" xfId="715"/>
    <cellStyle name="40% - 强调文字颜色 2 2 8" xfId="916"/>
    <cellStyle name="40% - 强调文字颜色 2 2 8 2" xfId="931"/>
    <cellStyle name="40% - 强调文字颜色 2 2 8 2 2" xfId="937"/>
    <cellStyle name="40% - 强调文字颜色 2 2 8 2 3" xfId="1026"/>
    <cellStyle name="40% - 强调文字颜色 2 2 8 3" xfId="1100"/>
    <cellStyle name="40% - 强调文字颜色 2 2 9" xfId="1290"/>
    <cellStyle name="40% - 强调文字颜色 2 2 9 2" xfId="1301"/>
    <cellStyle name="40% - 强调文字颜色 3 2" xfId="6615"/>
    <cellStyle name="40% - 强调文字颜色 3 2 10" xfId="6619"/>
    <cellStyle name="40% - 强调文字颜色 3 2 2" xfId="5212"/>
    <cellStyle name="40% - 强调文字颜色 3 2 2 2" xfId="6629"/>
    <cellStyle name="40% - 强调文字颜色 3 2 2 2 2" xfId="6639"/>
    <cellStyle name="40% - 强调文字颜色 3 2 2 2 2 2" xfId="6646"/>
    <cellStyle name="40% - 强调文字颜色 3 2 2 2 2 2 2" xfId="6340"/>
    <cellStyle name="40% - 强调文字颜色 3 2 2 2 2 2 2 2" xfId="6660"/>
    <cellStyle name="40% - 强调文字颜色 3 2 2 2 2 2 2 3" xfId="6669"/>
    <cellStyle name="40% - 强调文字颜色 3 2 2 2 2 2 3" xfId="4110"/>
    <cellStyle name="40% - 强调文字颜色 3 2 2 2 2 3" xfId="6674"/>
    <cellStyle name="40% - 强调文字颜色 3 2 2 2 2 3 2" xfId="6680"/>
    <cellStyle name="40% - 强调文字颜色 3 2 2 2 2 3 3" xfId="4003"/>
    <cellStyle name="40% - 强调文字颜色 3 2 2 2 2 4" xfId="6682"/>
    <cellStyle name="40% - 强调文字颜色 3 2 2 2 3" xfId="6695"/>
    <cellStyle name="40% - 强调文字颜色 3 2 2 2 3 2" xfId="1921"/>
    <cellStyle name="40% - 强调文字颜色 3 2 2 2 3 2 2" xfId="6702"/>
    <cellStyle name="40% - 强调文字颜色 3 2 2 2 3 2 3" xfId="6708"/>
    <cellStyle name="40% - 强调文字颜色 3 2 2 2 3 3" xfId="6714"/>
    <cellStyle name="40% - 强调文字颜色 3 2 2 2 4" xfId="1020"/>
    <cellStyle name="40% - 强调文字颜色 3 2 2 2 4 2" xfId="6720"/>
    <cellStyle name="40% - 强调文字颜色 3 2 2 2 4 3" xfId="6723"/>
    <cellStyle name="40% - 强调文字颜色 3 2 2 2 5" xfId="256"/>
    <cellStyle name="40% - 强调文字颜色 3 2 2 3" xfId="6734"/>
    <cellStyle name="40% - 强调文字颜色 3 2 2 3 2" xfId="1822"/>
    <cellStyle name="40% - 强调文字颜色 3 2 2 3 2 2" xfId="6741"/>
    <cellStyle name="40% - 强调文字颜色 3 2 2 3 2 2 2" xfId="6427"/>
    <cellStyle name="40% - 强调文字颜色 3 2 2 3 2 2 3" xfId="6745"/>
    <cellStyle name="40% - 强调文字颜色 3 2 2 3 2 3" xfId="6752"/>
    <cellStyle name="40% - 强调文字颜色 3 2 2 3 3" xfId="6757"/>
    <cellStyle name="40% - 强调文字颜色 3 2 2 3 3 2" xfId="5265"/>
    <cellStyle name="40% - 强调文字颜色 3 2 2 3 3 3" xfId="6764"/>
    <cellStyle name="40% - 强调文字颜色 3 2 2 3 4" xfId="760"/>
    <cellStyle name="40% - 强调文字颜色 3 2 2 4" xfId="6772"/>
    <cellStyle name="40% - 强调文字颜色 3 2 2 4 2" xfId="1665"/>
    <cellStyle name="40% - 强调文字颜色 3 2 2 4 2 2" xfId="6781"/>
    <cellStyle name="40% - 强调文字颜色 3 2 2 4 2 2 2" xfId="60"/>
    <cellStyle name="40% - 强调文字颜色 3 2 2 4 2 2 3" xfId="6791"/>
    <cellStyle name="40% - 强调文字颜色 3 2 2 4 2 3" xfId="6799"/>
    <cellStyle name="40% - 强调文字颜色 3 2 2 4 3" xfId="5897"/>
    <cellStyle name="40% - 强调文字颜色 3 2 2 4 3 2" xfId="5903"/>
    <cellStyle name="40% - 强调文字颜色 3 2 2 4 3 3" xfId="5916"/>
    <cellStyle name="40% - 强调文字颜色 3 2 2 4 4" xfId="2664"/>
    <cellStyle name="40% - 强调文字颜色 3 2 2 5" xfId="1969"/>
    <cellStyle name="40% - 强调文字颜色 3 2 2 5 2" xfId="1697"/>
    <cellStyle name="40% - 强调文字颜色 3 2 2 5 2 2" xfId="1983"/>
    <cellStyle name="40% - 强调文字颜色 3 2 2 5 2 3" xfId="2030"/>
    <cellStyle name="40% - 强调文字颜色 3 2 2 5 3" xfId="2108"/>
    <cellStyle name="40% - 强调文字颜色 3 2 2 6" xfId="2263"/>
    <cellStyle name="40% - 强调文字颜色 3 2 2 6 2" xfId="2280"/>
    <cellStyle name="40% - 强调文字颜色 3 2 2 6 3" xfId="2460"/>
    <cellStyle name="40% - 强调文字颜色 3 2 2 7" xfId="2627"/>
    <cellStyle name="40% - 强调文字颜色 3 2 3" xfId="6802"/>
    <cellStyle name="40% - 强调文字颜色 3 2 3 2" xfId="6807"/>
    <cellStyle name="40% - 强调文字颜色 3 2 3 2 2" xfId="6811"/>
    <cellStyle name="40% - 强调文字颜色 3 2 3 2 2 2" xfId="6208"/>
    <cellStyle name="40% - 强调文字颜色 3 2 3 2 2 2 2" xfId="5681"/>
    <cellStyle name="40% - 强调文字颜色 3 2 3 2 2 2 2 2" xfId="6816"/>
    <cellStyle name="40% - 强调文字颜色 3 2 3 2 2 2 2 3" xfId="6823"/>
    <cellStyle name="40% - 强调文字颜色 3 2 3 2 2 2 3" xfId="4367"/>
    <cellStyle name="40% - 强调文字颜色 3 2 3 2 2 3" xfId="6830"/>
    <cellStyle name="40% - 强调文字颜色 3 2 3 2 2 3 2" xfId="5735"/>
    <cellStyle name="40% - 强调文字颜色 3 2 3 2 2 3 3" xfId="4231"/>
    <cellStyle name="40% - 强调文字颜色 3 2 3 2 2 4" xfId="6831"/>
    <cellStyle name="40% - 强调文字颜色 3 2 3 2 3" xfId="6836"/>
    <cellStyle name="40% - 强调文字颜色 3 2 3 2 3 2" xfId="6840"/>
    <cellStyle name="40% - 强调文字颜色 3 2 3 2 3 2 2" xfId="6844"/>
    <cellStyle name="40% - 强调文字颜色 3 2 3 2 3 2 3" xfId="6847"/>
    <cellStyle name="40% - 强调文字颜色 3 2 3 2 3 3" xfId="6849"/>
    <cellStyle name="40% - 强调文字颜色 3 2 3 2 4" xfId="6854"/>
    <cellStyle name="40% - 强调文字颜色 3 2 3 2 4 2" xfId="6861"/>
    <cellStyle name="40% - 强调文字颜色 3 2 3 2 4 3" xfId="6867"/>
    <cellStyle name="40% - 强调文字颜色 3 2 3 2 5" xfId="6873"/>
    <cellStyle name="40% - 强调文字颜色 3 2 3 3" xfId="6877"/>
    <cellStyle name="40% - 强调文字颜色 3 2 3 3 2" xfId="1876"/>
    <cellStyle name="40% - 强调文字颜色 3 2 3 3 2 2" xfId="6881"/>
    <cellStyle name="40% - 强调文字颜色 3 2 3 3 2 2 2" xfId="5914"/>
    <cellStyle name="40% - 强调文字颜色 3 2 3 3 2 2 3" xfId="6887"/>
    <cellStyle name="40% - 强调文字颜色 3 2 3 3 2 3" xfId="6889"/>
    <cellStyle name="40% - 强调文字颜色 3 2 3 3 3" xfId="6891"/>
    <cellStyle name="40% - 强调文字颜色 3 2 3 3 3 2" xfId="6893"/>
    <cellStyle name="40% - 强调文字颜色 3 2 3 3 3 3" xfId="6896"/>
    <cellStyle name="40% - 强调文字颜色 3 2 3 3 4" xfId="2321"/>
    <cellStyle name="40% - 强调文字颜色 3 2 3 4" xfId="950"/>
    <cellStyle name="40% - 强调文字颜色 3 2 3 4 2" xfId="954"/>
    <cellStyle name="40% - 强调文字颜色 3 2 3 4 2 2" xfId="6905"/>
    <cellStyle name="40% - 强调文字颜色 3 2 3 4 2 2 2" xfId="6912"/>
    <cellStyle name="40% - 强调文字颜色 3 2 3 4 2 2 3" xfId="6918"/>
    <cellStyle name="40% - 强调文字颜色 3 2 3 4 2 3" xfId="6926"/>
    <cellStyle name="40% - 强调文字颜色 3 2 3 4 3" xfId="986"/>
    <cellStyle name="40% - 强调文字颜色 3 2 3 4 3 2" xfId="6928"/>
    <cellStyle name="40% - 强调文字颜色 3 2 3 4 3 3" xfId="6907"/>
    <cellStyle name="40% - 强调文字颜色 3 2 3 4 4" xfId="5931"/>
    <cellStyle name="40% - 强调文字颜色 3 2 3 5" xfId="1005"/>
    <cellStyle name="40% - 强调文字颜色 3 2 3 5 2" xfId="4991"/>
    <cellStyle name="40% - 强调文字颜色 3 2 3 5 2 2" xfId="4500"/>
    <cellStyle name="40% - 强调文字颜色 3 2 3 5 2 3" xfId="4995"/>
    <cellStyle name="40% - 强调文字颜色 3 2 3 5 3" xfId="5005"/>
    <cellStyle name="40% - 强调文字颜色 3 2 3 6" xfId="6931"/>
    <cellStyle name="40% - 强调文字颜色 3 2 3 6 2" xfId="5034"/>
    <cellStyle name="40% - 强调文字颜色 3 2 3 6 3" xfId="6437"/>
    <cellStyle name="40% - 强调文字颜色 3 2 3 7" xfId="6935"/>
    <cellStyle name="40% - 强调文字颜色 3 2 4" xfId="6626"/>
    <cellStyle name="40% - 强调文字颜色 3 2 4 2" xfId="6634"/>
    <cellStyle name="40% - 强调文字颜色 3 2 4 2 2" xfId="6643"/>
    <cellStyle name="40% - 强调文字颜色 3 2 4 2 2 2" xfId="6339"/>
    <cellStyle name="40% - 强调文字颜色 3 2 4 2 2 2 2" xfId="6653"/>
    <cellStyle name="40% - 强调文字颜色 3 2 4 2 2 2 2 2" xfId="6945"/>
    <cellStyle name="40% - 强调文字颜色 3 2 4 2 2 2 2 3" xfId="6954"/>
    <cellStyle name="40% - 强调文字颜色 3 2 4 2 2 2 3" xfId="6665"/>
    <cellStyle name="40% - 强调文字颜色 3 2 4 2 2 3" xfId="4109"/>
    <cellStyle name="40% - 强调文字颜色 3 2 4 2 2 3 2" xfId="6959"/>
    <cellStyle name="40% - 强调文字颜色 3 2 4 2 2 3 3" xfId="6965"/>
    <cellStyle name="40% - 强调文字颜色 3 2 4 2 2 4" xfId="4120"/>
    <cellStyle name="40% - 强调文字颜色 3 2 4 2 3" xfId="6672"/>
    <cellStyle name="40% - 强调文字颜色 3 2 4 2 3 2" xfId="6678"/>
    <cellStyle name="40% - 强调文字颜色 3 2 4 2 3 2 2" xfId="6972"/>
    <cellStyle name="40% - 强调文字颜色 3 2 4 2 3 2 3" xfId="1319"/>
    <cellStyle name="40% - 强调文字颜色 3 2 4 2 3 3" xfId="4002"/>
    <cellStyle name="40% - 强调文字颜色 3 2 4 2 4" xfId="6689"/>
    <cellStyle name="40% - 强调文字颜色 3 2 4 2 4 2" xfId="4932"/>
    <cellStyle name="40% - 强调文字颜色 3 2 4 2 4 3" xfId="4958"/>
    <cellStyle name="40% - 强调文字颜色 3 2 4 2 5" xfId="6984"/>
    <cellStyle name="40% - 强调文字颜色 3 2 4 3" xfId="6693"/>
    <cellStyle name="40% - 强调文字颜色 3 2 4 3 2" xfId="1918"/>
    <cellStyle name="40% - 强调文字颜色 3 2 4 3 2 2" xfId="6699"/>
    <cellStyle name="40% - 强调文字颜色 3 2 4 3 2 2 2" xfId="6994"/>
    <cellStyle name="40% - 强调文字颜色 3 2 4 3 2 2 3" xfId="6997"/>
    <cellStyle name="40% - 强调文字颜色 3 2 4 3 2 3" xfId="6705"/>
    <cellStyle name="40% - 强调文字颜色 3 2 4 3 3" xfId="6712"/>
    <cellStyle name="40% - 强调文字颜色 3 2 4 3 3 2" xfId="6999"/>
    <cellStyle name="40% - 强调文字颜色 3 2 4 3 3 3" xfId="4975"/>
    <cellStyle name="40% - 强调文字颜色 3 2 4 3 4" xfId="7009"/>
    <cellStyle name="40% - 强调文字颜色 3 2 4 4" xfId="1017"/>
    <cellStyle name="40% - 强调文字颜色 3 2 4 4 2" xfId="6718"/>
    <cellStyle name="40% - 强调文字颜色 3 2 4 4 2 2" xfId="7017"/>
    <cellStyle name="40% - 强调文字颜色 3 2 4 4 2 2 2" xfId="7022"/>
    <cellStyle name="40% - 强调文字颜色 3 2 4 4 2 2 3" xfId="7025"/>
    <cellStyle name="40% - 强调文字颜色 3 2 4 4 2 3" xfId="7032"/>
    <cellStyle name="40% - 强调文字颜色 3 2 4 4 3" xfId="6722"/>
    <cellStyle name="40% - 强调文字颜色 3 2 4 4 3 2" xfId="7033"/>
    <cellStyle name="40% - 强调文字颜色 3 2 4 4 3 3" xfId="7034"/>
    <cellStyle name="40% - 强调文字颜色 3 2 4 4 4" xfId="7042"/>
    <cellStyle name="40% - 强调文字颜色 3 2 4 5" xfId="253"/>
    <cellStyle name="40% - 强调文字颜色 3 2 4 5 2" xfId="3802"/>
    <cellStyle name="40% - 强调文字颜色 3 2 4 5 2 2" xfId="6549"/>
    <cellStyle name="40% - 强调文字颜色 3 2 4 5 2 3" xfId="7045"/>
    <cellStyle name="40% - 强调文字颜色 3 2 4 5 3" xfId="4573"/>
    <cellStyle name="40% - 强调文字颜色 3 2 4 6" xfId="7047"/>
    <cellStyle name="40% - 强调文字颜色 3 2 4 6 2" xfId="7049"/>
    <cellStyle name="40% - 强调文字颜色 3 2 4 6 3" xfId="7055"/>
    <cellStyle name="40% - 强调文字颜色 3 2 4 7" xfId="7057"/>
    <cellStyle name="40% - 强调文字颜色 3 2 5" xfId="6729"/>
    <cellStyle name="40% - 强调文字颜色 3 2 5 2" xfId="1817"/>
    <cellStyle name="40% - 强调文字颜色 3 2 5 2 2" xfId="6737"/>
    <cellStyle name="40% - 强调文字颜色 3 2 5 2 2 2" xfId="6424"/>
    <cellStyle name="40% - 强调文字颜色 3 2 5 2 2 2 2" xfId="2840"/>
    <cellStyle name="40% - 强调文字颜色 3 2 5 2 2 2 3" xfId="1942"/>
    <cellStyle name="40% - 强调文字颜色 3 2 5 2 2 3" xfId="6742"/>
    <cellStyle name="40% - 强调文字颜色 3 2 5 2 3" xfId="6748"/>
    <cellStyle name="40% - 强调文字颜色 3 2 5 2 3 2" xfId="7058"/>
    <cellStyle name="40% - 强调文字颜色 3 2 5 2 3 3" xfId="5006"/>
    <cellStyle name="40% - 强调文字颜色 3 2 5 2 4" xfId="7067"/>
    <cellStyle name="40% - 强调文字颜色 3 2 5 3" xfId="6754"/>
    <cellStyle name="40% - 强调文字颜色 3 2 5 3 2" xfId="5262"/>
    <cellStyle name="40% - 强调文字颜色 3 2 5 3 2 2" xfId="661"/>
    <cellStyle name="40% - 强调文字颜色 3 2 5 3 2 3" xfId="697"/>
    <cellStyle name="40% - 强调文字颜色 3 2 5 3 3" xfId="6761"/>
    <cellStyle name="40% - 强调文字颜色 3 2 5 4" xfId="758"/>
    <cellStyle name="40% - 强调文字颜色 3 2 5 4 2" xfId="505"/>
    <cellStyle name="40% - 强调文字颜色 3 2 5 4 3" xfId="2645"/>
    <cellStyle name="40% - 强调文字颜色 3 2 5 5" xfId="2650"/>
    <cellStyle name="40% - 强调文字颜色 3 2 6" xfId="6768"/>
    <cellStyle name="40% - 强调文字颜色 3 2 6 2" xfId="1660"/>
    <cellStyle name="40% - 强调文字颜色 3 2 6 2 2" xfId="6778"/>
    <cellStyle name="40% - 强调文字颜色 3 2 6 2 2 2" xfId="56"/>
    <cellStyle name="40% - 强调文字颜色 3 2 6 2 2 3" xfId="6787"/>
    <cellStyle name="40% - 强调文字颜色 3 2 6 2 3" xfId="6795"/>
    <cellStyle name="40% - 强调文字颜色 3 2 6 3" xfId="5890"/>
    <cellStyle name="40% - 强调文字颜色 3 2 6 3 2" xfId="5900"/>
    <cellStyle name="40% - 强调文字颜色 3 2 6 3 3" xfId="5906"/>
    <cellStyle name="40% - 强调文字颜色 3 2 6 4" xfId="2659"/>
    <cellStyle name="40% - 强调文字颜色 3 2 7" xfId="1965"/>
    <cellStyle name="40% - 强调文字颜色 3 2 7 2" xfId="1685"/>
    <cellStyle name="40% - 强调文字颜色 3 2 7 2 2" xfId="1972"/>
    <cellStyle name="40% - 强调文字颜色 3 2 7 2 2 2" xfId="1991"/>
    <cellStyle name="40% - 强调文字颜色 3 2 7 2 2 3" xfId="2006"/>
    <cellStyle name="40% - 强调文字颜色 3 2 7 2 3" xfId="2018"/>
    <cellStyle name="40% - 强调文字颜色 3 2 7 3" xfId="2096"/>
    <cellStyle name="40% - 强调文字颜色 3 2 7 3 2" xfId="2120"/>
    <cellStyle name="40% - 强调文字颜色 3 2 7 3 3" xfId="2138"/>
    <cellStyle name="40% - 强调文字颜色 3 2 7 4" xfId="2176"/>
    <cellStyle name="40% - 强调文字颜色 3 2 8" xfId="2258"/>
    <cellStyle name="40% - 强调文字颜色 3 2 8 2" xfId="2267"/>
    <cellStyle name="40% - 强调文字颜色 3 2 8 2 2" xfId="2284"/>
    <cellStyle name="40% - 强调文字颜色 3 2 8 2 3" xfId="2369"/>
    <cellStyle name="40% - 强调文字颜色 3 2 8 3" xfId="2453"/>
    <cellStyle name="40% - 强调文字颜色 3 2 9" xfId="2622"/>
    <cellStyle name="40% - 强调文字颜色 3 2 9 2" xfId="2632"/>
    <cellStyle name="40% - 强调文字颜色 4 2" xfId="7074"/>
    <cellStyle name="40% - 强调文字颜色 4 2 10" xfId="4284"/>
    <cellStyle name="40% - 强调文字颜色 4 2 2" xfId="7078"/>
    <cellStyle name="40% - 强调文字颜色 4 2 2 2" xfId="4371"/>
    <cellStyle name="40% - 强调文字颜色 4 2 2 2 2" xfId="7089"/>
    <cellStyle name="40% - 强调文字颜色 4 2 2 2 2 2" xfId="7093"/>
    <cellStyle name="40% - 强调文字颜色 4 2 2 2 2 2 2" xfId="7095"/>
    <cellStyle name="40% - 强调文字颜色 4 2 2 2 2 2 2 2" xfId="7101"/>
    <cellStyle name="40% - 强调文字颜色 4 2 2 2 2 2 2 3" xfId="3310"/>
    <cellStyle name="40% - 强调文字颜色 4 2 2 2 2 2 3" xfId="4819"/>
    <cellStyle name="40% - 强调文字颜色 4 2 2 2 2 3" xfId="1510"/>
    <cellStyle name="40% - 强调文字颜色 4 2 2 2 2 3 2" xfId="7104"/>
    <cellStyle name="40% - 强调文字颜色 4 2 2 2 2 3 3" xfId="5534"/>
    <cellStyle name="40% - 强调文字颜色 4 2 2 2 2 4" xfId="1529"/>
    <cellStyle name="40% - 强调文字颜色 4 2 2 2 3" xfId="7112"/>
    <cellStyle name="40% - 强调文字颜色 4 2 2 2 3 2" xfId="7118"/>
    <cellStyle name="40% - 强调文字颜色 4 2 2 2 3 2 2" xfId="7122"/>
    <cellStyle name="40% - 强调文字颜色 4 2 2 2 3 2 3" xfId="7127"/>
    <cellStyle name="40% - 强调文字颜色 4 2 2 2 3 3" xfId="7129"/>
    <cellStyle name="40% - 强调文字颜色 4 2 2 2 4" xfId="1361"/>
    <cellStyle name="40% - 强调文字颜色 4 2 2 2 4 2" xfId="7134"/>
    <cellStyle name="40% - 强调文字颜色 4 2 2 2 4 3" xfId="5298"/>
    <cellStyle name="40% - 强调文字颜色 4 2 2 2 5" xfId="1372"/>
    <cellStyle name="40% - 强调文字颜色 4 2 2 3" xfId="7136"/>
    <cellStyle name="40% - 强调文字颜色 4 2 2 3 2" xfId="2561"/>
    <cellStyle name="40% - 强调文字颜色 4 2 2 3 2 2" xfId="7142"/>
    <cellStyle name="40% - 强调文字颜色 4 2 2 3 2 2 2" xfId="4767"/>
    <cellStyle name="40% - 强调文字颜色 4 2 2 3 2 2 3" xfId="5500"/>
    <cellStyle name="40% - 强调文字颜色 4 2 2 3 2 3" xfId="7145"/>
    <cellStyle name="40% - 强调文字颜色 4 2 2 3 3" xfId="7154"/>
    <cellStyle name="40% - 强调文字颜色 4 2 2 3 3 2" xfId="7155"/>
    <cellStyle name="40% - 强调文字颜色 4 2 2 3 3 3" xfId="7157"/>
    <cellStyle name="40% - 强调文字颜色 4 2 2 3 4" xfId="1203"/>
    <cellStyle name="40% - 强调文字颜色 4 2 2 4" xfId="4314"/>
    <cellStyle name="40% - 强调文字颜色 4 2 2 4 2" xfId="2582"/>
    <cellStyle name="40% - 强调文字颜色 4 2 2 4 2 2" xfId="3105"/>
    <cellStyle name="40% - 强调文字颜色 4 2 2 4 2 2 2" xfId="4323"/>
    <cellStyle name="40% - 强调文字颜色 4 2 2 4 2 2 3" xfId="4334"/>
    <cellStyle name="40% - 强调文字颜色 4 2 2 4 2 3" xfId="4342"/>
    <cellStyle name="40% - 强调文字颜色 4 2 2 4 3" xfId="4355"/>
    <cellStyle name="40% - 强调文字颜色 4 2 2 4 3 2" xfId="4362"/>
    <cellStyle name="40% - 强调文字颜色 4 2 2 4 3 3" xfId="4370"/>
    <cellStyle name="40% - 强调文字颜色 4 2 2 4 4" xfId="4382"/>
    <cellStyle name="40% - 强调文字颜色 4 2 2 5" xfId="4391"/>
    <cellStyle name="40% - 强调文字颜色 4 2 2 5 2" xfId="4400"/>
    <cellStyle name="40% - 强调文字颜色 4 2 2 5 2 2" xfId="34"/>
    <cellStyle name="40% - 强调文字颜色 4 2 2 5 2 3" xfId="433"/>
    <cellStyle name="40% - 强调文字颜色 4 2 2 5 3" xfId="2750"/>
    <cellStyle name="40% - 强调文字颜色 4 2 2 6" xfId="4406"/>
    <cellStyle name="40% - 强调文字颜色 4 2 2 6 2" xfId="3663"/>
    <cellStyle name="40% - 强调文字颜色 4 2 2 6 3" xfId="3750"/>
    <cellStyle name="40% - 强调文字颜色 4 2 2 7" xfId="4412"/>
    <cellStyle name="40% - 强调文字颜色 4 2 3" xfId="7161"/>
    <cellStyle name="40% - 强调文字颜色 4 2 3 2" xfId="369"/>
    <cellStyle name="40% - 强调文字颜色 4 2 3 2 2" xfId="1074"/>
    <cellStyle name="40% - 强调文字颜色 4 2 3 2 2 2" xfId="6684"/>
    <cellStyle name="40% - 强调文字颜色 4 2 3 2 2 2 2" xfId="4928"/>
    <cellStyle name="40% - 强调文字颜色 4 2 3 2 2 2 2 2" xfId="4936"/>
    <cellStyle name="40% - 强调文字颜色 4 2 3 2 2 2 2 3" xfId="1421"/>
    <cellStyle name="40% - 强调文字颜色 4 2 3 2 2 2 3" xfId="4954"/>
    <cellStyle name="40% - 强调文字颜色 4 2 3 2 2 3" xfId="6976"/>
    <cellStyle name="40% - 强调文字颜色 4 2 3 2 2 3 2" xfId="7165"/>
    <cellStyle name="40% - 强调文字颜色 4 2 3 2 2 3 3" xfId="5623"/>
    <cellStyle name="40% - 强调文字颜色 4 2 3 2 2 4" xfId="7171"/>
    <cellStyle name="40% - 强调文字颜色 4 2 3 2 3" xfId="2353"/>
    <cellStyle name="40% - 强调文字颜色 4 2 3 2 3 2" xfId="7001"/>
    <cellStyle name="40% - 强调文字颜色 4 2 3 2 3 2 2" xfId="5524"/>
    <cellStyle name="40% - 强调文字颜色 4 2 3 2 3 2 3" xfId="5618"/>
    <cellStyle name="40% - 强调文字颜色 4 2 3 2 3 3" xfId="7176"/>
    <cellStyle name="40% - 强调文字颜色 4 2 3 2 4" xfId="533"/>
    <cellStyle name="40% - 强调文字颜色 4 2 3 2 4 2" xfId="7040"/>
    <cellStyle name="40% - 强调文字颜色 4 2 3 2 4 3" xfId="7186"/>
    <cellStyle name="40% - 强调文字颜色 4 2 3 2 5" xfId="4689"/>
    <cellStyle name="40% - 强调文字颜色 4 2 3 3" xfId="306"/>
    <cellStyle name="40% - 强调文字颜色 4 2 3 3 2" xfId="2196"/>
    <cellStyle name="40% - 强调文字颜色 4 2 3 3 2 2" xfId="7064"/>
    <cellStyle name="40% - 强调文字颜色 4 2 3 3 2 2 2" xfId="7190"/>
    <cellStyle name="40% - 强调文字颜色 4 2 3 3 2 2 3" xfId="5430"/>
    <cellStyle name="40% - 强调文字颜色 4 2 3 3 2 3" xfId="7192"/>
    <cellStyle name="40% - 强调文字颜色 4 2 3 3 3" xfId="7196"/>
    <cellStyle name="40% - 强调文字颜色 4 2 3 3 3 2" xfId="46"/>
    <cellStyle name="40% - 强调文字颜色 4 2 3 3 3 3" xfId="7198"/>
    <cellStyle name="40% - 强调文字颜色 4 2 3 3 4" xfId="7204"/>
    <cellStyle name="40% - 强调文字颜色 4 2 3 4" xfId="421"/>
    <cellStyle name="40% - 强调文字颜色 4 2 3 4 2" xfId="2892"/>
    <cellStyle name="40% - 强调文字颜色 4 2 3 4 2 2" xfId="4419"/>
    <cellStyle name="40% - 强调文字颜色 4 2 3 4 2 2 2" xfId="5279"/>
    <cellStyle name="40% - 强调文字颜色 4 2 3 4 2 2 3" xfId="6033"/>
    <cellStyle name="40% - 强调文字颜色 4 2 3 4 2 3" xfId="4427"/>
    <cellStyle name="40% - 强调文字颜色 4 2 3 4 3" xfId="4437"/>
    <cellStyle name="40% - 强调文字颜色 4 2 3 4 3 2" xfId="6883"/>
    <cellStyle name="40% - 强调文字颜色 4 2 3 4 3 3" xfId="7207"/>
    <cellStyle name="40% - 强调文字颜色 4 2 3 4 4" xfId="5175"/>
    <cellStyle name="40% - 强调文字颜色 4 2 3 5" xfId="426"/>
    <cellStyle name="40% - 强调文字颜色 4 2 3 5 2" xfId="4443"/>
    <cellStyle name="40% - 强调文字颜色 4 2 3 5 2 2" xfId="2071"/>
    <cellStyle name="40% - 强调文字颜色 4 2 3 5 2 3" xfId="1041"/>
    <cellStyle name="40% - 强调文字颜色 4 2 3 5 3" xfId="4453"/>
    <cellStyle name="40% - 强调文字颜色 4 2 3 6" xfId="459"/>
    <cellStyle name="40% - 强调文字颜色 4 2 3 6 2" xfId="5568"/>
    <cellStyle name="40% - 强调文字颜色 4 2 3 6 3" xfId="7210"/>
    <cellStyle name="40% - 强调文字颜色 4 2 3 7" xfId="486"/>
    <cellStyle name="40% - 强调文字颜色 4 2 4" xfId="7213"/>
    <cellStyle name="40% - 强调文字颜色 4 2 4 2" xfId="7217"/>
    <cellStyle name="40% - 强调文字颜色 4 2 4 2 2" xfId="3007"/>
    <cellStyle name="40% - 强调文字颜色 4 2 4 2 2 2" xfId="6834"/>
    <cellStyle name="40% - 强调文字颜色 4 2 4 2 2 2 2" xfId="7224"/>
    <cellStyle name="40% - 强调文字颜色 4 2 4 2 2 2 2 2" xfId="1121"/>
    <cellStyle name="40% - 强调文字颜色 4 2 4 2 2 2 2 3" xfId="2686"/>
    <cellStyle name="40% - 强调文字颜色 4 2 4 2 2 2 3" xfId="7228"/>
    <cellStyle name="40% - 强调文字颜色 4 2 4 2 2 3" xfId="7235"/>
    <cellStyle name="40% - 强调文字颜色 4 2 4 2 2 3 2" xfId="7238"/>
    <cellStyle name="40% - 强调文字颜色 4 2 4 2 2 3 3" xfId="7244"/>
    <cellStyle name="40% - 强调文字颜色 4 2 4 2 2 4" xfId="7253"/>
    <cellStyle name="40% - 强调文字颜色 4 2 4 2 3" xfId="7256"/>
    <cellStyle name="40% - 强调文字颜色 4 2 4 2 3 2" xfId="7259"/>
    <cellStyle name="40% - 强调文字颜色 4 2 4 2 3 2 2" xfId="7262"/>
    <cellStyle name="40% - 强调文字颜色 4 2 4 2 3 2 3" xfId="7266"/>
    <cellStyle name="40% - 强调文字颜色 4 2 4 2 3 3" xfId="7273"/>
    <cellStyle name="40% - 强调文字颜色 4 2 4 2 4" xfId="6184"/>
    <cellStyle name="40% - 强调文字颜色 4 2 4 2 4 2" xfId="6192"/>
    <cellStyle name="40% - 强调文字颜色 4 2 4 2 4 3" xfId="6216"/>
    <cellStyle name="40% - 强调文字颜色 4 2 4 2 5" xfId="6237"/>
    <cellStyle name="40% - 强调文字颜色 4 2 4 3" xfId="7274"/>
    <cellStyle name="40% - 强调文字颜色 4 2 4 3 2" xfId="2925"/>
    <cellStyle name="40% - 强调文字颜色 4 2 4 3 2 2" xfId="7277"/>
    <cellStyle name="40% - 强调文字颜色 4 2 4 3 2 2 2" xfId="7279"/>
    <cellStyle name="40% - 强调文字颜色 4 2 4 3 2 2 3" xfId="7282"/>
    <cellStyle name="40% - 强调文字颜色 4 2 4 3 2 3" xfId="7287"/>
    <cellStyle name="40% - 强调文字颜色 4 2 4 3 3" xfId="7288"/>
    <cellStyle name="40% - 强调文字颜色 4 2 4 3 3 2" xfId="7290"/>
    <cellStyle name="40% - 强调文字颜色 4 2 4 3 3 3" xfId="7293"/>
    <cellStyle name="40% - 强调文字颜色 4 2 4 3 4" xfId="6326"/>
    <cellStyle name="40% - 强调文字颜色 4 2 4 4" xfId="4091"/>
    <cellStyle name="40% - 强调文字颜色 4 2 4 4 2" xfId="4099"/>
    <cellStyle name="40% - 强调文字颜色 4 2 4 4 2 2" xfId="4461"/>
    <cellStyle name="40% - 强调文字颜色 4 2 4 4 2 2 2" xfId="7298"/>
    <cellStyle name="40% - 强调文字颜色 4 2 4 4 2 2 3" xfId="6478"/>
    <cellStyle name="40% - 强调文字颜色 4 2 4 4 2 3" xfId="4473"/>
    <cellStyle name="40% - 强调文字颜色 4 2 4 4 3" xfId="4112"/>
    <cellStyle name="40% - 强调文字颜色 4 2 4 4 3 2" xfId="6915"/>
    <cellStyle name="40% - 强调文字颜色 4 2 4 4 3 3" xfId="7307"/>
    <cellStyle name="40% - 强调文字颜色 4 2 4 4 4" xfId="6418"/>
    <cellStyle name="40% - 强调文字颜色 4 2 4 5" xfId="4127"/>
    <cellStyle name="40% - 强调文字颜色 4 2 4 5 2" xfId="4010"/>
    <cellStyle name="40% - 强调文字颜色 4 2 4 5 2 2" xfId="7311"/>
    <cellStyle name="40% - 强调文字颜色 4 2 4 5 2 3" xfId="7316"/>
    <cellStyle name="40% - 强调文字颜色 4 2 4 5 3" xfId="4485"/>
    <cellStyle name="40% - 强调文字颜色 4 2 4 6" xfId="4492"/>
    <cellStyle name="40% - 强调文字颜色 4 2 4 6 2" xfId="7320"/>
    <cellStyle name="40% - 强调文字颜色 4 2 4 6 3" xfId="7324"/>
    <cellStyle name="40% - 强调文字颜色 4 2 4 7" xfId="5"/>
    <cellStyle name="40% - 强调文字颜色 4 2 5" xfId="7326"/>
    <cellStyle name="40% - 强调文字颜色 4 2 5 2" xfId="7330"/>
    <cellStyle name="40% - 强调文字颜色 4 2 5 2 2" xfId="7333"/>
    <cellStyle name="40% - 强调文字颜色 4 2 5 2 2 2" xfId="4121"/>
    <cellStyle name="40% - 强调文字颜色 4 2 5 2 2 2 2" xfId="7337"/>
    <cellStyle name="40% - 强调文字颜色 4 2 5 2 2 2 3" xfId="7343"/>
    <cellStyle name="40% - 强调文字颜色 4 2 5 2 2 3" xfId="7354"/>
    <cellStyle name="40% - 强调文字颜色 4 2 5 2 3" xfId="7357"/>
    <cellStyle name="40% - 强调文字颜色 4 2 5 2 3 2" xfId="4484"/>
    <cellStyle name="40% - 强调文字颜色 4 2 5 2 3 3" xfId="7360"/>
    <cellStyle name="40% - 强调文字颜色 4 2 5 2 4" xfId="7363"/>
    <cellStyle name="40% - 强调文字颜色 4 2 5 3" xfId="7368"/>
    <cellStyle name="40% - 强调文字颜色 4 2 5 3 2" xfId="7372"/>
    <cellStyle name="40% - 强调文字颜色 4 2 5 3 2 2" xfId="7373"/>
    <cellStyle name="40% - 强调文字颜色 4 2 5 3 2 3" xfId="7375"/>
    <cellStyle name="40% - 强调文字颜色 4 2 5 3 3" xfId="7378"/>
    <cellStyle name="40% - 强调文字颜色 4 2 5 4" xfId="2693"/>
    <cellStyle name="40% - 强调文字颜色 4 2 5 4 2" xfId="1881"/>
    <cellStyle name="40% - 强调文字颜色 4 2 5 4 3" xfId="1925"/>
    <cellStyle name="40% - 强调文字颜色 4 2 5 5" xfId="2714"/>
    <cellStyle name="40% - 强调文字颜色 4 2 6" xfId="7379"/>
    <cellStyle name="40% - 强调文字颜色 4 2 6 2" xfId="7382"/>
    <cellStyle name="40% - 强调文字颜色 4 2 6 2 2" xfId="7388"/>
    <cellStyle name="40% - 强调文字颜色 4 2 6 2 2 2" xfId="7391"/>
    <cellStyle name="40% - 强调文字颜色 4 2 6 2 2 3" xfId="7401"/>
    <cellStyle name="40% - 强调文字颜色 4 2 6 2 3" xfId="7403"/>
    <cellStyle name="40% - 强调文字颜色 4 2 6 3" xfId="5947"/>
    <cellStyle name="40% - 强调文字颜色 4 2 6 3 2" xfId="7408"/>
    <cellStyle name="40% - 强调文字颜色 4 2 6 3 3" xfId="6990"/>
    <cellStyle name="40% - 强调文字颜色 4 2 6 4" xfId="4150"/>
    <cellStyle name="40% - 强调文字颜色 4 2 7" xfId="2092"/>
    <cellStyle name="40% - 强调文字颜色 4 2 7 2" xfId="2957"/>
    <cellStyle name="40% - 强调文字颜色 4 2 7 2 2" xfId="2971"/>
    <cellStyle name="40% - 强调文字颜色 4 2 7 2 2 2" xfId="2979"/>
    <cellStyle name="40% - 强调文字颜色 4 2 7 2 2 3" xfId="2999"/>
    <cellStyle name="40% - 强调文字颜色 4 2 7 2 3" xfId="3018"/>
    <cellStyle name="40% - 强调文字颜色 4 2 7 3" xfId="3040"/>
    <cellStyle name="40% - 强调文字颜色 4 2 7 3 2" xfId="3050"/>
    <cellStyle name="40% - 强调文字颜色 4 2 7 3 3" xfId="3067"/>
    <cellStyle name="40% - 强调文字颜色 4 2 7 4" xfId="3079"/>
    <cellStyle name="40% - 强调文字颜色 4 2 8" xfId="1858"/>
    <cellStyle name="40% - 强调文字颜色 4 2 8 2" xfId="3180"/>
    <cellStyle name="40% - 强调文字颜色 4 2 8 2 2" xfId="792"/>
    <cellStyle name="40% - 强调文字颜色 4 2 8 2 3" xfId="840"/>
    <cellStyle name="40% - 强调文字颜色 4 2 8 3" xfId="3297"/>
    <cellStyle name="40% - 强调文字颜色 4 2 9" xfId="3265"/>
    <cellStyle name="40% - 强调文字颜色 4 2 9 2" xfId="3486"/>
    <cellStyle name="40% - 强调文字颜色 5 2" xfId="7413"/>
    <cellStyle name="40% - 强调文字颜色 5 2 10" xfId="7303"/>
    <cellStyle name="40% - 强调文字颜色 5 2 2" xfId="7417"/>
    <cellStyle name="40% - 强调文字颜色 5 2 2 2" xfId="7206"/>
    <cellStyle name="40% - 强调文字颜色 5 2 2 2 2" xfId="7430"/>
    <cellStyle name="40% - 强调文字颜色 5 2 2 2 2 2" xfId="1436"/>
    <cellStyle name="40% - 强调文字颜色 5 2 2 2 2 2 2" xfId="5023"/>
    <cellStyle name="40% - 强调文字颜色 5 2 2 2 2 2 2 2" xfId="849"/>
    <cellStyle name="40% - 强调文字颜色 5 2 2 2 2 2 2 3" xfId="7436"/>
    <cellStyle name="40% - 强调文字颜色 5 2 2 2 2 2 3" xfId="5026"/>
    <cellStyle name="40% - 强调文字颜色 5 2 2 2 2 3" xfId="5035"/>
    <cellStyle name="40% - 强调文字颜色 5 2 2 2 2 3 2" xfId="7440"/>
    <cellStyle name="40% - 强调文字颜色 5 2 2 2 2 3 3" xfId="7442"/>
    <cellStyle name="40% - 强调文字颜色 5 2 2 2 2 4" xfId="6438"/>
    <cellStyle name="40% - 强调文字颜色 5 2 2 2 3" xfId="6091"/>
    <cellStyle name="40% - 强调文字颜色 5 2 2 2 3 2" xfId="5098"/>
    <cellStyle name="40% - 强调文字颜色 5 2 2 2 3 2 2" xfId="5109"/>
    <cellStyle name="40% - 强调文字颜色 5 2 2 2 3 2 3" xfId="322"/>
    <cellStyle name="40% - 强调文字颜色 5 2 2 2 3 3" xfId="5125"/>
    <cellStyle name="40% - 强调文字颜色 5 2 2 2 4" xfId="6100"/>
    <cellStyle name="40% - 强调文字颜色 5 2 2 2 4 2" xfId="5136"/>
    <cellStyle name="40% - 强调文字颜色 5 2 2 2 4 3" xfId="7447"/>
    <cellStyle name="40% - 强调文字颜色 5 2 2 2 5" xfId="7457"/>
    <cellStyle name="40% - 强调文字颜色 5 2 2 3" xfId="7461"/>
    <cellStyle name="40% - 强调文字颜色 5 2 2 3 2" xfId="3812"/>
    <cellStyle name="40% - 强调文字颜色 5 2 2 3 2 2" xfId="5179"/>
    <cellStyle name="40% - 强调文字颜色 5 2 2 3 2 2 2" xfId="7464"/>
    <cellStyle name="40% - 强调文字颜色 5 2 2 3 2 2 3" xfId="7465"/>
    <cellStyle name="40% - 强调文字颜色 5 2 2 3 2 3" xfId="7050"/>
    <cellStyle name="40% - 强调文字颜色 5 2 2 3 3" xfId="1505"/>
    <cellStyle name="40% - 强调文字颜色 5 2 2 3 3 2" xfId="4728"/>
    <cellStyle name="40% - 强调文字颜色 5 2 2 3 3 3" xfId="4738"/>
    <cellStyle name="40% - 强调文字颜色 5 2 2 3 4" xfId="1521"/>
    <cellStyle name="40% - 强调文字颜色 5 2 2 4" xfId="7472"/>
    <cellStyle name="40% - 强调文字颜色 5 2 2 4 2" xfId="3834"/>
    <cellStyle name="40% - 强调文字颜色 5 2 2 4 2 2" xfId="5204"/>
    <cellStyle name="40% - 强调文字颜色 5 2 2 4 2 2 2" xfId="1674"/>
    <cellStyle name="40% - 强调文字颜色 5 2 2 4 2 2 3" xfId="1704"/>
    <cellStyle name="40% - 强调文字颜色 5 2 2 4 2 3" xfId="7475"/>
    <cellStyle name="40% - 强调文字颜色 5 2 2 4 3" xfId="4745"/>
    <cellStyle name="40% - 强调文字颜色 5 2 2 4 3 2" xfId="6732"/>
    <cellStyle name="40% - 强调文字颜色 5 2 2 4 3 3" xfId="6770"/>
    <cellStyle name="40% - 强调文字颜色 5 2 2 4 4" xfId="4752"/>
    <cellStyle name="40% - 强调文字颜色 5 2 2 5" xfId="7479"/>
    <cellStyle name="40% - 强调文字颜色 5 2 2 5 2" xfId="7483"/>
    <cellStyle name="40% - 强调文字颜色 5 2 2 5 2 2" xfId="5255"/>
    <cellStyle name="40% - 强调文字颜色 5 2 2 5 2 3" xfId="7487"/>
    <cellStyle name="40% - 强调文字颜色 5 2 2 5 3" xfId="7494"/>
    <cellStyle name="40% - 强调文字颜色 5 2 2 6" xfId="7496"/>
    <cellStyle name="40% - 强调文字颜色 5 2 2 6 2" xfId="7500"/>
    <cellStyle name="40% - 强调文字颜色 5 2 2 6 3" xfId="7509"/>
    <cellStyle name="40% - 强调文字颜色 5 2 2 7" xfId="7511"/>
    <cellStyle name="40% - 强调文字颜色 5 2 3" xfId="7514"/>
    <cellStyle name="40% - 强调文字颜色 5 2 3 2" xfId="7523"/>
    <cellStyle name="40% - 强调文字颜色 5 2 3 2 2" xfId="7532"/>
    <cellStyle name="40% - 强调文字颜色 5 2 3 2 2 2" xfId="1526"/>
    <cellStyle name="40% - 强调文字颜色 5 2 3 2 2 2 2" xfId="7536"/>
    <cellStyle name="40% - 强调文字颜色 5 2 3 2 2 2 2 2" xfId="7539"/>
    <cellStyle name="40% - 强调文字颜色 5 2 3 2 2 2 2 3" xfId="115"/>
    <cellStyle name="40% - 强调文字颜色 5 2 3 2 2 2 3" xfId="7543"/>
    <cellStyle name="40% - 强调文字颜色 5 2 3 2 2 3" xfId="7548"/>
    <cellStyle name="40% - 强调文字颜色 5 2 3 2 2 3 2" xfId="7551"/>
    <cellStyle name="40% - 强调文字颜色 5 2 3 2 2 3 3" xfId="7555"/>
    <cellStyle name="40% - 强调文字颜色 5 2 3 2 2 4" xfId="7563"/>
    <cellStyle name="40% - 强调文字颜色 5 2 3 2 3" xfId="7573"/>
    <cellStyle name="40% - 强调文字颜色 5 2 3 2 3 2" xfId="7580"/>
    <cellStyle name="40% - 强调文字颜色 5 2 3 2 3 2 2" xfId="7585"/>
    <cellStyle name="40% - 强调文字颜色 5 2 3 2 3 2 3" xfId="7591"/>
    <cellStyle name="40% - 强调文字颜色 5 2 3 2 3 3" xfId="7599"/>
    <cellStyle name="40% - 强调文字颜色 5 2 3 2 4" xfId="7606"/>
    <cellStyle name="40% - 强调文字颜色 5 2 3 2 4 2" xfId="7613"/>
    <cellStyle name="40% - 强调文字颜色 5 2 3 2 4 3" xfId="7621"/>
    <cellStyle name="40% - 强调文字颜色 5 2 3 2 5" xfId="3868"/>
    <cellStyle name="40% - 强调文字颜色 5 2 3 3" xfId="7623"/>
    <cellStyle name="40% - 强调文字颜色 5 2 3 3 2" xfId="3875"/>
    <cellStyle name="40% - 强调文字颜色 5 2 3 3 2 2" xfId="7630"/>
    <cellStyle name="40% - 强调文字颜色 5 2 3 3 2 2 2" xfId="7631"/>
    <cellStyle name="40% - 强调文字颜色 5 2 3 3 2 2 3" xfId="7632"/>
    <cellStyle name="40% - 强调文字颜色 5 2 3 3 2 3" xfId="7634"/>
    <cellStyle name="40% - 强调文字颜色 5 2 3 3 3" xfId="4760"/>
    <cellStyle name="40% - 强调文字颜色 5 2 3 3 3 2" xfId="7637"/>
    <cellStyle name="40% - 强调文字颜色 5 2 3 3 3 3" xfId="7640"/>
    <cellStyle name="40% - 强调文字颜色 5 2 3 3 4" xfId="4775"/>
    <cellStyle name="40% - 强调文字颜色 5 2 3 4" xfId="1191"/>
    <cellStyle name="40% - 强调文字颜色 5 2 3 4 2" xfId="3898"/>
    <cellStyle name="40% - 强调文字颜色 5 2 3 4 2 2" xfId="7641"/>
    <cellStyle name="40% - 强调文字颜色 5 2 3 4 2 2 2" xfId="2464"/>
    <cellStyle name="40% - 强调文字颜色 5 2 3 4 2 2 3" xfId="2478"/>
    <cellStyle name="40% - 强调文字颜色 5 2 3 4 2 3" xfId="7647"/>
    <cellStyle name="40% - 强调文字颜色 5 2 3 4 3" xfId="7654"/>
    <cellStyle name="40% - 强调文字颜色 5 2 3 4 3 2" xfId="7135"/>
    <cellStyle name="40% - 强调文字颜色 5 2 3 4 3 3" xfId="4313"/>
    <cellStyle name="40% - 强调文字颜色 5 2 3 4 4" xfId="7657"/>
    <cellStyle name="40% - 强调文字颜色 5 2 3 5" xfId="1196"/>
    <cellStyle name="40% - 强调文字颜色 5 2 3 5 2" xfId="7662"/>
    <cellStyle name="40% - 强调文字颜色 5 2 3 5 2 2" xfId="7667"/>
    <cellStyle name="40% - 强调文字颜色 5 2 3 5 2 3" xfId="7673"/>
    <cellStyle name="40% - 强调文字颜色 5 2 3 5 3" xfId="6620"/>
    <cellStyle name="40% - 强调文字颜色 5 2 3 6" xfId="7675"/>
    <cellStyle name="40% - 强调文字颜色 5 2 3 6 2" xfId="7680"/>
    <cellStyle name="40% - 强调文字颜色 5 2 3 6 3" xfId="1961"/>
    <cellStyle name="40% - 强调文字颜色 5 2 3 7" xfId="7683"/>
    <cellStyle name="40% - 强调文字颜色 5 2 4" xfId="7688"/>
    <cellStyle name="40% - 强调文字颜色 5 2 4 2" xfId="7694"/>
    <cellStyle name="40% - 强调文字颜色 5 2 4 2 2" xfId="7700"/>
    <cellStyle name="40% - 强调文字颜色 5 2 4 2 2 2" xfId="7167"/>
    <cellStyle name="40% - 强调文字颜色 5 2 4 2 2 2 2" xfId="7704"/>
    <cellStyle name="40% - 强调文字颜色 5 2 4 2 2 2 2 2" xfId="7706"/>
    <cellStyle name="40% - 强调文字颜色 5 2 4 2 2 2 2 3" xfId="1601"/>
    <cellStyle name="40% - 强调文字颜色 5 2 4 2 2 2 3" xfId="7708"/>
    <cellStyle name="40% - 强调文字颜色 5 2 4 2 2 3" xfId="7711"/>
    <cellStyle name="40% - 强调文字颜色 5 2 4 2 2 3 2" xfId="7720"/>
    <cellStyle name="40% - 强调文字颜色 5 2 4 2 2 3 3" xfId="1258"/>
    <cellStyle name="40% - 强调文字颜色 5 2 4 2 2 4" xfId="7727"/>
    <cellStyle name="40% - 强调文字颜色 5 2 4 2 3" xfId="7732"/>
    <cellStyle name="40% - 强调文字颜色 5 2 4 2 3 2" xfId="7734"/>
    <cellStyle name="40% - 强调文字颜色 5 2 4 2 3 2 2" xfId="7744"/>
    <cellStyle name="40% - 强调文字颜色 5 2 4 2 3 2 3" xfId="7748"/>
    <cellStyle name="40% - 强调文字颜色 5 2 4 2 3 3" xfId="7753"/>
    <cellStyle name="40% - 强调文字颜色 5 2 4 2 4" xfId="7763"/>
    <cellStyle name="40% - 强调文字颜色 5 2 4 2 4 2" xfId="7767"/>
    <cellStyle name="40% - 强调文字颜色 5 2 4 2 4 3" xfId="7775"/>
    <cellStyle name="40% - 强调文字颜色 5 2 4 2 5" xfId="7785"/>
    <cellStyle name="40% - 强调文字颜色 5 2 4 3" xfId="7787"/>
    <cellStyle name="40% - 强调文字颜色 5 2 4 3 2" xfId="3117"/>
    <cellStyle name="40% - 强调文字颜色 5 2 4 3 2 2" xfId="7789"/>
    <cellStyle name="40% - 强调文字颜色 5 2 4 3 2 2 2" xfId="7792"/>
    <cellStyle name="40% - 强调文字颜色 5 2 4 3 2 2 3" xfId="7794"/>
    <cellStyle name="40% - 强调文字颜色 5 2 4 3 2 3" xfId="7702"/>
    <cellStyle name="40% - 强调文字颜色 5 2 4 3 3" xfId="7796"/>
    <cellStyle name="40% - 强调文字颜色 5 2 4 3 3 2" xfId="7799"/>
    <cellStyle name="40% - 强调文字颜色 5 2 4 3 3 3" xfId="7719"/>
    <cellStyle name="40% - 强调文字颜色 5 2 4 3 4" xfId="7806"/>
    <cellStyle name="40% - 强调文字颜色 5 2 4 4" xfId="7808"/>
    <cellStyle name="40% - 强调文字颜色 5 2 4 4 2" xfId="7811"/>
    <cellStyle name="40% - 强调文字颜色 5 2 4 4 2 2" xfId="7812"/>
    <cellStyle name="40% - 强调文字颜色 5 2 4 4 2 2 2" xfId="3700"/>
    <cellStyle name="40% - 强调文字颜色 5 2 4 4 2 2 3" xfId="3717"/>
    <cellStyle name="40% - 强调文字颜色 5 2 4 4 2 3" xfId="7743"/>
    <cellStyle name="40% - 强调文字颜色 5 2 4 4 3" xfId="7815"/>
    <cellStyle name="40% - 强调文字颜色 5 2 4 4 3 2" xfId="7459"/>
    <cellStyle name="40% - 强调文字颜色 5 2 4 4 3 3" xfId="7470"/>
    <cellStyle name="40% - 强调文字颜色 5 2 4 4 4" xfId="7817"/>
    <cellStyle name="40% - 强调文字颜色 5 2 4 5" xfId="7820"/>
    <cellStyle name="40% - 强调文字颜色 5 2 4 5 2" xfId="4237"/>
    <cellStyle name="40% - 强调文字颜色 5 2 4 5 2 2" xfId="7821"/>
    <cellStyle name="40% - 强调文字颜色 5 2 4 5 2 3" xfId="7828"/>
    <cellStyle name="40% - 强调文字颜色 5 2 4 5 3" xfId="7832"/>
    <cellStyle name="40% - 强调文字颜色 5 2 4 6" xfId="2970"/>
    <cellStyle name="40% - 强调文字颜色 5 2 4 6 2" xfId="2978"/>
    <cellStyle name="40% - 强调文字颜色 5 2 4 6 3" xfId="2997"/>
    <cellStyle name="40% - 强调文字颜色 5 2 4 7" xfId="3016"/>
    <cellStyle name="40% - 强调文字颜色 5 2 5" xfId="7837"/>
    <cellStyle name="40% - 强调文字颜色 5 2 5 2" xfId="7842"/>
    <cellStyle name="40% - 强调文字颜色 5 2 5 2 2" xfId="7848"/>
    <cellStyle name="40% - 强调文字颜色 5 2 5 2 2 2" xfId="7250"/>
    <cellStyle name="40% - 强调文字颜色 5 2 5 2 2 2 2" xfId="7853"/>
    <cellStyle name="40% - 强调文字颜色 5 2 5 2 2 2 3" xfId="7859"/>
    <cellStyle name="40% - 强调文字颜色 5 2 5 2 2 3" xfId="7860"/>
    <cellStyle name="40% - 强调文字颜色 5 2 5 2 3" xfId="7861"/>
    <cellStyle name="40% - 强调文字颜色 5 2 5 2 3 2" xfId="7862"/>
    <cellStyle name="40% - 强调文字颜色 5 2 5 2 3 3" xfId="7863"/>
    <cellStyle name="40% - 强调文字颜色 5 2 5 2 4" xfId="7867"/>
    <cellStyle name="40% - 强调文字颜色 5 2 5 3" xfId="7869"/>
    <cellStyle name="40% - 强调文字颜色 5 2 5 3 2" xfId="39"/>
    <cellStyle name="40% - 强调文字颜色 5 2 5 3 2 2" xfId="2945"/>
    <cellStyle name="40% - 强调文字颜色 5 2 5 3 2 3" xfId="7790"/>
    <cellStyle name="40% - 强调文字颜色 5 2 5 3 3" xfId="444"/>
    <cellStyle name="40% - 强调文字颜色 5 2 5 4" xfId="2755"/>
    <cellStyle name="40% - 强调文字颜色 5 2 5 4 2" xfId="7873"/>
    <cellStyle name="40% - 强调文字颜色 5 2 5 4 3" xfId="7875"/>
    <cellStyle name="40% - 强调文字颜色 5 2 5 5" xfId="19"/>
    <cellStyle name="40% - 强调文字颜色 5 2 6" xfId="7878"/>
    <cellStyle name="40% - 强调文字颜色 5 2 6 2" xfId="3259"/>
    <cellStyle name="40% - 强调文字颜色 5 2 6 2 2" xfId="3483"/>
    <cellStyle name="40% - 强调文字颜色 5 2 6 2 2 2" xfId="3492"/>
    <cellStyle name="40% - 强调文字颜色 5 2 6 2 2 3" xfId="3516"/>
    <cellStyle name="40% - 强调文字颜色 5 2 6 2 3" xfId="634"/>
    <cellStyle name="40% - 强调文字颜色 5 2 6 3" xfId="3674"/>
    <cellStyle name="40% - 强调文字颜色 5 2 6 3 2" xfId="3686"/>
    <cellStyle name="40% - 强调文字颜色 5 2 6 3 3" xfId="675"/>
    <cellStyle name="40% - 强调文字颜色 5 2 6 4" xfId="3764"/>
    <cellStyle name="40% - 强调文字颜色 5 2 7" xfId="3918"/>
    <cellStyle name="40% - 强调文字颜色 5 2 7 2" xfId="3923"/>
    <cellStyle name="40% - 强调文字颜色 5 2 7 2 2" xfId="3931"/>
    <cellStyle name="40% - 强调文字颜色 5 2 7 2 2 2" xfId="3941"/>
    <cellStyle name="40% - 强调文字颜色 5 2 7 2 2 3" xfId="1015"/>
    <cellStyle name="40% - 强调文字颜色 5 2 7 2 3" xfId="739"/>
    <cellStyle name="40% - 强调文字颜色 5 2 7 3" xfId="3964"/>
    <cellStyle name="40% - 强调文字颜色 5 2 7 3 2" xfId="3971"/>
    <cellStyle name="40% - 强调文字颜色 5 2 7 3 3" xfId="819"/>
    <cellStyle name="40% - 强调文字颜色 5 2 7 4" xfId="3992"/>
    <cellStyle name="40% - 强调文字颜色 5 2 8" xfId="4055"/>
    <cellStyle name="40% - 强调文字颜色 5 2 8 2" xfId="3199"/>
    <cellStyle name="40% - 强调文字颜色 5 2 8 2 2" xfId="4062"/>
    <cellStyle name="40% - 强调文字颜色 5 2 8 2 3" xfId="887"/>
    <cellStyle name="40% - 强调文字颜色 5 2 8 3" xfId="4171"/>
    <cellStyle name="40% - 强调文字颜色 5 2 9" xfId="4303"/>
    <cellStyle name="40% - 强调文字颜色 5 2 9 2" xfId="4312"/>
    <cellStyle name="40% - 强调文字颜色 6 2" xfId="7882"/>
    <cellStyle name="40% - 强调文字颜色 6 2 10" xfId="5140"/>
    <cellStyle name="40% - 强调文字颜色 6 2 2" xfId="7884"/>
    <cellStyle name="40% - 强调文字颜色 6 2 2 2" xfId="7308"/>
    <cellStyle name="40% - 强调文字颜色 6 2 2 2 2" xfId="7887"/>
    <cellStyle name="40% - 强调文字颜色 6 2 2 2 2 2" xfId="7892"/>
    <cellStyle name="40% - 强调文字颜色 6 2 2 2 2 2 2" xfId="7894"/>
    <cellStyle name="40% - 强调文字颜色 6 2 2 2 2 2 2 2" xfId="7902"/>
    <cellStyle name="40% - 强调文字颜色 6 2 2 2 2 2 2 3" xfId="7905"/>
    <cellStyle name="40% - 强调文字颜色 6 2 2 2 2 2 3" xfId="7907"/>
    <cellStyle name="40% - 强调文字颜色 6 2 2 2 2 3" xfId="7910"/>
    <cellStyle name="40% - 强调文字颜色 6 2 2 2 2 3 2" xfId="7911"/>
    <cellStyle name="40% - 强调文字颜色 6 2 2 2 2 3 3" xfId="7912"/>
    <cellStyle name="40% - 强调文字颜色 6 2 2 2 2 4" xfId="7914"/>
    <cellStyle name="40% - 强调文字颜色 6 2 2 2 3" xfId="6584"/>
    <cellStyle name="40% - 强调文字颜色 6 2 2 2 3 2" xfId="266"/>
    <cellStyle name="40% - 强调文字颜色 6 2 2 2 3 2 2" xfId="7923"/>
    <cellStyle name="40% - 强调文字颜色 6 2 2 2 3 2 3" xfId="7930"/>
    <cellStyle name="40% - 强调文字颜色 6 2 2 2 3 3" xfId="7940"/>
    <cellStyle name="40% - 强调文字颜色 6 2 2 2 4" xfId="6588"/>
    <cellStyle name="40% - 强调文字颜色 6 2 2 2 4 2" xfId="7944"/>
    <cellStyle name="40% - 强调文字颜色 6 2 2 2 4 3" xfId="7950"/>
    <cellStyle name="40% - 强调文字颜色 6 2 2 2 5" xfId="7954"/>
    <cellStyle name="40% - 强调文字颜色 6 2 2 3" xfId="7957"/>
    <cellStyle name="40% - 强调文字颜色 6 2 2 3 2" xfId="4547"/>
    <cellStyle name="40% - 强调文字颜色 6 2 2 3 2 2" xfId="7960"/>
    <cellStyle name="40% - 强调文字颜色 6 2 2 3 2 2 2" xfId="6156"/>
    <cellStyle name="40% - 强调文字颜色 6 2 2 3 2 2 3" xfId="296"/>
    <cellStyle name="40% - 强调文字颜色 6 2 2 3 2 3" xfId="7963"/>
    <cellStyle name="40% - 强调文字颜色 6 2 2 3 3" xfId="7965"/>
    <cellStyle name="40% - 强调文字颜色 6 2 2 3 3 2" xfId="7970"/>
    <cellStyle name="40% - 强调文字颜色 6 2 2 3 3 3" xfId="7976"/>
    <cellStyle name="40% - 强调文字颜色 6 2 2 3 4" xfId="7978"/>
    <cellStyle name="40% - 强调文字颜色 6 2 2 4" xfId="7985"/>
    <cellStyle name="40% - 强调文字颜色 6 2 2 4 2" xfId="4557"/>
    <cellStyle name="40% - 强调文字颜色 6 2 2 4 2 2" xfId="7989"/>
    <cellStyle name="40% - 强调文字颜色 6 2 2 4 2 2 2" xfId="780"/>
    <cellStyle name="40% - 强调文字颜色 6 2 2 4 2 2 3" xfId="2572"/>
    <cellStyle name="40% - 强调文字颜色 6 2 2 4 2 3" xfId="7996"/>
    <cellStyle name="40% - 强调文字颜色 6 2 2 4 3" xfId="8001"/>
    <cellStyle name="40% - 强调文字颜色 6 2 2 4 3 2" xfId="6300"/>
    <cellStyle name="40% - 强调文字颜色 6 2 2 4 3 3" xfId="6306"/>
    <cellStyle name="40% - 强调文字颜色 6 2 2 4 4" xfId="8004"/>
    <cellStyle name="40% - 强调文字颜色 6 2 2 5" xfId="8013"/>
    <cellStyle name="40% - 强调文字颜色 6 2 2 5 2" xfId="8016"/>
    <cellStyle name="40% - 强调文字颜色 6 2 2 5 2 2" xfId="8019"/>
    <cellStyle name="40% - 强调文字颜色 6 2 2 5 2 3" xfId="8026"/>
    <cellStyle name="40% - 强调文字颜色 6 2 2 5 3" xfId="8030"/>
    <cellStyle name="40% - 强调文字颜色 6 2 2 6" xfId="8034"/>
    <cellStyle name="40% - 强调文字颜色 6 2 2 6 2" xfId="8035"/>
    <cellStyle name="40% - 强调文字颜色 6 2 2 6 3" xfId="324"/>
    <cellStyle name="40% - 强调文字颜色 6 2 2 7" xfId="5409"/>
    <cellStyle name="40% - 强调文字颜色 6 2 3" xfId="8038"/>
    <cellStyle name="40% - 强调文字颜色 6 2 3 2" xfId="3909"/>
    <cellStyle name="40% - 强调文字颜色 6 2 3 2 2" xfId="6431"/>
    <cellStyle name="40% - 强调文字颜色 6 2 3 2 2 2" xfId="6436"/>
    <cellStyle name="40% - 强调文字颜色 6 2 3 2 2 2 2" xfId="8042"/>
    <cellStyle name="40% - 强调文字颜色 6 2 3 2 2 2 2 2" xfId="1581"/>
    <cellStyle name="40% - 强调文字颜色 6 2 3 2 2 2 2 3" xfId="8045"/>
    <cellStyle name="40% - 强调文字颜色 6 2 3 2 2 2 3" xfId="8050"/>
    <cellStyle name="40% - 强调文字颜色 6 2 3 2 2 3" xfId="6444"/>
    <cellStyle name="40% - 强调文字颜色 6 2 3 2 2 3 2" xfId="8052"/>
    <cellStyle name="40% - 强调文字颜色 6 2 3 2 2 3 3" xfId="8055"/>
    <cellStyle name="40% - 强调文字颜色 6 2 3 2 2 4" xfId="8057"/>
    <cellStyle name="40% - 强调文字颜色 6 2 3 2 3" xfId="6449"/>
    <cellStyle name="40% - 强调文字颜色 6 2 3 2 3 2" xfId="8066"/>
    <cellStyle name="40% - 强调文字颜色 6 2 3 2 3 2 2" xfId="8071"/>
    <cellStyle name="40% - 强调文字颜色 6 2 3 2 3 2 3" xfId="8077"/>
    <cellStyle name="40% - 强调文字颜色 6 2 3 2 3 3" xfId="8086"/>
    <cellStyle name="40% - 强调文字颜色 6 2 3 2 4" xfId="7063"/>
    <cellStyle name="40% - 强调文字颜色 6 2 3 2 4 2" xfId="8094"/>
    <cellStyle name="40% - 强调文字颜色 6 2 3 2 4 3" xfId="8102"/>
    <cellStyle name="40% - 强调文字颜色 6 2 3 2 5" xfId="5015"/>
    <cellStyle name="40% - 强调文字颜色 6 2 3 3" xfId="6454"/>
    <cellStyle name="40% - 强调文字颜色 6 2 3 3 2" xfId="4583"/>
    <cellStyle name="40% - 强调文字颜色 6 2 3 3 2 2" xfId="7054"/>
    <cellStyle name="40% - 强调文字颜色 6 2 3 3 2 2 2" xfId="8105"/>
    <cellStyle name="40% - 强调文字颜色 6 2 3 3 2 2 3" xfId="8107"/>
    <cellStyle name="40% - 强调文字颜色 6 2 3 3 2 3" xfId="8112"/>
    <cellStyle name="40% - 强调文字颜色 6 2 3 3 3" xfId="23"/>
    <cellStyle name="40% - 强调文字颜色 6 2 3 3 3 2" xfId="8117"/>
    <cellStyle name="40% - 强调文字颜色 6 2 3 3 3 3" xfId="8123"/>
    <cellStyle name="40% - 强调文字颜色 6 2 3 3 4" xfId="8132"/>
    <cellStyle name="40% - 强调文字颜色 6 2 3 4" xfId="6463"/>
    <cellStyle name="40% - 强调文字颜色 6 2 3 4 2" xfId="4593"/>
    <cellStyle name="40% - 强调文字颜色 6 2 3 4 2 2" xfId="8135"/>
    <cellStyle name="40% - 强调文字颜色 6 2 3 4 2 2 2" xfId="1771"/>
    <cellStyle name="40% - 强调文字颜色 6 2 3 4 2 2 3" xfId="4669"/>
    <cellStyle name="40% - 强调文字颜色 6 2 3 4 2 3" xfId="8140"/>
    <cellStyle name="40% - 强调文字颜色 6 2 3 4 3" xfId="8145"/>
    <cellStyle name="40% - 强调文字颜色 6 2 3 4 3 2" xfId="1970"/>
    <cellStyle name="40% - 强调文字颜色 6 2 3 4 3 3" xfId="2264"/>
    <cellStyle name="40% - 强调文字颜色 6 2 3 4 4" xfId="8151"/>
    <cellStyle name="40% - 强调文字颜色 6 2 3 5" xfId="8156"/>
    <cellStyle name="40% - 强调文字颜色 6 2 3 5 2" xfId="8158"/>
    <cellStyle name="40% - 强调文字颜色 6 2 3 5 2 2" xfId="8164"/>
    <cellStyle name="40% - 强调文字颜色 6 2 3 5 2 3" xfId="8170"/>
    <cellStyle name="40% - 强调文字颜色 6 2 3 5 3" xfId="8171"/>
    <cellStyle name="40% - 强调文字颜色 6 2 3 6" xfId="8172"/>
    <cellStyle name="40% - 强调文字颜色 6 2 3 6 2" xfId="8173"/>
    <cellStyle name="40% - 强调文字颜色 6 2 3 6 3" xfId="581"/>
    <cellStyle name="40% - 强调文字颜色 6 2 3 7" xfId="8175"/>
    <cellStyle name="40% - 强调文字颜色 6 2 4" xfId="8177"/>
    <cellStyle name="40% - 强调文字颜色 6 2 4 2" xfId="6482"/>
    <cellStyle name="40% - 强调文字颜色 6 2 4 2 2" xfId="6485"/>
    <cellStyle name="40% - 强调文字颜色 6 2 4 2 2 2" xfId="7562"/>
    <cellStyle name="40% - 强调文字颜色 6 2 4 2 2 2 2" xfId="8182"/>
    <cellStyle name="40% - 强调文字颜色 6 2 4 2 2 2 2 2" xfId="8185"/>
    <cellStyle name="40% - 强调文字颜色 6 2 4 2 2 2 2 3" xfId="3886"/>
    <cellStyle name="40% - 强调文字颜色 6 2 4 2 2 2 3" xfId="8190"/>
    <cellStyle name="40% - 强调文字颜色 6 2 4 2 2 3" xfId="8196"/>
    <cellStyle name="40% - 强调文字颜色 6 2 4 2 2 3 2" xfId="8201"/>
    <cellStyle name="40% - 强调文字颜色 6 2 4 2 2 3 3" xfId="8207"/>
    <cellStyle name="40% - 强调文字颜色 6 2 4 2 2 4" xfId="8212"/>
    <cellStyle name="40% - 强调文字颜色 6 2 4 2 3" xfId="724"/>
    <cellStyle name="40% - 强调文字颜色 6 2 4 2 3 2" xfId="737"/>
    <cellStyle name="40% - 强调文字颜色 6 2 4 2 3 2 2" xfId="745"/>
    <cellStyle name="40% - 强调文字颜色 6 2 4 2 3 2 3" xfId="753"/>
    <cellStyle name="40% - 强调文字颜色 6 2 4 2 3 3" xfId="779"/>
    <cellStyle name="40% - 强调文字颜色 6 2 4 2 4" xfId="802"/>
    <cellStyle name="40% - 强调文字颜色 6 2 4 2 4 2" xfId="815"/>
    <cellStyle name="40% - 强调文字颜色 6 2 4 2 4 3" xfId="835"/>
    <cellStyle name="40% - 强调文字颜色 6 2 4 2 5" xfId="853"/>
    <cellStyle name="40% - 强调文字颜色 6 2 4 3" xfId="6492"/>
    <cellStyle name="40% - 强调文字颜色 6 2 4 3 2" xfId="3375"/>
    <cellStyle name="40% - 强调文字颜色 6 2 4 3 2 2" xfId="8214"/>
    <cellStyle name="40% - 强调文字颜色 6 2 4 3 2 2 2" xfId="5938"/>
    <cellStyle name="40% - 强调文字颜色 6 2 4 3 2 2 3" xfId="8215"/>
    <cellStyle name="40% - 强调文字颜色 6 2 4 3 2 3" xfId="8217"/>
    <cellStyle name="40% - 强调文字颜色 6 2 4 3 3" xfId="865"/>
    <cellStyle name="40% - 强调文字颜色 6 2 4 3 3 2" xfId="876"/>
    <cellStyle name="40% - 强调文字颜色 6 2 4 3 3 3" xfId="145"/>
    <cellStyle name="40% - 强调文字颜色 6 2 4 3 4" xfId="894"/>
    <cellStyle name="40% - 强调文字颜色 6 2 4 4" xfId="8221"/>
    <cellStyle name="40% - 强调文字颜色 6 2 4 4 2" xfId="8224"/>
    <cellStyle name="40% - 强调文字颜色 6 2 4 4 2 2" xfId="8227"/>
    <cellStyle name="40% - 强调文字颜色 6 2 4 4 2 2 2" xfId="2849"/>
    <cellStyle name="40% - 强调文字颜色 6 2 4 4 2 2 3" xfId="5304"/>
    <cellStyle name="40% - 强调文字颜色 6 2 4 4 2 3" xfId="8230"/>
    <cellStyle name="40% - 强调文字颜色 6 2 4 4 3" xfId="901"/>
    <cellStyle name="40% - 强调文字颜色 6 2 4 4 3 2" xfId="4392"/>
    <cellStyle name="40% - 强调文字颜色 6 2 4 4 3 3" xfId="4407"/>
    <cellStyle name="40% - 强调文字颜色 6 2 4 4 4" xfId="906"/>
    <cellStyle name="40% - 强调文字颜色 6 2 4 5" xfId="8234"/>
    <cellStyle name="40% - 强调文字颜色 6 2 4 5 2" xfId="4474"/>
    <cellStyle name="40% - 强调文字颜色 6 2 4 5 2 2" xfId="8240"/>
    <cellStyle name="40% - 强调文字颜色 6 2 4 5 2 3" xfId="8244"/>
    <cellStyle name="40% - 强调文字颜色 6 2 4 5 3" xfId="8245"/>
    <cellStyle name="40% - 强调文字颜色 6 2 4 6" xfId="8246"/>
    <cellStyle name="40% - 强调文字颜色 6 2 4 6 2" xfId="7304"/>
    <cellStyle name="40% - 强调文字颜色 6 2 4 6 3" xfId="8252"/>
    <cellStyle name="40% - 强调文字颜色 6 2 4 7" xfId="8253"/>
    <cellStyle name="40% - 强调文字颜色 6 2 5" xfId="5834"/>
    <cellStyle name="40% - 强调文字颜色 6 2 5 2" xfId="6510"/>
    <cellStyle name="40% - 强调文字颜色 6 2 5 2 2" xfId="6516"/>
    <cellStyle name="40% - 强调文字颜色 6 2 5 2 2 2" xfId="7726"/>
    <cellStyle name="40% - 强调文字颜色 6 2 5 2 2 2 2" xfId="8256"/>
    <cellStyle name="40% - 强调文字颜色 6 2 5 2 2 2 3" xfId="8259"/>
    <cellStyle name="40% - 强调文字颜色 6 2 5 2 2 3" xfId="8263"/>
    <cellStyle name="40% - 强调文字颜色 6 2 5 2 3" xfId="1174"/>
    <cellStyle name="40% - 强调文字颜色 6 2 5 2 3 2" xfId="187"/>
    <cellStyle name="40% - 强调文字颜色 6 2 5 2 3 3" xfId="1209"/>
    <cellStyle name="40% - 强调文字颜色 6 2 5 2 4" xfId="1220"/>
    <cellStyle name="40% - 强调文字颜色 6 2 5 3" xfId="6520"/>
    <cellStyle name="40% - 强调文字颜色 6 2 5 3 2" xfId="8267"/>
    <cellStyle name="40% - 强调文字颜色 6 2 5 3 2 2" xfId="7707"/>
    <cellStyle name="40% - 强调文字颜色 6 2 5 3 2 3" xfId="8268"/>
    <cellStyle name="40% - 强调文字颜色 6 2 5 3 3" xfId="1255"/>
    <cellStyle name="40% - 强调文字颜色 6 2 5 4" xfId="8270"/>
    <cellStyle name="40% - 强调文字颜色 6 2 5 4 2" xfId="8271"/>
    <cellStyle name="40% - 强调文字颜色 6 2 5 4 3" xfId="1272"/>
    <cellStyle name="40% - 强调文字颜色 6 2 5 5" xfId="8273"/>
    <cellStyle name="40% - 强调文字颜色 6 2 6" xfId="5838"/>
    <cellStyle name="40% - 强调文字颜色 6 2 6 2" xfId="6527"/>
    <cellStyle name="40% - 强调文字颜色 6 2 6 2 2" xfId="8275"/>
    <cellStyle name="40% - 强调文字颜色 6 2 6 2 2 2" xfId="8285"/>
    <cellStyle name="40% - 强调文字颜色 6 2 6 2 2 3" xfId="8288"/>
    <cellStyle name="40% - 强调文字颜色 6 2 6 2 3" xfId="1481"/>
    <cellStyle name="40% - 强调文字颜色 6 2 6 3" xfId="8291"/>
    <cellStyle name="40% - 强调文字颜色 6 2 6 3 2" xfId="8295"/>
    <cellStyle name="40% - 强调文字颜色 6 2 6 3 3" xfId="171"/>
    <cellStyle name="40% - 强调文字颜色 6 2 6 4" xfId="8298"/>
    <cellStyle name="40% - 强调文字颜色 6 2 7" xfId="4602"/>
    <cellStyle name="40% - 强调文字颜色 6 2 7 2" xfId="4621"/>
    <cellStyle name="40% - 强调文字颜色 6 2 7 2 2" xfId="4629"/>
    <cellStyle name="40% - 强调文字颜色 6 2 7 2 2 2" xfId="3536"/>
    <cellStyle name="40% - 强调文字颜色 6 2 7 2 2 3" xfId="3567"/>
    <cellStyle name="40% - 强调文字颜色 6 2 7 2 3" xfId="1768"/>
    <cellStyle name="40% - 强调文字颜色 6 2 7 3" xfId="4676"/>
    <cellStyle name="40% - 强调文字颜色 6 2 7 3 2" xfId="4683"/>
    <cellStyle name="40% - 强调文字颜色 6 2 7 3 3" xfId="4711"/>
    <cellStyle name="40% - 强调文字颜色 6 2 7 4" xfId="1479"/>
    <cellStyle name="40% - 强调文字颜色 6 2 8" xfId="4791"/>
    <cellStyle name="40% - 强调文字颜色 6 2 8 2" xfId="4799"/>
    <cellStyle name="40% - 强调文字颜色 6 2 8 2 2" xfId="4801"/>
    <cellStyle name="40% - 强调文字颜色 6 2 8 2 3" xfId="4846"/>
    <cellStyle name="40% - 强调文字颜色 6 2 8 3" xfId="4864"/>
    <cellStyle name="40% - 强调文字颜色 6 2 9" xfId="4935"/>
    <cellStyle name="40% - 强调文字颜色 6 2 9 2" xfId="4943"/>
    <cellStyle name="60% - 强调文字颜色 1 2" xfId="3171"/>
    <cellStyle name="60% - 强调文字颜色 1 2 10" xfId="4430"/>
    <cellStyle name="60% - 强调文字颜色 1 2 2" xfId="8303"/>
    <cellStyle name="60% - 强调文字颜色 1 2 2 2" xfId="8305"/>
    <cellStyle name="60% - 强调文字颜色 1 2 2 2 2" xfId="8307"/>
    <cellStyle name="60% - 强调文字颜色 1 2 2 2 2 2" xfId="8310"/>
    <cellStyle name="60% - 强调文字颜色 1 2 2 2 2 2 2" xfId="8314"/>
    <cellStyle name="60% - 强调文字颜色 1 2 2 2 2 2 2 2" xfId="8316"/>
    <cellStyle name="60% - 强调文字颜色 1 2 2 2 2 2 2 3" xfId="8325"/>
    <cellStyle name="60% - 强调文字颜色 1 2 2 2 2 2 3" xfId="8329"/>
    <cellStyle name="60% - 强调文字颜色 1 2 2 2 2 3" xfId="8331"/>
    <cellStyle name="60% - 强调文字颜色 1 2 2 2 2 3 2" xfId="8335"/>
    <cellStyle name="60% - 强调文字颜色 1 2 2 2 2 3 3" xfId="6659"/>
    <cellStyle name="60% - 强调文字颜色 1 2 2 2 2 4" xfId="8337"/>
    <cellStyle name="60% - 强调文字颜色 1 2 2 2 3" xfId="8342"/>
    <cellStyle name="60% - 强调文字颜色 1 2 2 2 3 2" xfId="8345"/>
    <cellStyle name="60% - 强调文字颜色 1 2 2 2 3 2 2" xfId="4493"/>
    <cellStyle name="60% - 强调文字颜色 1 2 2 2 3 2 3" xfId="7"/>
    <cellStyle name="60% - 强调文字颜色 1 2 2 2 3 3" xfId="6163"/>
    <cellStyle name="60% - 强调文字颜色 1 2 2 2 4" xfId="8349"/>
    <cellStyle name="60% - 强调文字颜色 1 2 2 2 4 2" xfId="8353"/>
    <cellStyle name="60% - 强调文字颜色 1 2 2 2 4 3" xfId="8357"/>
    <cellStyle name="60% - 强调文字颜色 1 2 2 2 5" xfId="7843"/>
    <cellStyle name="60% - 强调文字颜色 1 2 2 3" xfId="8360"/>
    <cellStyle name="60% - 强调文字颜色 1 2 2 3 2" xfId="7380"/>
    <cellStyle name="60% - 强调文字颜色 1 2 2 3 2 2" xfId="7387"/>
    <cellStyle name="60% - 强调文字颜色 1 2 2 3 2 2 2" xfId="7390"/>
    <cellStyle name="60% - 强调文字颜色 1 2 2 3 2 2 3" xfId="7404"/>
    <cellStyle name="60% - 强调文字颜色 1 2 2 3 2 3" xfId="5951"/>
    <cellStyle name="60% - 强调文字颜色 1 2 2 3 3" xfId="2094"/>
    <cellStyle name="60% - 强调文字颜色 1 2 2 3 3 2" xfId="2964"/>
    <cellStyle name="60% - 强调文字颜色 1 2 2 3 3 3" xfId="3044"/>
    <cellStyle name="60% - 强调文字颜色 1 2 2 3 4" xfId="1860"/>
    <cellStyle name="60% - 强调文字颜色 1 2 2 4" xfId="8362"/>
    <cellStyle name="60% - 强调文字颜色 1 2 2 4 2" xfId="8365"/>
    <cellStyle name="60% - 强调文字颜色 1 2 2 4 2 2" xfId="8370"/>
    <cellStyle name="60% - 强调文字颜色 1 2 2 4 2 2 2" xfId="8372"/>
    <cellStyle name="60% - 强调文字颜色 1 2 2 4 2 2 3" xfId="8373"/>
    <cellStyle name="60% - 强调文字颜色 1 2 2 4 2 3" xfId="8376"/>
    <cellStyle name="60% - 强调文字颜色 1 2 2 4 3" xfId="8380"/>
    <cellStyle name="60% - 强调文字颜色 1 2 2 4 3 2" xfId="8385"/>
    <cellStyle name="60% - 强调文字颜色 1 2 2 4 3 3" xfId="8388"/>
    <cellStyle name="60% - 强调文字颜色 1 2 2 4 4" xfId="8391"/>
    <cellStyle name="60% - 强调文字颜色 1 2 2 5" xfId="8394"/>
    <cellStyle name="60% - 强调文字颜色 1 2 2 5 2" xfId="6852"/>
    <cellStyle name="60% - 强调文字颜色 1 2 2 5 2 2" xfId="6858"/>
    <cellStyle name="60% - 强调文字颜色 1 2 2 5 2 3" xfId="6863"/>
    <cellStyle name="60% - 强调文字颜色 1 2 2 5 3" xfId="6871"/>
    <cellStyle name="60% - 强调文字颜色 1 2 2 6" xfId="8396"/>
    <cellStyle name="60% - 强调文字颜色 1 2 2 6 2" xfId="2319"/>
    <cellStyle name="60% - 强调文字颜色 1 2 2 6 3" xfId="8402"/>
    <cellStyle name="60% - 强调文字颜色 1 2 2 7" xfId="1384"/>
    <cellStyle name="60% - 强调文字颜色 1 2 3" xfId="8404"/>
    <cellStyle name="60% - 强调文字颜色 1 2 3 2" xfId="8406"/>
    <cellStyle name="60% - 强调文字颜色 1 2 3 2 2" xfId="8407"/>
    <cellStyle name="60% - 强调文字颜色 1 2 3 2 2 2" xfId="2619"/>
    <cellStyle name="60% - 强调文字颜色 1 2 3 2 2 2 2" xfId="2629"/>
    <cellStyle name="60% - 强调文字颜色 1 2 3 2 2 2 2 2" xfId="397"/>
    <cellStyle name="60% - 强调文字颜色 1 2 3 2 2 2 2 3" xfId="77"/>
    <cellStyle name="60% - 强调文字颜色 1 2 3 2 2 2 3" xfId="2674"/>
    <cellStyle name="60% - 强调文字颜色 1 2 3 2 2 3" xfId="2814"/>
    <cellStyle name="60% - 强调文字颜色 1 2 3 2 2 3 2" xfId="2818"/>
    <cellStyle name="60% - 强调文字颜色 1 2 3 2 2 3 3" xfId="2842"/>
    <cellStyle name="60% - 强调文字颜色 1 2 3 2 2 4" xfId="2854"/>
    <cellStyle name="60% - 强调文字颜色 1 2 3 2 3" xfId="8408"/>
    <cellStyle name="60% - 强调文字颜色 1 2 3 2 3 2" xfId="8410"/>
    <cellStyle name="60% - 强调文字颜色 1 2 3 2 3 2 2" xfId="5111"/>
    <cellStyle name="60% - 强调文字颜色 1 2 3 2 3 2 3" xfId="6131"/>
    <cellStyle name="60% - 强调文字颜色 1 2 3 2 3 3" xfId="8412"/>
    <cellStyle name="60% - 强调文字颜色 1 2 3 2 4" xfId="8414"/>
    <cellStyle name="60% - 强调文字颜色 1 2 3 2 4 2" xfId="8416"/>
    <cellStyle name="60% - 强调文字颜色 1 2 3 2 4 3" xfId="8418"/>
    <cellStyle name="60% - 强调文字颜色 1 2 3 2 5" xfId="8421"/>
    <cellStyle name="60% - 强调文字颜色 1 2 3 3" xfId="8422"/>
    <cellStyle name="60% - 强调文字颜色 1 2 3 3 2" xfId="7879"/>
    <cellStyle name="60% - 强调文字颜色 1 2 3 3 2 2" xfId="3264"/>
    <cellStyle name="60% - 强调文字颜色 1 2 3 3 2 2 2" xfId="3484"/>
    <cellStyle name="60% - 强调文字颜色 1 2 3 3 2 2 3" xfId="635"/>
    <cellStyle name="60% - 强调文字颜色 1 2 3 3 2 3" xfId="3678"/>
    <cellStyle name="60% - 强调文字颜色 1 2 3 3 3" xfId="3920"/>
    <cellStyle name="60% - 强调文字颜色 1 2 3 3 3 2" xfId="3927"/>
    <cellStyle name="60% - 强调文字颜色 1 2 3 3 3 3" xfId="3966"/>
    <cellStyle name="60% - 强调文字颜色 1 2 3 3 4" xfId="4057"/>
    <cellStyle name="60% - 强调文字颜色 1 2 3 4" xfId="8423"/>
    <cellStyle name="60% - 强调文字颜色 1 2 3 4 2" xfId="8424"/>
    <cellStyle name="60% - 强调文字颜色 1 2 3 4 2 2" xfId="4301"/>
    <cellStyle name="60% - 强调文字颜色 1 2 3 4 2 2 2" xfId="4306"/>
    <cellStyle name="60% - 强调文字颜色 1 2 3 4 2 2 3" xfId="64"/>
    <cellStyle name="60% - 强调文字颜色 1 2 3 4 2 3" xfId="4508"/>
    <cellStyle name="60% - 强调文字颜色 1 2 3 4 3" xfId="8429"/>
    <cellStyle name="60% - 强调文字颜色 1 2 3 4 3 2" xfId="8434"/>
    <cellStyle name="60% - 强调文字颜色 1 2 3 4 3 3" xfId="8436"/>
    <cellStyle name="60% - 强调文字颜色 1 2 3 4 4" xfId="8440"/>
    <cellStyle name="60% - 强调文字颜色 1 2 3 5" xfId="8442"/>
    <cellStyle name="60% - 强调文字颜色 1 2 3 5 2" xfId="6687"/>
    <cellStyle name="60% - 强调文字颜色 1 2 3 5 2 2" xfId="4929"/>
    <cellStyle name="60% - 强调文字颜色 1 2 3 5 2 3" xfId="4956"/>
    <cellStyle name="60% - 强调文字颜色 1 2 3 5 3" xfId="6982"/>
    <cellStyle name="60% - 强调文字颜色 1 2 3 6" xfId="8444"/>
    <cellStyle name="60% - 强调文字颜色 1 2 3 6 2" xfId="7006"/>
    <cellStyle name="60% - 强调文字颜色 1 2 3 6 3" xfId="8451"/>
    <cellStyle name="60% - 强调文字颜色 1 2 3 7" xfId="8453"/>
    <cellStyle name="60% - 强调文字颜色 1 2 4" xfId="8457"/>
    <cellStyle name="60% - 强调文字颜色 1 2 4 2" xfId="8459"/>
    <cellStyle name="60% - 强调文字颜色 1 2 4 2 2" xfId="2242"/>
    <cellStyle name="60% - 强调文字颜色 1 2 4 2 2 2" xfId="4415"/>
    <cellStyle name="60% - 强调文字颜色 1 2 4 2 2 2 2" xfId="8463"/>
    <cellStyle name="60% - 强调文字颜色 1 2 4 2 2 2 2 2" xfId="8465"/>
    <cellStyle name="60% - 强调文字颜色 1 2 4 2 2 2 2 3" xfId="8466"/>
    <cellStyle name="60% - 强调文字颜色 1 2 4 2 2 2 3" xfId="8468"/>
    <cellStyle name="60% - 强调文字颜色 1 2 4 2 2 3" xfId="8469"/>
    <cellStyle name="60% - 强调文字颜色 1 2 4 2 2 3 2" xfId="8474"/>
    <cellStyle name="60% - 强调文字颜色 1 2 4 2 2 3 3" xfId="8476"/>
    <cellStyle name="60% - 强调文字颜色 1 2 4 2 2 4" xfId="8478"/>
    <cellStyle name="60% - 强调文字颜色 1 2 4 2 3" xfId="2253"/>
    <cellStyle name="60% - 强调文字颜色 1 2 4 2 3 2" xfId="490"/>
    <cellStyle name="60% - 强调文字颜色 1 2 4 2 3 2 2" xfId="8485"/>
    <cellStyle name="60% - 强调文字颜色 1 2 4 2 3 2 3" xfId="8487"/>
    <cellStyle name="60% - 强调文字颜色 1 2 4 2 3 3" xfId="6346"/>
    <cellStyle name="60% - 强调文字颜色 1 2 4 2 4" xfId="6348"/>
    <cellStyle name="60% - 强调文字颜色 1 2 4 2 4 2" xfId="9"/>
    <cellStyle name="60% - 强调文字颜色 1 2 4 2 4 3" xfId="8488"/>
    <cellStyle name="60% - 强调文字颜色 1 2 4 2 5" xfId="6679"/>
    <cellStyle name="60% - 强调文字颜色 1 2 4 3" xfId="8489"/>
    <cellStyle name="60% - 强调文字颜色 1 2 4 3 2" xfId="5836"/>
    <cellStyle name="60% - 强调文字颜色 1 2 4 3 2 2" xfId="6531"/>
    <cellStyle name="60% - 强调文字颜色 1 2 4 3 2 2 2" xfId="8281"/>
    <cellStyle name="60% - 强调文字颜色 1 2 4 3 2 2 3" xfId="1487"/>
    <cellStyle name="60% - 强调文字颜色 1 2 4 3 2 3" xfId="8294"/>
    <cellStyle name="60% - 强调文字颜色 1 2 4 3 3" xfId="4604"/>
    <cellStyle name="60% - 强调文字颜色 1 2 4 3 3 2" xfId="4619"/>
    <cellStyle name="60% - 强调文字颜色 1 2 4 3 3 3" xfId="4675"/>
    <cellStyle name="60% - 强调文字颜色 1 2 4 3 4" xfId="4793"/>
    <cellStyle name="60% - 强调文字颜色 1 2 4 4" xfId="8491"/>
    <cellStyle name="60% - 强调文字颜色 1 2 4 4 2" xfId="8492"/>
    <cellStyle name="60% - 强调文字颜色 1 2 4 4 2 2" xfId="7980"/>
    <cellStyle name="60% - 强调文字颜色 1 2 4 4 2 2 2" xfId="8497"/>
    <cellStyle name="60% - 强调文字颜色 1 2 4 4 2 2 3" xfId="7896"/>
    <cellStyle name="60% - 强调文字颜色 1 2 4 4 2 3" xfId="8498"/>
    <cellStyle name="60% - 强调文字颜色 1 2 4 4 3" xfId="8501"/>
    <cellStyle name="60% - 强调文字颜色 1 2 4 4 3 2" xfId="8008"/>
    <cellStyle name="60% - 强调文字颜色 1 2 4 4 3 3" xfId="8503"/>
    <cellStyle name="60% - 强调文字颜色 1 2 4 4 4" xfId="8506"/>
    <cellStyle name="60% - 强调文字颜色 1 2 4 5" xfId="8510"/>
    <cellStyle name="60% - 强调文字颜色 1 2 4 5 2" xfId="7070"/>
    <cellStyle name="60% - 强调文字颜色 1 2 4 5 2 2" xfId="8130"/>
    <cellStyle name="60% - 强调文字颜色 1 2 4 5 2 3" xfId="8518"/>
    <cellStyle name="60% - 强调文字颜色 1 2 4 5 3" xfId="8525"/>
    <cellStyle name="60% - 强调文字颜色 1 2 4 6" xfId="8527"/>
    <cellStyle name="60% - 强调文字颜色 1 2 4 6 2" xfId="8531"/>
    <cellStyle name="60% - 强调文字颜色 1 2 4 6 3" xfId="8536"/>
    <cellStyle name="60% - 强调文字颜色 1 2 4 7" xfId="8538"/>
    <cellStyle name="60% - 强调文字颜色 1 2 5" xfId="8541"/>
    <cellStyle name="60% - 强调文字颜色 1 2 5 2" xfId="2131"/>
    <cellStyle name="60% - 强调文字颜色 1 2 5 2 2" xfId="2786"/>
    <cellStyle name="60% - 强调文字颜色 1 2 5 2 2 2" xfId="8546"/>
    <cellStyle name="60% - 强调文字颜色 1 2 5 2 2 2 2" xfId="5812"/>
    <cellStyle name="60% - 强调文字颜色 1 2 5 2 2 2 3" xfId="5827"/>
    <cellStyle name="60% - 强调文字颜色 1 2 5 2 2 3" xfId="8550"/>
    <cellStyle name="60% - 强调文字颜色 1 2 5 2 3" xfId="2803"/>
    <cellStyle name="60% - 强调文字颜色 1 2 5 2 3 2" xfId="8552"/>
    <cellStyle name="60% - 强调文字颜色 1 2 5 2 3 3" xfId="8553"/>
    <cellStyle name="60% - 强调文字颜色 1 2 5 2 4" xfId="6377"/>
    <cellStyle name="60% - 强调文字颜色 1 2 5 3" xfId="2813"/>
    <cellStyle name="60% - 强调文字颜色 1 2 5 3 2" xfId="1999"/>
    <cellStyle name="60% - 强调文字颜色 1 2 5 3 2 2" xfId="8555"/>
    <cellStyle name="60% - 强调文字颜色 1 2 5 3 2 3" xfId="8562"/>
    <cellStyle name="60% - 强调文字颜色 1 2 5 3 3" xfId="3315"/>
    <cellStyle name="60% - 强调文字颜色 1 2 5 4" xfId="2890"/>
    <cellStyle name="60% - 强调文字颜色 1 2 5 4 2" xfId="8572"/>
    <cellStyle name="60% - 强调文字颜色 1 2 5 4 3" xfId="8580"/>
    <cellStyle name="60% - 强调文字颜色 1 2 5 5" xfId="2900"/>
    <cellStyle name="60% - 强调文字颜色 1 2 6" xfId="8591"/>
    <cellStyle name="60% - 强调文字颜色 1 2 6 2" xfId="2163"/>
    <cellStyle name="60% - 强调文字颜色 1 2 6 2 2" xfId="5405"/>
    <cellStyle name="60% - 强调文字颜色 1 2 6 2 2 2" xfId="8594"/>
    <cellStyle name="60% - 强调文字颜色 1 2 6 2 2 3" xfId="8595"/>
    <cellStyle name="60% - 强调文字颜色 1 2 6 2 3" xfId="5414"/>
    <cellStyle name="60% - 强调文字颜色 1 2 6 3" xfId="3332"/>
    <cellStyle name="60% - 强调文字颜色 1 2 6 3 2" xfId="8598"/>
    <cellStyle name="60% - 强调文字颜色 1 2 6 3 3" xfId="8600"/>
    <cellStyle name="60% - 强调文字颜色 1 2 6 4" xfId="3345"/>
    <cellStyle name="60% - 强调文字颜色 1 2 7" xfId="8612"/>
    <cellStyle name="60% - 强调文字颜色 1 2 7 2" xfId="8617"/>
    <cellStyle name="60% - 强调文字颜色 1 2 7 2 2" xfId="8620"/>
    <cellStyle name="60% - 强调文字颜色 1 2 7 2 2 2" xfId="8621"/>
    <cellStyle name="60% - 强调文字颜色 1 2 7 2 2 3" xfId="8624"/>
    <cellStyle name="60% - 强调文字颜色 1 2 7 2 3" xfId="8461"/>
    <cellStyle name="60% - 强调文字颜色 1 2 7 3" xfId="8633"/>
    <cellStyle name="60% - 强调文字颜色 1 2 7 3 2" xfId="8634"/>
    <cellStyle name="60% - 强调文字颜色 1 2 7 3 3" xfId="8470"/>
    <cellStyle name="60% - 强调文字颜色 1 2 7 4" xfId="8638"/>
    <cellStyle name="60% - 强调文字颜色 1 2 8" xfId="8650"/>
    <cellStyle name="60% - 强调文字颜色 1 2 8 2" xfId="8652"/>
    <cellStyle name="60% - 强调文字颜色 1 2 8 2 2" xfId="5590"/>
    <cellStyle name="60% - 强调文字颜色 1 2 8 2 3" xfId="8483"/>
    <cellStyle name="60% - 强调文字颜色 1 2 8 3" xfId="5571"/>
    <cellStyle name="60% - 强调文字颜色 1 2 9" xfId="8655"/>
    <cellStyle name="60% - 强调文字颜色 1 2 9 2" xfId="197"/>
    <cellStyle name="60% - 强调文字颜色 2 2" xfId="1587"/>
    <cellStyle name="60% - 强调文字颜色 2 2 10" xfId="1198"/>
    <cellStyle name="60% - 强调文字颜色 2 2 2" xfId="8657"/>
    <cellStyle name="60% - 强调文字颜色 2 2 2 2" xfId="8661"/>
    <cellStyle name="60% - 强调文字颜色 2 2 2 2 2" xfId="8663"/>
    <cellStyle name="60% - 强调文字颜色 2 2 2 2 2 2" xfId="8669"/>
    <cellStyle name="60% - 强调文字颜色 2 2 2 2 2 2 2" xfId="5710"/>
    <cellStyle name="60% - 强调文字颜色 2 2 2 2 2 2 2 2" xfId="5714"/>
    <cellStyle name="60% - 强调文字颜色 2 2 2 2 2 2 2 3" xfId="5723"/>
    <cellStyle name="60% - 强调文字颜色 2 2 2 2 2 2 3" xfId="5739"/>
    <cellStyle name="60% - 强调文字颜色 2 2 2 2 2 3" xfId="8672"/>
    <cellStyle name="60% - 强调文字颜色 2 2 2 2 2 3 2" xfId="5748"/>
    <cellStyle name="60% - 强调文字颜色 2 2 2 2 2 3 3" xfId="8673"/>
    <cellStyle name="60% - 强调文字颜色 2 2 2 2 2 4" xfId="8675"/>
    <cellStyle name="60% - 强调文字颜色 2 2 2 2 3" xfId="8677"/>
    <cellStyle name="60% - 强调文字颜色 2 2 2 2 3 2" xfId="8679"/>
    <cellStyle name="60% - 强调文字颜色 2 2 2 2 3 2 2" xfId="8683"/>
    <cellStyle name="60% - 强调文字颜色 2 2 2 2 3 2 3" xfId="8685"/>
    <cellStyle name="60% - 强调文字颜色 2 2 2 2 3 3" xfId="8688"/>
    <cellStyle name="60% - 强调文字颜色 2 2 2 2 4" xfId="8696"/>
    <cellStyle name="60% - 强调文字颜色 2 2 2 2 4 2" xfId="8698"/>
    <cellStyle name="60% - 强调文字颜色 2 2 2 2 4 3" xfId="8700"/>
    <cellStyle name="60% - 强调文字颜色 2 2 2 2 5" xfId="8705"/>
    <cellStyle name="60% - 强调文字颜色 2 2 2 3" xfId="4952"/>
    <cellStyle name="60% - 强调文字颜色 2 2 2 3 2" xfId="565"/>
    <cellStyle name="60% - 强调文字颜色 2 2 2 3 2 2" xfId="2661"/>
    <cellStyle name="60% - 强调文字颜色 2 2 2 3 2 2 2" xfId="8709"/>
    <cellStyle name="60% - 强调文字颜色 2 2 2 3 2 2 3" xfId="8712"/>
    <cellStyle name="60% - 强调文字颜色 2 2 2 3 2 3" xfId="1990"/>
    <cellStyle name="60% - 强调文字颜色 2 2 2 3 3" xfId="1552"/>
    <cellStyle name="60% - 强调文字颜色 2 2 2 3 3 2" xfId="2180"/>
    <cellStyle name="60% - 强调文字颜色 2 2 2 3 3 3" xfId="2117"/>
    <cellStyle name="60% - 强调文字颜色 2 2 2 3 4" xfId="3698"/>
    <cellStyle name="60% - 强调文字颜色 2 2 2 4" xfId="183"/>
    <cellStyle name="60% - 强调文字颜色 2 2 2 4 2" xfId="1381"/>
    <cellStyle name="60% - 强调文字颜色 2 2 2 4 2 2" xfId="8716"/>
    <cellStyle name="60% - 强调文字颜色 2 2 2 4 2 2 2" xfId="8717"/>
    <cellStyle name="60% - 强调文字颜色 2 2 2 4 2 2 3" xfId="8719"/>
    <cellStyle name="60% - 强调文字颜色 2 2 2 4 2 3" xfId="8721"/>
    <cellStyle name="60% - 强调文字颜色 2 2 2 4 3" xfId="1394"/>
    <cellStyle name="60% - 强调文字颜色 2 2 2 4 3 2" xfId="8727"/>
    <cellStyle name="60% - 强调文字颜色 2 2 2 4 3 3" xfId="8732"/>
    <cellStyle name="60% - 强调文字颜色 2 2 2 4 4" xfId="3707"/>
    <cellStyle name="60% - 强调文字颜色 2 2 2 5" xfId="8734"/>
    <cellStyle name="60% - 强调文字颜色 2 2 2 5 2" xfId="529"/>
    <cellStyle name="60% - 强调文字颜色 2 2 2 5 2 2" xfId="7038"/>
    <cellStyle name="60% - 强调文字颜色 2 2 2 5 2 3" xfId="7183"/>
    <cellStyle name="60% - 强调文字颜色 2 2 2 5 3" xfId="4693"/>
    <cellStyle name="60% - 强调文字颜色 2 2 2 6" xfId="8736"/>
    <cellStyle name="60% - 强调文字颜色 2 2 2 6 2" xfId="7199"/>
    <cellStyle name="60% - 强调文字颜色 2 2 2 6 3" xfId="8743"/>
    <cellStyle name="60% - 强调文字颜色 2 2 2 7" xfId="8746"/>
    <cellStyle name="60% - 强调文字颜色 2 2 3" xfId="8748"/>
    <cellStyle name="60% - 强调文字颜色 2 2 3 2" xfId="8753"/>
    <cellStyle name="60% - 强调文字颜色 2 2 3 2 2" xfId="8756"/>
    <cellStyle name="60% - 强调文字颜色 2 2 3 2 2 2" xfId="8339"/>
    <cellStyle name="60% - 强调文字颜色 2 2 3 2 2 2 2" xfId="8763"/>
    <cellStyle name="60% - 强调文字颜色 2 2 3 2 2 2 2 2" xfId="8766"/>
    <cellStyle name="60% - 强调文字颜色 2 2 3 2 2 2 2 3" xfId="8775"/>
    <cellStyle name="60% - 强调文字颜色 2 2 3 2 2 2 3" xfId="8781"/>
    <cellStyle name="60% - 强调文字颜色 2 2 3 2 2 3" xfId="8786"/>
    <cellStyle name="60% - 强调文字颜色 2 2 3 2 2 3 2" xfId="8792"/>
    <cellStyle name="60% - 强调文字颜色 2 2 3 2 2 3 3" xfId="8795"/>
    <cellStyle name="60% - 强调文字颜色 2 2 3 2 2 4" xfId="8760"/>
    <cellStyle name="60% - 强调文字颜色 2 2 3 2 3" xfId="8798"/>
    <cellStyle name="60% - 强调文字颜色 2 2 3 2 3 2" xfId="6168"/>
    <cellStyle name="60% - 强调文字颜色 2 2 3 2 3 2 2" xfId="8802"/>
    <cellStyle name="60% - 强调文字颜色 2 2 3 2 3 2 3" xfId="8804"/>
    <cellStyle name="60% - 强调文字颜色 2 2 3 2 3 3" xfId="8810"/>
    <cellStyle name="60% - 强调文字颜色 2 2 3 2 4" xfId="8813"/>
    <cellStyle name="60% - 强调文字颜色 2 2 3 2 4 2" xfId="8817"/>
    <cellStyle name="60% - 强调文字颜色 2 2 3 2 4 3" xfId="8822"/>
    <cellStyle name="60% - 强调文字颜色 2 2 3 2 5" xfId="8825"/>
    <cellStyle name="60% - 强调文字颜色 2 2 3 3" xfId="8831"/>
    <cellStyle name="60% - 强调文字颜色 2 2 3 3 2" xfId="2725"/>
    <cellStyle name="60% - 强调文字颜色 2 2 3 3 2 2" xfId="4151"/>
    <cellStyle name="60% - 强调文字颜色 2 2 3 3 2 2 2" xfId="2902"/>
    <cellStyle name="60% - 强调文字颜色 2 2 3 3 2 2 3" xfId="1899"/>
    <cellStyle name="60% - 强调文字颜色 2 2 3 3 2 3" xfId="8834"/>
    <cellStyle name="60% - 强调文字颜色 2 2 3 3 3" xfId="3724"/>
    <cellStyle name="60% - 强调文字颜色 2 2 3 3 3 2" xfId="3081"/>
    <cellStyle name="60% - 强调文字颜色 2 2 3 3 3 3" xfId="3153"/>
    <cellStyle name="60% - 强调文字颜色 2 2 3 3 4" xfId="3736"/>
    <cellStyle name="60% - 强调文字颜色 2 2 3 4" xfId="8843"/>
    <cellStyle name="60% - 强调文字颜色 2 2 3 4 2" xfId="2400"/>
    <cellStyle name="60% - 强调文字颜色 2 2 3 4 2 2" xfId="8845"/>
    <cellStyle name="60% - 强调文字颜色 2 2 3 4 2 2 2" xfId="8849"/>
    <cellStyle name="60% - 强调文字颜色 2 2 3 4 2 2 3" xfId="8851"/>
    <cellStyle name="60% - 强调文字颜色 2 2 3 4 2 3" xfId="8853"/>
    <cellStyle name="60% - 强调文字颜色 2 2 3 4 3" xfId="8861"/>
    <cellStyle name="60% - 强调文字颜色 2 2 3 4 3 2" xfId="8865"/>
    <cellStyle name="60% - 强调文字颜色 2 2 3 4 3 3" xfId="8870"/>
    <cellStyle name="60% - 强调文字颜色 2 2 3 4 4" xfId="8876"/>
    <cellStyle name="60% - 强调文字颜色 2 2 3 5" xfId="925"/>
    <cellStyle name="60% - 强调文字颜色 2 2 3 5 2" xfId="6180"/>
    <cellStyle name="60% - 强调文字颜色 2 2 3 5 2 2" xfId="6185"/>
    <cellStyle name="60% - 强调文字颜色 2 2 3 5 2 3" xfId="6209"/>
    <cellStyle name="60% - 强调文字颜色 2 2 3 5 3" xfId="6241"/>
    <cellStyle name="60% - 强调文字颜色 2 2 3 6" xfId="6319"/>
    <cellStyle name="60% - 强调文字颜色 2 2 3 6 2" xfId="6324"/>
    <cellStyle name="60% - 强调文字颜色 2 2 3 6 3" xfId="6362"/>
    <cellStyle name="60% - 强调文字颜色 2 2 3 7" xfId="5186"/>
    <cellStyle name="60% - 强调文字颜色 2 2 4" xfId="8880"/>
    <cellStyle name="60% - 强调文字颜色 2 2 4 2" xfId="8887"/>
    <cellStyle name="60% - 强调文字颜色 2 2 4 2 2" xfId="8888"/>
    <cellStyle name="60% - 强调文字颜色 2 2 4 2 2 2" xfId="2856"/>
    <cellStyle name="60% - 强调文字颜色 2 2 4 2 2 2 2" xfId="2861"/>
    <cellStyle name="60% - 强调文字颜色 2 2 4 2 2 2 2 2" xfId="763"/>
    <cellStyle name="60% - 强调文字颜色 2 2 4 2 2 2 2 3" xfId="2564"/>
    <cellStyle name="60% - 强调文字颜色 2 2 4 2 2 2 3" xfId="2866"/>
    <cellStyle name="60% - 强调文字颜色 2 2 4 2 2 3" xfId="2871"/>
    <cellStyle name="60% - 强调文字颜色 2 2 4 2 2 3 2" xfId="1085"/>
    <cellStyle name="60% - 强调文字颜色 2 2 4 2 2 3 3" xfId="2882"/>
    <cellStyle name="60% - 强调文字颜色 2 2 4 2 2 4" xfId="2904"/>
    <cellStyle name="60% - 强调文字颜色 2 2 4 2 3" xfId="3464"/>
    <cellStyle name="60% - 强调文字颜色 2 2 4 2 3 2" xfId="48"/>
    <cellStyle name="60% - 强调文字颜色 2 2 4 2 3 2 2" xfId="5690"/>
    <cellStyle name="60% - 强调文字颜色 2 2 4 2 3 2 3" xfId="5696"/>
    <cellStyle name="60% - 强调文字颜色 2 2 4 2 3 3" xfId="5703"/>
    <cellStyle name="60% - 强调文字颜色 2 2 4 2 4" xfId="5708"/>
    <cellStyle name="60% - 强调文字颜色 2 2 4 2 4 2" xfId="5716"/>
    <cellStyle name="60% - 强调文字颜色 2 2 4 2 4 3" xfId="5726"/>
    <cellStyle name="60% - 强调文字颜色 2 2 4 2 5" xfId="5737"/>
    <cellStyle name="60% - 强调文字颜色 2 2 4 3" xfId="8893"/>
    <cellStyle name="60% - 强调文字颜色 2 2 4 3 2" xfId="2761"/>
    <cellStyle name="60% - 强调文字颜色 2 2 4 3 2 2" xfId="3765"/>
    <cellStyle name="60% - 强调文字颜色 2 2 4 3 2 2 2" xfId="3775"/>
    <cellStyle name="60% - 强调文字颜色 2 2 4 3 2 2 3" xfId="3820"/>
    <cellStyle name="60% - 强调文字颜色 2 2 4 3 2 3" xfId="3845"/>
    <cellStyle name="60% - 强调文字颜色 2 2 4 3 3" xfId="5742"/>
    <cellStyle name="60% - 强调文字颜色 2 2 4 3 3 2" xfId="3990"/>
    <cellStyle name="60% - 强调文字颜色 2 2 4 3 3 3" xfId="4028"/>
    <cellStyle name="60% - 强调文字颜色 2 2 4 3 4" xfId="5747"/>
    <cellStyle name="60% - 强调文字颜色 2 2 4 4" xfId="8903"/>
    <cellStyle name="60% - 强调文字颜色 2 2 4 4 2" xfId="2782"/>
    <cellStyle name="60% - 强调文字颜色 2 2 4 4 2 2" xfId="4538"/>
    <cellStyle name="60% - 强调文字颜色 2 2 4 4 2 2 2" xfId="2535"/>
    <cellStyle name="60% - 强调文字颜色 2 2 4 4 2 2 3" xfId="120"/>
    <cellStyle name="60% - 强调文字颜色 2 2 4 4 2 3" xfId="4561"/>
    <cellStyle name="60% - 强调文字颜色 2 2 4 4 3" xfId="5753"/>
    <cellStyle name="60% - 强调文字颜色 2 2 4 4 3 2" xfId="8908"/>
    <cellStyle name="60% - 强调文字颜色 2 2 4 4 3 3" xfId="8914"/>
    <cellStyle name="60% - 强调文字颜色 2 2 4 4 4" xfId="8916"/>
    <cellStyle name="60% - 强调文字颜色 2 2 4 5" xfId="8925"/>
    <cellStyle name="60% - 强调文字颜色 2 2 4 5 2" xfId="7362"/>
    <cellStyle name="60% - 强调文字颜色 2 2 4 5 2 2" xfId="4962"/>
    <cellStyle name="60% - 强调文字颜色 2 2 4 5 2 3" xfId="5218"/>
    <cellStyle name="60% - 强调文字颜色 2 2 4 5 3" xfId="8932"/>
    <cellStyle name="60% - 强调文字颜色 2 2 4 6" xfId="8934"/>
    <cellStyle name="60% - 强调文字颜色 2 2 4 6 2" xfId="8935"/>
    <cellStyle name="60% - 强调文字颜色 2 2 4 6 3" xfId="8942"/>
    <cellStyle name="60% - 强调文字颜色 2 2 4 7" xfId="8943"/>
    <cellStyle name="60% - 强调文字颜色 2 2 5" xfId="7334"/>
    <cellStyle name="60% - 强调文字颜色 2 2 5 2" xfId="2491"/>
    <cellStyle name="60% - 强调文字颜色 2 2 5 2 2" xfId="8946"/>
    <cellStyle name="60% - 强调文字颜色 2 2 5 2 2 2" xfId="8477"/>
    <cellStyle name="60% - 强调文字颜色 2 2 5 2 2 2 2" xfId="8948"/>
    <cellStyle name="60% - 强调文字颜色 2 2 5 2 2 2 3" xfId="8951"/>
    <cellStyle name="60% - 强调文字颜色 2 2 5 2 2 3" xfId="8954"/>
    <cellStyle name="60% - 强调文字颜色 2 2 5 2 3" xfId="8958"/>
    <cellStyle name="60% - 强调文字颜色 2 2 5 2 3 2" xfId="8959"/>
    <cellStyle name="60% - 强调文字颜色 2 2 5 2 3 3" xfId="8962"/>
    <cellStyle name="60% - 强调文字颜色 2 2 5 2 4" xfId="8682"/>
    <cellStyle name="60% - 强调文字颜色 2 2 5 3" xfId="3578"/>
    <cellStyle name="60% - 强调文字颜色 2 2 5 3 2" xfId="1405"/>
    <cellStyle name="60% - 强调文字颜色 2 2 5 3 2 2" xfId="8299"/>
    <cellStyle name="60% - 强调文字颜色 2 2 5 3 2 3" xfId="8963"/>
    <cellStyle name="60% - 强调文字颜色 2 2 5 3 3" xfId="1470"/>
    <cellStyle name="60% - 强调文字颜色 2 2 5 4" xfId="3586"/>
    <cellStyle name="60% - 强调文字颜色 2 2 5 4 2" xfId="8966"/>
    <cellStyle name="60% - 强调文字颜色 2 2 5 4 3" xfId="8972"/>
    <cellStyle name="60% - 强调文字颜色 2 2 5 5" xfId="4527"/>
    <cellStyle name="60% - 强调文字颜色 2 2 6" xfId="7351"/>
    <cellStyle name="60% - 强调文字颜色 2 2 6 2" xfId="2533"/>
    <cellStyle name="60% - 强调文字颜色 2 2 6 2 2" xfId="8976"/>
    <cellStyle name="60% - 强调文字颜色 2 2 6 2 2 2" xfId="8980"/>
    <cellStyle name="60% - 强调文字颜色 2 2 6 2 2 3" xfId="8982"/>
    <cellStyle name="60% - 强调文字颜色 2 2 6 2 3" xfId="8988"/>
    <cellStyle name="60% - 强调文字颜色 2 2 6 3" xfId="3598"/>
    <cellStyle name="60% - 强调文字颜色 2 2 6 3 2" xfId="8989"/>
    <cellStyle name="60% - 强调文字颜色 2 2 6 3 3" xfId="8990"/>
    <cellStyle name="60% - 强调文字颜色 2 2 6 4" xfId="3605"/>
    <cellStyle name="60% - 强调文字颜色 2 2 7" xfId="5766"/>
    <cellStyle name="60% - 强调文字颜色 2 2 7 2" xfId="5772"/>
    <cellStyle name="60% - 强调文字颜色 2 2 7 2 2" xfId="5780"/>
    <cellStyle name="60% - 强调文字颜色 2 2 7 2 2 2" xfId="5789"/>
    <cellStyle name="60% - 强调文字颜色 2 2 7 2 2 3" xfId="303"/>
    <cellStyle name="60% - 强调文字颜色 2 2 7 2 3" xfId="5804"/>
    <cellStyle name="60% - 强调文字颜色 2 2 7 3" xfId="4641"/>
    <cellStyle name="60% - 强调文字颜色 2 2 7 3 2" xfId="5846"/>
    <cellStyle name="60% - 强调文字颜色 2 2 7 3 3" xfId="5861"/>
    <cellStyle name="60% - 强调文字颜色 2 2 7 4" xfId="4654"/>
    <cellStyle name="60% - 强调文字颜色 2 2 8" xfId="5874"/>
    <cellStyle name="60% - 强调文字颜色 2 2 8 2" xfId="5881"/>
    <cellStyle name="60% - 强调文字颜色 2 2 8 2 2" xfId="5884"/>
    <cellStyle name="60% - 强调文字颜色 2 2 8 2 3" xfId="5923"/>
    <cellStyle name="60% - 强调文字颜色 2 2 8 3" xfId="5943"/>
    <cellStyle name="60% - 强调文字颜色 2 2 9" xfId="5046"/>
    <cellStyle name="60% - 强调文字颜色 2 2 9 2" xfId="5059"/>
    <cellStyle name="60% - 强调文字颜色 3 2" xfId="3726"/>
    <cellStyle name="60% - 强调文字颜色 3 2 10" xfId="1645"/>
    <cellStyle name="60% - 强调文字颜色 3 2 2" xfId="8994"/>
    <cellStyle name="60% - 强调文字颜色 3 2 2 2" xfId="3097"/>
    <cellStyle name="60% - 强调文字颜色 3 2 2 2 2" xfId="8995"/>
    <cellStyle name="60% - 强调文字颜色 3 2 2 2 2 2" xfId="8997"/>
    <cellStyle name="60% - 强调文字颜色 3 2 2 2 2 2 2" xfId="8507"/>
    <cellStyle name="60% - 强调文字颜色 3 2 2 2 2 2 2 2" xfId="9003"/>
    <cellStyle name="60% - 强调文字颜色 3 2 2 2 2 2 2 3" xfId="9006"/>
    <cellStyle name="60% - 强调文字颜色 3 2 2 2 2 2 3" xfId="9009"/>
    <cellStyle name="60% - 强调文字颜色 3 2 2 2 2 3" xfId="9012"/>
    <cellStyle name="60% - 强调文字颜色 3 2 2 2 2 3 2" xfId="9015"/>
    <cellStyle name="60% - 强调文字颜色 3 2 2 2 2 3 3" xfId="9017"/>
    <cellStyle name="60% - 强调文字颜色 3 2 2 2 2 4" xfId="9020"/>
    <cellStyle name="60% - 强调文字颜色 3 2 2 2 3" xfId="9022"/>
    <cellStyle name="60% - 强调文字颜色 3 2 2 2 3 2" xfId="9024"/>
    <cellStyle name="60% - 强调文字颜色 3 2 2 2 3 2 2" xfId="9032"/>
    <cellStyle name="60% - 强调文字颜色 3 2 2 2 3 2 3" xfId="9035"/>
    <cellStyle name="60% - 强调文字颜色 3 2 2 2 3 3" xfId="9037"/>
    <cellStyle name="60% - 强调文字颜色 3 2 2 2 4" xfId="9039"/>
    <cellStyle name="60% - 强调文字颜色 3 2 2 2 4 2" xfId="9043"/>
    <cellStyle name="60% - 强调文字颜色 3 2 2 2 4 3" xfId="9048"/>
    <cellStyle name="60% - 强调文字颜色 3 2 2 2 5" xfId="9049"/>
    <cellStyle name="60% - 强调文字颜色 3 2 2 3" xfId="9050"/>
    <cellStyle name="60% - 强调文字颜色 3 2 2 3 2" xfId="237"/>
    <cellStyle name="60% - 强调文字颜色 3 2 2 3 2 2" xfId="9056"/>
    <cellStyle name="60% - 强调文字颜色 3 2 2 3 2 2 2" xfId="8142"/>
    <cellStyle name="60% - 强调文字颜色 3 2 2 3 2 2 3" xfId="8149"/>
    <cellStyle name="60% - 强调文字颜色 3 2 2 3 2 3" xfId="9063"/>
    <cellStyle name="60% - 强调文字颜色 3 2 2 3 3" xfId="3151"/>
    <cellStyle name="60% - 强调文字颜色 3 2 2 3 3 2" xfId="898"/>
    <cellStyle name="60% - 强调文字颜色 3 2 2 3 3 3" xfId="913"/>
    <cellStyle name="60% - 强调文字颜色 3 2 2 3 4" xfId="3975"/>
    <cellStyle name="60% - 强调文字颜色 3 2 2 4" xfId="9064"/>
    <cellStyle name="60% - 强调文字颜色 3 2 2 4 2" xfId="6124"/>
    <cellStyle name="60% - 强调文字颜色 3 2 2 4 2 2" xfId="9070"/>
    <cellStyle name="60% - 强调文字颜色 3 2 2 4 2 2 2" xfId="9075"/>
    <cellStyle name="60% - 强调文字颜色 3 2 2 4 2 2 3" xfId="159"/>
    <cellStyle name="60% - 强调文字颜色 3 2 2 4 2 3" xfId="9080"/>
    <cellStyle name="60% - 强调文字颜色 3 2 2 4 3" xfId="9086"/>
    <cellStyle name="60% - 强调文字颜色 3 2 2 4 3 2" xfId="9088"/>
    <cellStyle name="60% - 强调文字颜色 3 2 2 4 3 3" xfId="9091"/>
    <cellStyle name="60% - 强调文字颜色 3 2 2 4 4" xfId="8323"/>
    <cellStyle name="60% - 强调文字颜色 3 2 2 5" xfId="9093"/>
    <cellStyle name="60% - 强调文字颜色 3 2 2 5 2" xfId="7600"/>
    <cellStyle name="60% - 强调文字颜色 3 2 2 5 2 2" xfId="7609"/>
    <cellStyle name="60% - 强调文字颜色 3 2 2 5 2 3" xfId="7615"/>
    <cellStyle name="60% - 强调文字颜色 3 2 2 5 3" xfId="3863"/>
    <cellStyle name="60% - 强调文字颜色 3 2 2 6" xfId="9097"/>
    <cellStyle name="60% - 强调文字颜色 3 2 2 6 2" xfId="4770"/>
    <cellStyle name="60% - 强调文字颜色 3 2 2 6 3" xfId="5503"/>
    <cellStyle name="60% - 强调文字颜色 3 2 2 7" xfId="9101"/>
    <cellStyle name="60% - 强调文字颜色 3 2 3" xfId="9107"/>
    <cellStyle name="60% - 强调文字颜色 3 2 3 2" xfId="9108"/>
    <cellStyle name="60% - 强调文字颜色 3 2 3 2 2" xfId="9109"/>
    <cellStyle name="60% - 强调文字颜色 3 2 3 2 2 2" xfId="8674"/>
    <cellStyle name="60% - 强调文字颜色 3 2 3 2 2 2 2" xfId="8917"/>
    <cellStyle name="60% - 强调文字颜色 3 2 3 2 2 2 2 2" xfId="9112"/>
    <cellStyle name="60% - 强调文字颜色 3 2 3 2 2 2 2 3" xfId="9117"/>
    <cellStyle name="60% - 强调文字颜色 3 2 3 2 2 2 3" xfId="8023"/>
    <cellStyle name="60% - 强调文字颜色 3 2 3 2 2 3" xfId="9118"/>
    <cellStyle name="60% - 强调文字颜色 3 2 3 2 2 3 2" xfId="9124"/>
    <cellStyle name="60% - 强调文字颜色 3 2 3 2 2 3 3" xfId="9126"/>
    <cellStyle name="60% - 强调文字颜色 3 2 3 2 2 4" xfId="9129"/>
    <cellStyle name="60% - 强调文字颜色 3 2 3 2 3" xfId="9131"/>
    <cellStyle name="60% - 强调文字颜色 3 2 3 2 3 2" xfId="9133"/>
    <cellStyle name="60% - 强调文字颜色 3 2 3 2 3 2 2" xfId="9141"/>
    <cellStyle name="60% - 强调文字颜色 3 2 3 2 3 2 3" xfId="9145"/>
    <cellStyle name="60% - 强调文字颜色 3 2 3 2 3 3" xfId="9146"/>
    <cellStyle name="60% - 强调文字颜色 3 2 3 2 4" xfId="9149"/>
    <cellStyle name="60% - 强调文字颜色 3 2 3 2 4 2" xfId="9151"/>
    <cellStyle name="60% - 强调文字颜色 3 2 3 2 4 3" xfId="9152"/>
    <cellStyle name="60% - 强调文字颜色 3 2 3 2 5" xfId="9154"/>
    <cellStyle name="60% - 强调文字颜色 3 2 3 3" xfId="9156"/>
    <cellStyle name="60% - 强调文字颜色 3 2 3 3 2" xfId="6139"/>
    <cellStyle name="60% - 强调文字颜色 3 2 3 3 2 2" xfId="9160"/>
    <cellStyle name="60% - 强调文字颜色 3 2 3 3 2 2 2" xfId="7485"/>
    <cellStyle name="60% - 强调文字颜色 3 2 3 3 2 2 3" xfId="8160"/>
    <cellStyle name="60% - 强调文字颜色 3 2 3 3 2 3" xfId="9163"/>
    <cellStyle name="60% - 强调文字颜色 3 2 3 3 3" xfId="9164"/>
    <cellStyle name="60% - 强调文字颜色 3 2 3 3 3 2" xfId="2142"/>
    <cellStyle name="60% - 强调文字颜色 3 2 3 3 3 3" xfId="2174"/>
    <cellStyle name="60% - 强调文字颜色 3 2 3 3 4" xfId="9166"/>
    <cellStyle name="60% - 强调文字颜色 3 2 3 4" xfId="9172"/>
    <cellStyle name="60% - 强调文字颜色 3 2 3 4 2" xfId="6147"/>
    <cellStyle name="60% - 强调文字颜色 3 2 3 4 2 2" xfId="9175"/>
    <cellStyle name="60% - 强调文字颜色 3 2 3 4 2 2 2" xfId="7670"/>
    <cellStyle name="60% - 强调文字颜色 3 2 3 4 2 2 3" xfId="8236"/>
    <cellStyle name="60% - 强调文字颜色 3 2 3 4 2 3" xfId="9177"/>
    <cellStyle name="60% - 强调文字颜色 3 2 3 4 3" xfId="9180"/>
    <cellStyle name="60% - 强调文字颜色 3 2 3 4 3 2" xfId="9184"/>
    <cellStyle name="60% - 强调文字颜色 3 2 3 4 3 3" xfId="9188"/>
    <cellStyle name="60% - 强调文字颜色 3 2 3 4 4" xfId="9191"/>
    <cellStyle name="60% - 强调文字颜色 3 2 3 5" xfId="9196"/>
    <cellStyle name="60% - 强调文字颜色 3 2 3 5 2" xfId="7758"/>
    <cellStyle name="60% - 强调文字颜色 3 2 3 5 2 2" xfId="7766"/>
    <cellStyle name="60% - 强调文字颜色 3 2 3 5 2 3" xfId="7774"/>
    <cellStyle name="60% - 强调文字颜色 3 2 3 5 3" xfId="7781"/>
    <cellStyle name="60% - 强调文字颜色 3 2 3 6" xfId="9199"/>
    <cellStyle name="60% - 强调文字颜色 3 2 3 6 2" xfId="7802"/>
    <cellStyle name="60% - 强调文字颜色 3 2 3 6 3" xfId="9203"/>
    <cellStyle name="60% - 强调文字颜色 3 2 3 7" xfId="9206"/>
    <cellStyle name="60% - 强调文字颜色 3 2 4" xfId="8754"/>
    <cellStyle name="60% - 强调文字颜色 3 2 4 2" xfId="8757"/>
    <cellStyle name="60% - 强调文字颜色 3 2 4 2 2" xfId="8340"/>
    <cellStyle name="60% - 强调文字颜色 3 2 4 2 2 2" xfId="8764"/>
    <cellStyle name="60% - 强调文字颜色 3 2 4 2 2 2 2" xfId="8767"/>
    <cellStyle name="60% - 强调文字颜色 3 2 4 2 2 2 2 2" xfId="9210"/>
    <cellStyle name="60% - 强调文字颜色 3 2 4 2 2 2 2 3" xfId="9212"/>
    <cellStyle name="60% - 强调文字颜色 3 2 4 2 2 2 3" xfId="8776"/>
    <cellStyle name="60% - 强调文字颜色 3 2 4 2 2 3" xfId="8782"/>
    <cellStyle name="60% - 强调文字颜色 3 2 4 2 2 3 2" xfId="9215"/>
    <cellStyle name="60% - 强调文字颜色 3 2 4 2 2 3 3" xfId="9217"/>
    <cellStyle name="60% - 强调文字颜色 3 2 4 2 2 4" xfId="9223"/>
    <cellStyle name="60% - 强调文字颜色 3 2 4 2 3" xfId="8787"/>
    <cellStyle name="60% - 强调文字颜色 3 2 4 2 3 2" xfId="8793"/>
    <cellStyle name="60% - 强调文字颜色 3 2 4 2 3 2 2" xfId="3457"/>
    <cellStyle name="60% - 强调文字颜色 3 2 4 2 3 2 3" xfId="3475"/>
    <cellStyle name="60% - 强调文字颜色 3 2 4 2 3 3" xfId="8796"/>
    <cellStyle name="60% - 强调文字颜色 3 2 4 2 4" xfId="8761"/>
    <cellStyle name="60% - 强调文字颜色 3 2 4 2 4 2" xfId="8770"/>
    <cellStyle name="60% - 强调文字颜色 3 2 4 2 4 3" xfId="8772"/>
    <cellStyle name="60% - 强调文字颜色 3 2 4 2 5" xfId="8780"/>
    <cellStyle name="60% - 强调文字颜色 3 2 4 3" xfId="8799"/>
    <cellStyle name="60% - 强调文字颜色 3 2 4 3 2" xfId="6169"/>
    <cellStyle name="60% - 强调文字颜色 3 2 4 3 2 2" xfId="8803"/>
    <cellStyle name="60% - 强调文字颜色 3 2 4 3 2 2 2" xfId="9225"/>
    <cellStyle name="60% - 强调文字颜色 3 2 4 3 2 2 3" xfId="9227"/>
    <cellStyle name="60% - 强调文字颜色 3 2 4 3 2 3" xfId="8805"/>
    <cellStyle name="60% - 强调文字颜色 3 2 4 3 3" xfId="8811"/>
    <cellStyle name="60% - 强调文字颜色 3 2 4 3 3 2" xfId="3176"/>
    <cellStyle name="60% - 强调文字颜色 3 2 4 3 3 3" xfId="3178"/>
    <cellStyle name="60% - 强调文字颜色 3 2 4 3 4" xfId="8790"/>
    <cellStyle name="60% - 强调文字颜色 3 2 4 4" xfId="8814"/>
    <cellStyle name="60% - 强调文字颜色 3 2 4 4 2" xfId="8818"/>
    <cellStyle name="60% - 强调文字颜色 3 2 4 4 2 2" xfId="9232"/>
    <cellStyle name="60% - 强调文字颜色 3 2 4 4 2 2 2" xfId="9235"/>
    <cellStyle name="60% - 强调文字颜色 3 2 4 4 2 2 3" xfId="9238"/>
    <cellStyle name="60% - 强调文字颜色 3 2 4 4 2 3" xfId="9240"/>
    <cellStyle name="60% - 强调文字颜色 3 2 4 4 3" xfId="8823"/>
    <cellStyle name="60% - 强调文字颜色 3 2 4 4 3 2" xfId="9245"/>
    <cellStyle name="60% - 强调文字颜色 3 2 4 4 3 3" xfId="9249"/>
    <cellStyle name="60% - 强调文字颜色 3 2 4 4 4" xfId="8768"/>
    <cellStyle name="60% - 强调文字颜色 3 2 4 5" xfId="8826"/>
    <cellStyle name="60% - 强调文字颜色 3 2 4 5 2" xfId="7866"/>
    <cellStyle name="60% - 强调文字颜色 3 2 4 5 2 2" xfId="347"/>
    <cellStyle name="60% - 强调文字颜色 3 2 4 5 2 3" xfId="568"/>
    <cellStyle name="60% - 强调文字颜色 3 2 4 5 3" xfId="9253"/>
    <cellStyle name="60% - 强调文字颜色 3 2 4 6" xfId="9255"/>
    <cellStyle name="60% - 强调文字颜色 3 2 4 6 2" xfId="368"/>
    <cellStyle name="60% - 强调文字颜色 3 2 4 6 3" xfId="293"/>
    <cellStyle name="60% - 强调文字颜色 3 2 4 7" xfId="9256"/>
    <cellStyle name="60% - 强调文字颜色 3 2 5" xfId="8832"/>
    <cellStyle name="60% - 强调文字颜色 3 2 5 2" xfId="2726"/>
    <cellStyle name="60% - 强调文字颜色 3 2 5 2 2" xfId="4152"/>
    <cellStyle name="60% - 强调文字颜色 3 2 5 2 2 2" xfId="2903"/>
    <cellStyle name="60% - 强调文字颜色 3 2 5 2 2 2 2" xfId="2909"/>
    <cellStyle name="60% - 强调文字颜色 3 2 5 2 2 2 3" xfId="2934"/>
    <cellStyle name="60% - 强调文字颜色 3 2 5 2 2 3" xfId="1900"/>
    <cellStyle name="60% - 强调文字颜色 3 2 5 2 3" xfId="8835"/>
    <cellStyle name="60% - 强调文字颜色 3 2 5 2 3 2" xfId="9257"/>
    <cellStyle name="60% - 强调文字颜色 3 2 5 2 3 3" xfId="9263"/>
    <cellStyle name="60% - 强调文字颜色 3 2 5 2 4" xfId="8801"/>
    <cellStyle name="60% - 强调文字颜色 3 2 5 3" xfId="3725"/>
    <cellStyle name="60% - 强调文字颜色 3 2 5 3 2" xfId="3082"/>
    <cellStyle name="60% - 强调文字颜色 3 2 5 3 2 2" xfId="3088"/>
    <cellStyle name="60% - 强调文字颜色 3 2 5 3 2 3" xfId="3136"/>
    <cellStyle name="60% - 强调文字颜色 3 2 5 3 3" xfId="3154"/>
    <cellStyle name="60% - 强调文字颜色 3 2 5 4" xfId="3737"/>
    <cellStyle name="60% - 强调文字颜色 3 2 5 4 2" xfId="3354"/>
    <cellStyle name="60% - 强调文字颜色 3 2 5 4 3" xfId="3438"/>
    <cellStyle name="60% - 强调文字颜色 3 2 5 5" xfId="9266"/>
    <cellStyle name="60% - 强调文字颜色 3 2 6" xfId="8844"/>
    <cellStyle name="60% - 强调文字颜色 3 2 6 2" xfId="2401"/>
    <cellStyle name="60% - 强调文字颜色 3 2 6 2 2" xfId="8846"/>
    <cellStyle name="60% - 强调文字颜色 3 2 6 2 2 2" xfId="8850"/>
    <cellStyle name="60% - 强调文字颜色 3 2 6 2 2 3" xfId="8852"/>
    <cellStyle name="60% - 强调文字颜色 3 2 6 2 3" xfId="8854"/>
    <cellStyle name="60% - 强调文字颜色 3 2 6 3" xfId="8862"/>
    <cellStyle name="60% - 强调文字颜色 3 2 6 3 2" xfId="8866"/>
    <cellStyle name="60% - 强调文字颜色 3 2 6 3 3" xfId="8871"/>
    <cellStyle name="60% - 强调文字颜色 3 2 6 4" xfId="8877"/>
    <cellStyle name="60% - 强调文字颜色 3 2 7" xfId="926"/>
    <cellStyle name="60% - 强调文字颜色 3 2 7 2" xfId="6181"/>
    <cellStyle name="60% - 强调文字颜色 3 2 7 2 2" xfId="6186"/>
    <cellStyle name="60% - 强调文字颜色 3 2 7 2 2 2" xfId="6196"/>
    <cellStyle name="60% - 强调文字颜色 3 2 7 2 2 3" xfId="6202"/>
    <cellStyle name="60% - 强调文字颜色 3 2 7 2 3" xfId="6210"/>
    <cellStyle name="60% - 强调文字颜色 3 2 7 3" xfId="6242"/>
    <cellStyle name="60% - 强调文字颜色 3 2 7 3 2" xfId="6248"/>
    <cellStyle name="60% - 强调文字颜色 3 2 7 3 3" xfId="6264"/>
    <cellStyle name="60% - 强调文字颜色 3 2 7 4" xfId="6275"/>
    <cellStyle name="60% - 强调文字颜色 3 2 8" xfId="6320"/>
    <cellStyle name="60% - 强调文字颜色 3 2 8 2" xfId="6325"/>
    <cellStyle name="60% - 强调文字颜色 3 2 8 2 2" xfId="72"/>
    <cellStyle name="60% - 强调文字颜色 3 2 8 2 3" xfId="6345"/>
    <cellStyle name="60% - 强调文字颜色 3 2 8 3" xfId="6363"/>
    <cellStyle name="60% - 强调文字颜色 3 2 9" xfId="5187"/>
    <cellStyle name="60% - 强调文字颜色 3 2 9 2" xfId="6414"/>
    <cellStyle name="60% - 强调文字颜色 4 2" xfId="9268"/>
    <cellStyle name="60% - 强调文字颜色 4 2 10" xfId="7656"/>
    <cellStyle name="60% - 强调文字颜色 4 2 2" xfId="9271"/>
    <cellStyle name="60% - 强调文字颜色 4 2 2 2" xfId="9274"/>
    <cellStyle name="60% - 强调文字颜色 4 2 2 2 2" xfId="9275"/>
    <cellStyle name="60% - 强调文字颜色 4 2 2 2 2 2" xfId="9277"/>
    <cellStyle name="60% - 强调文字颜色 4 2 2 2 2 2 2" xfId="9279"/>
    <cellStyle name="60% - 强调文字颜色 4 2 2 2 2 2 2 2" xfId="9283"/>
    <cellStyle name="60% - 强调文字颜色 4 2 2 2 2 2 2 3" xfId="9284"/>
    <cellStyle name="60% - 强调文字颜色 4 2 2 2 2 2 3" xfId="9285"/>
    <cellStyle name="60% - 强调文字颜色 4 2 2 2 2 3" xfId="7120"/>
    <cellStyle name="60% - 强调文字颜色 4 2 2 2 2 3 2" xfId="9289"/>
    <cellStyle name="60% - 强调文字颜色 4 2 2 2 2 3 3" xfId="9292"/>
    <cellStyle name="60% - 强调文字颜色 4 2 2 2 2 4" xfId="7125"/>
    <cellStyle name="60% - 强调文字颜色 4 2 2 2 3" xfId="9295"/>
    <cellStyle name="60% - 强调文字颜色 4 2 2 2 3 2" xfId="9297"/>
    <cellStyle name="60% - 强调文字颜色 4 2 2 2 3 2 2" xfId="7399"/>
    <cellStyle name="60% - 强调文字颜色 4 2 2 2 3 2 3" xfId="3932"/>
    <cellStyle name="60% - 强调文字颜色 4 2 2 2 3 3" xfId="9299"/>
    <cellStyle name="60% - 强调文字颜色 4 2 2 2 4" xfId="9301"/>
    <cellStyle name="60% - 强调文字颜色 4 2 2 2 4 2" xfId="9304"/>
    <cellStyle name="60% - 强调文字颜色 4 2 2 2 4 3" xfId="7583"/>
    <cellStyle name="60% - 强调文字颜色 4 2 2 2 5" xfId="9306"/>
    <cellStyle name="60% - 强调文字颜色 4 2 2 3" xfId="9307"/>
    <cellStyle name="60% - 强调文字颜色 4 2 2 3 2" xfId="6604"/>
    <cellStyle name="60% - 强调文字颜色 4 2 2 3 2 2" xfId="9315"/>
    <cellStyle name="60% - 强调文字颜色 4 2 2 3 2 2 2" xfId="1953"/>
    <cellStyle name="60% - 强调文字颜色 4 2 2 3 2 2 3" xfId="9324"/>
    <cellStyle name="60% - 强调文字颜色 4 2 2 3 2 3" xfId="9331"/>
    <cellStyle name="60% - 强调文字颜色 4 2 2 3 3" xfId="4181"/>
    <cellStyle name="60% - 强调文字颜色 4 2 2 3 3 2" xfId="9337"/>
    <cellStyle name="60% - 强调文字颜色 4 2 2 3 3 3" xfId="9343"/>
    <cellStyle name="60% - 强调文字颜色 4 2 2 3 4" xfId="4188"/>
    <cellStyle name="60% - 强调文字颜色 4 2 2 4" xfId="6739"/>
    <cellStyle name="60% - 强调文字颜色 4 2 2 4 2" xfId="6425"/>
    <cellStyle name="60% - 强调文字颜色 4 2 2 4 2 2" xfId="2841"/>
    <cellStyle name="60% - 强调文字颜色 4 2 2 4 2 2 2" xfId="9350"/>
    <cellStyle name="60% - 强调文字颜色 4 2 2 4 2 2 3" xfId="9358"/>
    <cellStyle name="60% - 强调文字颜色 4 2 2 4 2 3" xfId="1944"/>
    <cellStyle name="60% - 强调文字颜色 4 2 2 4 3" xfId="6744"/>
    <cellStyle name="60% - 强调文字颜色 4 2 2 4 3 2" xfId="9362"/>
    <cellStyle name="60% - 强调文字颜色 4 2 2 4 3 3" xfId="9373"/>
    <cellStyle name="60% - 强调文字颜色 4 2 2 4 4" xfId="7394"/>
    <cellStyle name="60% - 强调文字颜色 4 2 2 5" xfId="6750"/>
    <cellStyle name="60% - 强调文字颜色 4 2 2 5 2" xfId="7059"/>
    <cellStyle name="60% - 强调文字颜色 4 2 2 5 2 2" xfId="8089"/>
    <cellStyle name="60% - 强调文字颜色 4 2 2 5 2 3" xfId="8097"/>
    <cellStyle name="60% - 强调文字颜色 4 2 2 5 3" xfId="5008"/>
    <cellStyle name="60% - 强调文字颜色 4 2 2 6" xfId="7066"/>
    <cellStyle name="60% - 强调文字颜色 4 2 2 6 2" xfId="8125"/>
    <cellStyle name="60% - 强调文字颜色 4 2 2 6 3" xfId="8513"/>
    <cellStyle name="60% - 强调文字颜色 4 2 2 7" xfId="8522"/>
    <cellStyle name="60% - 强调文字颜色 4 2 3" xfId="9375"/>
    <cellStyle name="60% - 强调文字颜色 4 2 3 2" xfId="9378"/>
    <cellStyle name="60% - 强调文字颜色 4 2 3 2 2" xfId="9379"/>
    <cellStyle name="60% - 强调文字颜色 4 2 3 2 2 2" xfId="9019"/>
    <cellStyle name="60% - 强调文字颜色 4 2 3 2 2 2 2" xfId="9381"/>
    <cellStyle name="60% - 强调文字颜色 4 2 3 2 2 2 2 2" xfId="9382"/>
    <cellStyle name="60% - 强调文字颜色 4 2 3 2 2 2 2 3" xfId="9383"/>
    <cellStyle name="60% - 强调文字颜色 4 2 3 2 2 2 3" xfId="9385"/>
    <cellStyle name="60% - 强调文字颜色 4 2 3 2 2 3" xfId="9386"/>
    <cellStyle name="60% - 强调文字颜色 4 2 3 2 2 3 2" xfId="9387"/>
    <cellStyle name="60% - 强调文字颜色 4 2 3 2 2 3 3" xfId="9388"/>
    <cellStyle name="60% - 强调文字颜色 4 2 3 2 2 4" xfId="9390"/>
    <cellStyle name="60% - 强调文字颜色 4 2 3 2 3" xfId="9391"/>
    <cellStyle name="60% - 强调文字颜色 4 2 3 2 3 2" xfId="9394"/>
    <cellStyle name="60% - 强调文字颜色 4 2 3 2 3 2 2" xfId="9397"/>
    <cellStyle name="60% - 强调文字颜色 4 2 3 2 3 2 3" xfId="9400"/>
    <cellStyle name="60% - 强调文字颜色 4 2 3 2 3 3" xfId="9402"/>
    <cellStyle name="60% - 强调文字颜色 4 2 3 2 4" xfId="9403"/>
    <cellStyle name="60% - 强调文字颜色 4 2 3 2 4 2" xfId="9407"/>
    <cellStyle name="60% - 强调文字颜色 4 2 3 2 4 3" xfId="9410"/>
    <cellStyle name="60% - 强调文字颜色 4 2 3 2 5" xfId="9411"/>
    <cellStyle name="60% - 强调文字颜色 4 2 3 3" xfId="9412"/>
    <cellStyle name="60% - 强调文字颜色 4 2 3 3 2" xfId="573"/>
    <cellStyle name="60% - 强调文字颜色 4 2 3 3 2 2" xfId="443"/>
    <cellStyle name="60% - 强调文字颜色 4 2 3 3 2 2 2" xfId="580"/>
    <cellStyle name="60% - 强调文字颜色 4 2 3 3 2 2 3" xfId="592"/>
    <cellStyle name="60% - 强调文字颜色 4 2 3 3 2 3" xfId="364"/>
    <cellStyle name="60% - 强调文字颜色 4 2 3 3 3" xfId="390"/>
    <cellStyle name="60% - 强调文字颜色 4 2 3 3 3 2" xfId="598"/>
    <cellStyle name="60% - 强调文字颜色 4 2 3 3 3 3" xfId="605"/>
    <cellStyle name="60% - 强调文字颜色 4 2 3 3 4" xfId="406"/>
    <cellStyle name="60% - 强调文字颜色 4 2 3 4" xfId="5263"/>
    <cellStyle name="60% - 强调文字颜色 4 2 3 4 2" xfId="664"/>
    <cellStyle name="60% - 强调文字颜色 4 2 3 4 2 2" xfId="669"/>
    <cellStyle name="60% - 强调文字颜色 4 2 3 4 2 2 2" xfId="110"/>
    <cellStyle name="60% - 强调文字颜色 4 2 3 4 2 2 3" xfId="230"/>
    <cellStyle name="60% - 强调文字颜色 4 2 3 4 2 3" xfId="691"/>
    <cellStyle name="60% - 强调文字颜色 4 2 3 4 3" xfId="701"/>
    <cellStyle name="60% - 强调文字颜色 4 2 3 4 3 2" xfId="9415"/>
    <cellStyle name="60% - 强调文字颜色 4 2 3 4 3 3" xfId="9426"/>
    <cellStyle name="60% - 强调文字颜色 4 2 3 4 4" xfId="9432"/>
    <cellStyle name="60% - 强调文字颜色 4 2 3 5" xfId="6762"/>
    <cellStyle name="60% - 强调文字颜色 4 2 3 5 2" xfId="799"/>
    <cellStyle name="60% - 强调文字颜色 4 2 3 5 2 2" xfId="811"/>
    <cellStyle name="60% - 强调文字颜色 4 2 3 5 2 3" xfId="832"/>
    <cellStyle name="60% - 强调文字颜色 4 2 3 5 3" xfId="847"/>
    <cellStyle name="60% - 强调文字颜色 4 2 3 6" xfId="8529"/>
    <cellStyle name="60% - 强调文字颜色 4 2 3 6 2" xfId="889"/>
    <cellStyle name="60% - 强调文字颜色 4 2 3 6 3" xfId="9435"/>
    <cellStyle name="60% - 强调文字颜色 4 2 3 7" xfId="8533"/>
    <cellStyle name="60% - 强调文字颜色 4 2 4" xfId="9437"/>
    <cellStyle name="60% - 强调文字颜色 4 2 4 2" xfId="9440"/>
    <cellStyle name="60% - 强调文字颜色 4 2 4 2 2" xfId="9442"/>
    <cellStyle name="60% - 强调文字颜色 4 2 4 2 2 2" xfId="9128"/>
    <cellStyle name="60% - 强调文字颜色 4 2 4 2 2 2 2" xfId="9450"/>
    <cellStyle name="60% - 强调文字颜色 4 2 4 2 2 2 2 2" xfId="9453"/>
    <cellStyle name="60% - 强调文字颜色 4 2 4 2 2 2 2 3" xfId="9455"/>
    <cellStyle name="60% - 强调文字颜色 4 2 4 2 2 2 3" xfId="9458"/>
    <cellStyle name="60% - 强调文字颜色 4 2 4 2 2 3" xfId="9459"/>
    <cellStyle name="60% - 强调文字颜色 4 2 4 2 2 3 2" xfId="9462"/>
    <cellStyle name="60% - 强调文字颜色 4 2 4 2 2 3 3" xfId="9464"/>
    <cellStyle name="60% - 强调文字颜色 4 2 4 2 2 4" xfId="9467"/>
    <cellStyle name="60% - 强调文字颜色 4 2 4 2 3" xfId="9469"/>
    <cellStyle name="60% - 强调文字颜色 4 2 4 2 3 2" xfId="9472"/>
    <cellStyle name="60% - 强调文字颜色 4 2 4 2 3 2 2" xfId="9477"/>
    <cellStyle name="60% - 强调文字颜色 4 2 4 2 3 2 3" xfId="9482"/>
    <cellStyle name="60% - 强调文字颜色 4 2 4 2 3 3" xfId="7090"/>
    <cellStyle name="60% - 强调文字颜色 4 2 4 2 4" xfId="2860"/>
    <cellStyle name="60% - 强调文字颜色 4 2 4 2 4 2" xfId="762"/>
    <cellStyle name="60% - 强调文字颜色 4 2 4 2 4 3" xfId="2563"/>
    <cellStyle name="60% - 强调文字颜色 4 2 4 2 5" xfId="2865"/>
    <cellStyle name="60% - 强调文字颜色 4 2 4 3" xfId="9484"/>
    <cellStyle name="60% - 强调文字颜色 4 2 4 3 2" xfId="1023"/>
    <cellStyle name="60% - 强调文字颜色 4 2 4 3 2 2" xfId="1036"/>
    <cellStyle name="60% - 强调文字颜色 4 2 4 3 2 2 2" xfId="473"/>
    <cellStyle name="60% - 强调文字颜色 4 2 4 3 2 2 3" xfId="499"/>
    <cellStyle name="60% - 强调文字颜色 4 2 4 3 2 3" xfId="1053"/>
    <cellStyle name="60% - 强调文字颜色 4 2 4 3 3" xfId="1056"/>
    <cellStyle name="60% - 强调文字颜色 4 2 4 3 3 2" xfId="1065"/>
    <cellStyle name="60% - 强调文字颜色 4 2 4 3 3 3" xfId="1078"/>
    <cellStyle name="60% - 强调文字颜色 4 2 4 3 4" xfId="1084"/>
    <cellStyle name="60% - 强调文字颜色 4 2 4 4" xfId="502"/>
    <cellStyle name="60% - 强调文字颜色 4 2 4 4 2" xfId="1126"/>
    <cellStyle name="60% - 强调文字颜色 4 2 4 4 2 2" xfId="1130"/>
    <cellStyle name="60% - 强调文字颜色 4 2 4 4 2 2 2" xfId="9486"/>
    <cellStyle name="60% - 强调文字颜色 4 2 4 4 2 2 3" xfId="9488"/>
    <cellStyle name="60% - 强调文字颜色 4 2 4 4 2 3" xfId="1145"/>
    <cellStyle name="60% - 强调文字颜色 4 2 4 4 3" xfId="1160"/>
    <cellStyle name="60% - 强调文字颜色 4 2 4 4 3 2" xfId="9493"/>
    <cellStyle name="60% - 强调文字颜色 4 2 4 4 3 3" xfId="3002"/>
    <cellStyle name="60% - 强调文字颜色 4 2 4 4 4" xfId="2910"/>
    <cellStyle name="60% - 强调文字颜色 4 2 4 5" xfId="2646"/>
    <cellStyle name="60% - 强调文字颜色 4 2 4 5 2" xfId="1216"/>
    <cellStyle name="60% - 强调文字颜色 4 2 4 5 2 2" xfId="1221"/>
    <cellStyle name="60% - 强调文字颜色 4 2 4 5 2 3" xfId="1232"/>
    <cellStyle name="60% - 强调文字颜色 4 2 4 5 3" xfId="1248"/>
    <cellStyle name="60% - 强调文字颜色 4 2 4 6" xfId="9496"/>
    <cellStyle name="60% - 强调文字颜色 4 2 4 6 2" xfId="642"/>
    <cellStyle name="60% - 强调文字颜色 4 2 4 6 3" xfId="9499"/>
    <cellStyle name="60% - 强调文字颜色 4 2 4 7" xfId="9500"/>
    <cellStyle name="60% - 强调文字颜色 4 2 5" xfId="5190"/>
    <cellStyle name="60% - 强调文字颜色 4 2 5 2" xfId="1326"/>
    <cellStyle name="60% - 强调文字颜色 4 2 5 2 2" xfId="5143"/>
    <cellStyle name="60% - 强调文字颜色 4 2 5 2 2 2" xfId="9221"/>
    <cellStyle name="60% - 强调文字颜色 4 2 5 2 2 2 2" xfId="9501"/>
    <cellStyle name="60% - 强调文字颜色 4 2 5 2 2 2 3" xfId="9505"/>
    <cellStyle name="60% - 强调文字颜色 4 2 5 2 2 3" xfId="9507"/>
    <cellStyle name="60% - 强调文字颜色 4 2 5 2 3" xfId="5153"/>
    <cellStyle name="60% - 强调文字颜色 4 2 5 2 3 2" xfId="9509"/>
    <cellStyle name="60% - 强调文字颜色 4 2 5 2 3 3" xfId="9511"/>
    <cellStyle name="60% - 强调文字颜色 4 2 5 2 4" xfId="5689"/>
    <cellStyle name="60% - 强调文字颜色 4 2 5 3" xfId="5162"/>
    <cellStyle name="60% - 强调文字颜色 4 2 5 3 2" xfId="1377"/>
    <cellStyle name="60% - 强调文字颜色 4 2 5 3 2 2" xfId="181"/>
    <cellStyle name="60% - 强调文字颜色 4 2 5 3 2 3" xfId="98"/>
    <cellStyle name="60% - 强调文字颜色 4 2 5 3 3" xfId="1396"/>
    <cellStyle name="60% - 强调文字颜色 4 2 5 4" xfId="9513"/>
    <cellStyle name="60% - 强调文字颜色 4 2 5 4 2" xfId="1448"/>
    <cellStyle name="60% - 强调文字颜色 4 2 5 4 3" xfId="153"/>
    <cellStyle name="60% - 强调文字颜色 4 2 5 5" xfId="9518"/>
    <cellStyle name="60% - 强调文字颜色 4 2 6" xfId="5200"/>
    <cellStyle name="60% - 强调文字颜色 4 2 6 2" xfId="5201"/>
    <cellStyle name="60% - 强调文字颜色 4 2 6 2 2" xfId="9521"/>
    <cellStyle name="60% - 强调文字颜色 4 2 6 2 2 2" xfId="9522"/>
    <cellStyle name="60% - 强调文字颜色 4 2 6 2 2 3" xfId="9525"/>
    <cellStyle name="60% - 强调文字颜色 4 2 6 2 3" xfId="9528"/>
    <cellStyle name="60% - 强调文字颜色 4 2 6 3" xfId="5205"/>
    <cellStyle name="60% - 强调文字颜色 4 2 6 3 2" xfId="1676"/>
    <cellStyle name="60% - 强调文字颜色 4 2 6 3 3" xfId="1707"/>
    <cellStyle name="60% - 强调文字颜色 4 2 6 4" xfId="7476"/>
    <cellStyle name="60% - 强调文字颜色 4 2 7" xfId="5214"/>
    <cellStyle name="60% - 强调文字颜色 4 2 7 2" xfId="6630"/>
    <cellStyle name="60% - 强调文字颜色 4 2 7 2 2" xfId="6641"/>
    <cellStyle name="60% - 强调文字颜色 4 2 7 2 2 2" xfId="6647"/>
    <cellStyle name="60% - 强调文字颜色 4 2 7 2 2 3" xfId="6676"/>
    <cellStyle name="60% - 强调文字颜色 4 2 7 2 3" xfId="6697"/>
    <cellStyle name="60% - 强调文字颜色 4 2 7 3" xfId="6735"/>
    <cellStyle name="60% - 强调文字颜色 4 2 7 3 2" xfId="1824"/>
    <cellStyle name="60% - 强调文字颜色 4 2 7 3 3" xfId="6759"/>
    <cellStyle name="60% - 强调文字颜色 4 2 7 4" xfId="6773"/>
    <cellStyle name="60% - 强调文字颜色 4 2 8" xfId="6804"/>
    <cellStyle name="60% - 强调文字颜色 4 2 8 2" xfId="6809"/>
    <cellStyle name="60% - 强调文字颜色 4 2 8 2 2" xfId="6814"/>
    <cellStyle name="60% - 强调文字颜色 4 2 8 2 3" xfId="6838"/>
    <cellStyle name="60% - 强调文字颜色 4 2 8 3" xfId="6879"/>
    <cellStyle name="60% - 强调文字颜色 4 2 9" xfId="6627"/>
    <cellStyle name="60% - 强调文字颜色 4 2 9 2" xfId="6636"/>
    <cellStyle name="60% - 强调文字颜色 5 2" xfId="9532"/>
    <cellStyle name="60% - 强调文字颜色 5 2 10" xfId="4256"/>
    <cellStyle name="60% - 强调文字颜色 5 2 2" xfId="9534"/>
    <cellStyle name="60% - 强调文字颜色 5 2 2 2" xfId="9536"/>
    <cellStyle name="60% - 强调文字颜色 5 2 2 2 2" xfId="9540"/>
    <cellStyle name="60% - 强调文字颜色 5 2 2 2 2 2" xfId="9544"/>
    <cellStyle name="60% - 强调文字颜色 5 2 2 2 2 2 2" xfId="9551"/>
    <cellStyle name="60% - 强调文字颜色 5 2 2 2 2 2 2 2" xfId="9557"/>
    <cellStyle name="60% - 强调文字颜色 5 2 2 2 2 2 2 3" xfId="8670"/>
    <cellStyle name="60% - 强调文字颜色 5 2 2 2 2 2 3" xfId="9563"/>
    <cellStyle name="60% - 强调文字颜色 5 2 2 2 2 3" xfId="9567"/>
    <cellStyle name="60% - 强调文字颜色 5 2 2 2 2 3 2" xfId="9570"/>
    <cellStyle name="60% - 强调文字颜色 5 2 2 2 2 3 3" xfId="9573"/>
    <cellStyle name="60% - 强调文字颜色 5 2 2 2 2 4" xfId="9576"/>
    <cellStyle name="60% - 强调文字颜色 5 2 2 2 3" xfId="8570"/>
    <cellStyle name="60% - 强调文字颜色 5 2 2 2 3 2" xfId="9578"/>
    <cellStyle name="60% - 强调文字颜色 5 2 2 2 3 2 2" xfId="9579"/>
    <cellStyle name="60% - 强调文字颜色 5 2 2 2 3 2 3" xfId="6157"/>
    <cellStyle name="60% - 强调文字颜色 5 2 2 2 3 3" xfId="9582"/>
    <cellStyle name="60% - 强调文字颜色 5 2 2 2 4" xfId="8575"/>
    <cellStyle name="60% - 强调文字颜色 5 2 2 2 4 2" xfId="9584"/>
    <cellStyle name="60% - 强调文字颜色 5 2 2 2 4 3" xfId="9586"/>
    <cellStyle name="60% - 强调文字颜色 5 2 2 2 5" xfId="9027"/>
    <cellStyle name="60% - 强调文字颜色 5 2 2 3" xfId="9588"/>
    <cellStyle name="60% - 强调文字颜色 5 2 2 3 2" xfId="6797"/>
    <cellStyle name="60% - 强调文字颜色 5 2 2 3 2 2" xfId="9594"/>
    <cellStyle name="60% - 强调文字颜色 5 2 2 3 2 2 2" xfId="9598"/>
    <cellStyle name="60% - 强调文字颜色 5 2 2 3 2 2 3" xfId="9605"/>
    <cellStyle name="60% - 强调文字颜色 5 2 2 3 2 3" xfId="5072"/>
    <cellStyle name="60% - 强调文字颜色 5 2 2 3 3" xfId="4421"/>
    <cellStyle name="60% - 强调文字颜色 5 2 2 3 3 2" xfId="9611"/>
    <cellStyle name="60% - 强调文字颜色 5 2 2 3 3 3" xfId="9618"/>
    <cellStyle name="60% - 强调文字颜色 5 2 2 3 4" xfId="4432"/>
    <cellStyle name="60% - 强调文字颜色 5 2 2 4" xfId="9620"/>
    <cellStyle name="60% - 强调文字颜色 5 2 2 4 2" xfId="5904"/>
    <cellStyle name="60% - 强调文字颜色 5 2 2 4 2 2" xfId="9622"/>
    <cellStyle name="60% - 强调文字颜色 5 2 2 4 2 2 2" xfId="9625"/>
    <cellStyle name="60% - 强调文字颜色 5 2 2 4 2 2 3" xfId="9630"/>
    <cellStyle name="60% - 强调文字颜色 5 2 2 4 2 3" xfId="9637"/>
    <cellStyle name="60% - 强调文字颜色 5 2 2 4 3" xfId="9641"/>
    <cellStyle name="60% - 强调文字颜色 5 2 2 4 3 2" xfId="9645"/>
    <cellStyle name="60% - 强调文字颜色 5 2 2 4 3 3" xfId="9651"/>
    <cellStyle name="60% - 强调文字颜色 5 2 2 4 4" xfId="9656"/>
    <cellStyle name="60% - 强调文字颜色 5 2 2 5" xfId="9657"/>
    <cellStyle name="60% - 强调文字颜色 5 2 2 5 2" xfId="8713"/>
    <cellStyle name="60% - 强调文字颜色 5 2 2 5 2 2" xfId="9660"/>
    <cellStyle name="60% - 强调文字颜色 5 2 2 5 2 3" xfId="9662"/>
    <cellStyle name="60% - 强调文字颜色 5 2 2 5 3" xfId="9665"/>
    <cellStyle name="60% - 强调文字颜色 5 2 2 6" xfId="9667"/>
    <cellStyle name="60% - 强调文字颜色 5 2 2 6 2" xfId="9670"/>
    <cellStyle name="60% - 强调文字颜色 5 2 2 6 3" xfId="9673"/>
    <cellStyle name="60% - 强调文字颜色 5 2 2 7" xfId="8159"/>
    <cellStyle name="60% - 强调文字颜色 5 2 3" xfId="9674"/>
    <cellStyle name="60% - 强调文字颜色 5 2 3 2" xfId="9676"/>
    <cellStyle name="60% - 强调文字颜色 5 2 3 2 2" xfId="9679"/>
    <cellStyle name="60% - 强调文字颜色 5 2 3 2 2 2" xfId="7123"/>
    <cellStyle name="60% - 强调文字颜色 5 2 3 2 2 2 2" xfId="9683"/>
    <cellStyle name="60% - 强调文字颜色 5 2 3 2 2 2 2 2" xfId="9685"/>
    <cellStyle name="60% - 强调文字颜色 5 2 3 2 2 2 2 3" xfId="8998"/>
    <cellStyle name="60% - 强调文字颜色 5 2 3 2 2 2 3" xfId="9688"/>
    <cellStyle name="60% - 强调文字颜色 5 2 3 2 2 3" xfId="9689"/>
    <cellStyle name="60% - 强调文字颜色 5 2 3 2 2 3 2" xfId="9692"/>
    <cellStyle name="60% - 强调文字颜色 5 2 3 2 2 3 3" xfId="9693"/>
    <cellStyle name="60% - 强调文字颜色 5 2 3 2 2 4" xfId="9695"/>
    <cellStyle name="60% - 强调文字颜色 5 2 3 2 3" xfId="9699"/>
    <cellStyle name="60% - 强调文字颜色 5 2 3 2 3 2" xfId="9702"/>
    <cellStyle name="60% - 强调文字颜色 5 2 3 2 3 2 2" xfId="9706"/>
    <cellStyle name="60% - 强调文字颜色 5 2 3 2 3 2 3" xfId="3960"/>
    <cellStyle name="60% - 强调文字颜色 5 2 3 2 3 3" xfId="9709"/>
    <cellStyle name="60% - 强调文字颜色 5 2 3 2 4" xfId="9713"/>
    <cellStyle name="60% - 强调文字颜色 5 2 3 2 4 2" xfId="7590"/>
    <cellStyle name="60% - 强调文字颜色 5 2 3 2 4 3" xfId="9719"/>
    <cellStyle name="60% - 强调文字颜色 5 2 3 2 5" xfId="9724"/>
    <cellStyle name="60% - 强调文字颜色 5 2 3 3" xfId="9726"/>
    <cellStyle name="60% - 强调文字颜色 5 2 3 3 2" xfId="2020"/>
    <cellStyle name="60% - 强调文字颜色 5 2 3 3 2 2" xfId="2040"/>
    <cellStyle name="60% - 强调文字颜色 5 2 3 3 2 2 2" xfId="2051"/>
    <cellStyle name="60% - 强调文字颜色 5 2 3 3 2 2 3" xfId="2057"/>
    <cellStyle name="60% - 强调文字颜色 5 2 3 3 2 3" xfId="2064"/>
    <cellStyle name="60% - 强调文字颜色 5 2 3 3 3" xfId="2076"/>
    <cellStyle name="60% - 强调文字颜色 5 2 3 3 3 2" xfId="2083"/>
    <cellStyle name="60% - 强调文字颜色 5 2 3 3 3 3" xfId="2090"/>
    <cellStyle name="60% - 强调文字颜色 5 2 3 3 4" xfId="1047"/>
    <cellStyle name="60% - 强调文字颜色 5 2 3 4" xfId="9728"/>
    <cellStyle name="60% - 强调文字颜色 5 2 3 4 2" xfId="2136"/>
    <cellStyle name="60% - 强调文字颜色 5 2 3 4 2 2" xfId="2151"/>
    <cellStyle name="60% - 强调文字颜色 5 2 3 4 2 2 2" xfId="5355"/>
    <cellStyle name="60% - 强调文字颜色 5 2 3 4 2 2 3" xfId="5368"/>
    <cellStyle name="60% - 强调文字颜色 5 2 3 4 2 3" xfId="2164"/>
    <cellStyle name="60% - 强调文字颜色 5 2 3 4 3" xfId="2171"/>
    <cellStyle name="60% - 强调文字颜色 5 2 3 4 3 2" xfId="9735"/>
    <cellStyle name="60% - 强调文字颜色 5 2 3 4 3 3" xfId="8618"/>
    <cellStyle name="60% - 强调文字颜色 5 2 3 4 4" xfId="9737"/>
    <cellStyle name="60% - 强调文字颜色 5 2 3 5" xfId="9738"/>
    <cellStyle name="60% - 强调文字颜色 5 2 3 5 2" xfId="2226"/>
    <cellStyle name="60% - 强调文字颜色 5 2 3 5 2 2" xfId="2240"/>
    <cellStyle name="60% - 强调文字颜色 5 2 3 5 2 3" xfId="2252"/>
    <cellStyle name="60% - 强调文字颜色 5 2 3 5 3" xfId="870"/>
    <cellStyle name="60% - 强调文字颜色 5 2 3 6" xfId="9739"/>
    <cellStyle name="60% - 强调文字颜色 5 2 3 6 2" xfId="2134"/>
    <cellStyle name="60% - 强调文字颜色 5 2 3 6 3" xfId="9742"/>
    <cellStyle name="60% - 强调文字颜色 5 2 3 7" xfId="8174"/>
    <cellStyle name="60% - 强调文字颜色 5 2 4" xfId="2298"/>
    <cellStyle name="60% - 强调文字颜色 5 2 4 2" xfId="2305"/>
    <cellStyle name="60% - 强调文字颜色 5 2 4 2 2" xfId="9744"/>
    <cellStyle name="60% - 强调文字颜色 5 2 4 2 2 2" xfId="9389"/>
    <cellStyle name="60% - 强调文字颜色 5 2 4 2 2 2 2" xfId="9749"/>
    <cellStyle name="60% - 强调文字颜色 5 2 4 2 2 2 2 2" xfId="9751"/>
    <cellStyle name="60% - 强调文字颜色 5 2 4 2 2 2 2 3" xfId="9278"/>
    <cellStyle name="60% - 强调文字颜色 5 2 4 2 2 2 3" xfId="9752"/>
    <cellStyle name="60% - 强调文字颜色 5 2 4 2 2 3" xfId="9753"/>
    <cellStyle name="60% - 强调文字颜色 5 2 4 2 2 3 2" xfId="9758"/>
    <cellStyle name="60% - 强调文字颜色 5 2 4 2 2 3 3" xfId="9763"/>
    <cellStyle name="60% - 强调文字颜色 5 2 4 2 2 4" xfId="9766"/>
    <cellStyle name="60% - 强调文字颜色 5 2 4 2 3" xfId="9768"/>
    <cellStyle name="60% - 强调文字颜色 5 2 4 2 3 2" xfId="9772"/>
    <cellStyle name="60% - 强调文字颜色 5 2 4 2 3 2 2" xfId="9776"/>
    <cellStyle name="60% - 强调文字颜色 5 2 4 2 3 2 3" xfId="9780"/>
    <cellStyle name="60% - 强调文字颜色 5 2 4 2 3 3" xfId="9782"/>
    <cellStyle name="60% - 强调文字颜色 5 2 4 2 4" xfId="8950"/>
    <cellStyle name="60% - 强调文字颜色 5 2 4 2 4 2" xfId="9785"/>
    <cellStyle name="60% - 强调文字颜色 5 2 4 2 4 3" xfId="9789"/>
    <cellStyle name="60% - 强调文字颜色 5 2 4 2 5" xfId="8953"/>
    <cellStyle name="60% - 强调文字颜色 5 2 4 3" xfId="2334"/>
    <cellStyle name="60% - 强调文字颜色 5 2 4 3 2" xfId="2367"/>
    <cellStyle name="60% - 强调文字颜色 5 2 4 3 2 2" xfId="289"/>
    <cellStyle name="60% - 强调文字颜色 5 2 4 3 2 2 2" xfId="2395"/>
    <cellStyle name="60% - 强调文字颜色 5 2 4 3 2 2 3" xfId="2407"/>
    <cellStyle name="60% - 强调文字颜色 5 2 4 3 2 3" xfId="2419"/>
    <cellStyle name="60% - 强调文字颜色 5 2 4 3 3" xfId="2424"/>
    <cellStyle name="60% - 强调文字颜色 5 2 4 3 3 2" xfId="2435"/>
    <cellStyle name="60% - 强调文字颜色 5 2 4 3 3 3" xfId="2448"/>
    <cellStyle name="60% - 强调文字颜色 5 2 4 3 4" xfId="1137"/>
    <cellStyle name="60% - 强调文字颜色 5 2 4 4" xfId="9793"/>
    <cellStyle name="60% - 强调文字颜色 5 2 4 4 2" xfId="2500"/>
    <cellStyle name="60% - 强调文字颜色 5 2 4 4 2 2" xfId="2516"/>
    <cellStyle name="60% - 强调文字颜色 5 2 4 4 2 2 2" xfId="9797"/>
    <cellStyle name="60% - 强调文字颜色 5 2 4 4 2 2 3" xfId="9802"/>
    <cellStyle name="60% - 强调文字颜色 5 2 4 4 2 3" xfId="2534"/>
    <cellStyle name="60% - 强调文字颜色 5 2 4 4 3" xfId="2542"/>
    <cellStyle name="60% - 强调文字颜色 5 2 4 4 3 2" xfId="9813"/>
    <cellStyle name="60% - 强调文字颜色 5 2 4 4 3 3" xfId="5773"/>
    <cellStyle name="60% - 强调文字颜色 5 2 4 4 4" xfId="124"/>
    <cellStyle name="60% - 强调文字颜色 5 2 4 5" xfId="9814"/>
    <cellStyle name="60% - 强调文字颜色 5 2 4 5 2" xfId="2579"/>
    <cellStyle name="60% - 强调文字颜色 5 2 4 5 2 2" xfId="2597"/>
    <cellStyle name="60% - 强调文字颜色 5 2 4 5 2 3" xfId="2605"/>
    <cellStyle name="60% - 强调文字颜色 5 2 4 5 3" xfId="2615"/>
    <cellStyle name="60% - 强调文字颜色 5 2 4 6" xfId="9815"/>
    <cellStyle name="60% - 强调文字颜色 5 2 4 6 2" xfId="420"/>
    <cellStyle name="60% - 强调文字颜色 5 2 4 6 3" xfId="9818"/>
    <cellStyle name="60% - 强调文字颜色 5 2 4 7" xfId="9819"/>
    <cellStyle name="60% - 强调文字颜色 5 2 5" xfId="1388"/>
    <cellStyle name="60% - 强调文字颜色 5 2 5 2" xfId="9821"/>
    <cellStyle name="60% - 强调文字颜色 5 2 5 2 2" xfId="9826"/>
    <cellStyle name="60% - 强调文字颜色 5 2 5 2 2 2" xfId="9465"/>
    <cellStyle name="60% - 强调文字颜色 5 2 5 2 2 2 2" xfId="9828"/>
    <cellStyle name="60% - 强调文字颜色 5 2 5 2 2 2 3" xfId="9829"/>
    <cellStyle name="60% - 强调文字颜色 5 2 5 2 2 3" xfId="9830"/>
    <cellStyle name="60% - 强调文字颜色 5 2 5 2 3" xfId="9836"/>
    <cellStyle name="60% - 强调文字颜色 5 2 5 2 3 2" xfId="7117"/>
    <cellStyle name="60% - 强调文字颜色 5 2 5 2 3 3" xfId="1354"/>
    <cellStyle name="60% - 强调文字颜色 5 2 5 2 4" xfId="9840"/>
    <cellStyle name="60% - 强调文字颜色 5 2 5 3" xfId="9843"/>
    <cellStyle name="60% - 强调文字颜色 5 2 5 3 2" xfId="76"/>
    <cellStyle name="60% - 强调文字颜色 5 2 5 3 2 2" xfId="2290"/>
    <cellStyle name="60% - 强调文字颜色 5 2 5 3 2 3" xfId="1382"/>
    <cellStyle name="60% - 强调文字颜色 5 2 5 3 3" xfId="2341"/>
    <cellStyle name="60% - 强调文字颜色 5 2 5 4" xfId="9848"/>
    <cellStyle name="60% - 强调文字颜色 5 2 5 4 2" xfId="283"/>
    <cellStyle name="60% - 强调文字颜色 5 2 5 4 3" xfId="2410"/>
    <cellStyle name="60% - 强调文字颜色 5 2 5 5" xfId="9851"/>
    <cellStyle name="60% - 强调文字颜色 5 2 6" xfId="9853"/>
    <cellStyle name="60% - 强调文字颜色 5 2 6 2" xfId="4345"/>
    <cellStyle name="60% - 强调文字颜色 5 2 6 2 2" xfId="9859"/>
    <cellStyle name="60% - 强调文字颜色 5 2 6 2 2 2" xfId="9861"/>
    <cellStyle name="60% - 强调文字颜色 5 2 6 2 2 3" xfId="1426"/>
    <cellStyle name="60% - 强调文字颜色 5 2 6 2 3" xfId="9866"/>
    <cellStyle name="60% - 强调文字颜色 5 2 6 3" xfId="7645"/>
    <cellStyle name="60% - 强调文字颜色 5 2 6 3 2" xfId="2469"/>
    <cellStyle name="60% - 强调文字颜色 5 2 6 3 3" xfId="2482"/>
    <cellStyle name="60% - 强调文字颜色 5 2 6 4" xfId="7652"/>
    <cellStyle name="60% - 强调文字颜色 5 2 7" xfId="7080"/>
    <cellStyle name="60% - 强调文字颜色 5 2 7 2" xfId="4374"/>
    <cellStyle name="60% - 强调文字颜色 5 2 7 2 2" xfId="7086"/>
    <cellStyle name="60% - 强调文字颜色 5 2 7 2 2 2" xfId="7092"/>
    <cellStyle name="60% - 强调文字颜色 5 2 7 2 2 3" xfId="1508"/>
    <cellStyle name="60% - 强调文字颜色 5 2 7 2 3" xfId="7109"/>
    <cellStyle name="60% - 强调文字颜色 5 2 7 3" xfId="7139"/>
    <cellStyle name="60% - 强调文字颜色 5 2 7 3 2" xfId="2556"/>
    <cellStyle name="60% - 强调文字颜色 5 2 7 3 3" xfId="7151"/>
    <cellStyle name="60% - 强调文字颜色 5 2 7 4" xfId="4317"/>
    <cellStyle name="60% - 强调文字颜色 5 2 8" xfId="7163"/>
    <cellStyle name="60% - 强调文字颜色 5 2 8 2" xfId="372"/>
    <cellStyle name="60% - 强调文字颜色 5 2 8 2 2" xfId="1073"/>
    <cellStyle name="60% - 强调文字颜色 5 2 8 2 3" xfId="2352"/>
    <cellStyle name="60% - 强调文字颜色 5 2 8 3" xfId="309"/>
    <cellStyle name="60% - 强调文字颜色 5 2 9" xfId="7214"/>
    <cellStyle name="60% - 强调文字颜色 5 2 9 2" xfId="7220"/>
    <cellStyle name="60% - 强调文字颜色 6 2" xfId="9868"/>
    <cellStyle name="60% - 强调文字颜色 6 2 10" xfId="4475"/>
    <cellStyle name="60% - 强调文字颜色 6 2 2" xfId="9869"/>
    <cellStyle name="60% - 强调文字颜色 6 2 2 2" xfId="1635"/>
    <cellStyle name="60% - 强调文字颜色 6 2 2 2 2" xfId="9870"/>
    <cellStyle name="60% - 强调文字颜色 6 2 2 2 2 2" xfId="9872"/>
    <cellStyle name="60% - 强调文字颜色 6 2 2 2 2 2 2" xfId="9874"/>
    <cellStyle name="60% - 强调文字颜色 6 2 2 2 2 2 2 2" xfId="9880"/>
    <cellStyle name="60% - 强调文字颜色 6 2 2 2 2 2 2 3" xfId="8368"/>
    <cellStyle name="60% - 强调文字颜色 6 2 2 2 2 2 3" xfId="9883"/>
    <cellStyle name="60% - 强调文字颜色 6 2 2 2 2 3" xfId="9288"/>
    <cellStyle name="60% - 强调文字颜色 6 2 2 2 2 3 2" xfId="9885"/>
    <cellStyle name="60% - 强调文字颜色 6 2 2 2 2 3 3" xfId="9887"/>
    <cellStyle name="60% - 强调文字颜色 6 2 2 2 2 4" xfId="9291"/>
    <cellStyle name="60% - 强调文字颜色 6 2 2 2 3" xfId="8964"/>
    <cellStyle name="60% - 强调文字颜色 6 2 2 2 3 2" xfId="9890"/>
    <cellStyle name="60% - 强调文字颜色 6 2 2 2 3 2 2" xfId="9892"/>
    <cellStyle name="60% - 强调文字颜色 6 2 2 2 3 2 3" xfId="9893"/>
    <cellStyle name="60% - 强调文字颜色 6 2 2 2 3 3" xfId="9680"/>
    <cellStyle name="60% - 强调文字颜色 6 2 2 2 4" xfId="8968"/>
    <cellStyle name="60% - 强调文字颜色 6 2 2 2 4 2" xfId="9897"/>
    <cellStyle name="60% - 强调文字颜色 6 2 2 2 4 3" xfId="9691"/>
    <cellStyle name="60% - 强调文字颜色 6 2 2 2 5" xfId="9138"/>
    <cellStyle name="60% - 强调文字颜色 6 2 2 3" xfId="9898"/>
    <cellStyle name="60% - 强调文字颜色 6 2 2 3 2" xfId="7402"/>
    <cellStyle name="60% - 强调文字颜色 6 2 2 3 2 2" xfId="90"/>
    <cellStyle name="60% - 强调文字颜色 6 2 2 3 2 2 2" xfId="9900"/>
    <cellStyle name="60% - 强调文字颜色 6 2 2 3 2 2 3" xfId="9907"/>
    <cellStyle name="60% - 强调文字颜色 6 2 2 3 2 3" xfId="9908"/>
    <cellStyle name="60% - 强调文字颜色 6 2 2 3 3" xfId="9909"/>
    <cellStyle name="60% - 强调文字颜色 6 2 2 3 3 2" xfId="9910"/>
    <cellStyle name="60% - 强调文字颜色 6 2 2 3 3 3" xfId="9703"/>
    <cellStyle name="60% - 强调文字颜色 6 2 2 3 4" xfId="9911"/>
    <cellStyle name="60% - 强调文字颜色 6 2 2 4" xfId="6700"/>
    <cellStyle name="60% - 强调文字颜色 6 2 2 4 2" xfId="6989"/>
    <cellStyle name="60% - 强调文字颜色 6 2 2 4 2 2" xfId="7437"/>
    <cellStyle name="60% - 强调文字颜色 6 2 2 4 2 2 2" xfId="9916"/>
    <cellStyle name="60% - 强调文字颜色 6 2 2 4 2 2 3" xfId="9921"/>
    <cellStyle name="60% - 强调文字颜色 6 2 2 4 2 3" xfId="9924"/>
    <cellStyle name="60% - 强调文字颜色 6 2 2 4 3" xfId="9931"/>
    <cellStyle name="60% - 强调文字颜色 6 2 2 4 3 2" xfId="9933"/>
    <cellStyle name="60% - 强调文字颜色 6 2 2 4 3 3" xfId="9939"/>
    <cellStyle name="60% - 强调文字颜色 6 2 2 4 4" xfId="9941"/>
    <cellStyle name="60% - 强调文字颜色 6 2 2 5" xfId="6707"/>
    <cellStyle name="60% - 强调文字颜色 6 2 2 5 2" xfId="1901"/>
    <cellStyle name="60% - 强调文字颜色 6 2 2 5 2 2" xfId="1909"/>
    <cellStyle name="60% - 强调文字颜色 6 2 2 5 2 3" xfId="9945"/>
    <cellStyle name="60% - 强调文字颜色 6 2 2 5 3" xfId="9524"/>
    <cellStyle name="60% - 强调文字颜色 6 2 2 6" xfId="9948"/>
    <cellStyle name="60% - 强调文字颜色 6 2 2 6 2" xfId="9262"/>
    <cellStyle name="60% - 强调文字颜色 6 2 2 6 3" xfId="9950"/>
    <cellStyle name="60% - 强调文字颜色 6 2 2 7" xfId="9952"/>
    <cellStyle name="60% - 强调文字颜色 6 2 3" xfId="9953"/>
    <cellStyle name="60% - 强调文字颜色 6 2 3 2" xfId="2805"/>
    <cellStyle name="60% - 强调文字颜色 6 2 3 2 2" xfId="7684"/>
    <cellStyle name="60% - 强调文字颜色 6 2 3 2 2 2" xfId="9574"/>
    <cellStyle name="60% - 强调文字颜色 6 2 3 2 2 2 2" xfId="9955"/>
    <cellStyle name="60% - 强调文字颜色 6 2 3 2 2 2 2 2" xfId="9957"/>
    <cellStyle name="60% - 强调文字颜色 6 2 3 2 2 2 2 3" xfId="8715"/>
    <cellStyle name="60% - 强调文字颜色 6 2 3 2 2 2 3" xfId="9959"/>
    <cellStyle name="60% - 强调文字颜色 6 2 3 2 2 3" xfId="9960"/>
    <cellStyle name="60% - 强调文字颜色 6 2 3 2 2 3 2" xfId="9964"/>
    <cellStyle name="60% - 强调文字颜色 6 2 3 2 2 3 3" xfId="9966"/>
    <cellStyle name="60% - 强调文字颜色 6 2 3 2 2 4" xfId="9970"/>
    <cellStyle name="60% - 强调文字颜色 6 2 3 2 3" xfId="9973"/>
    <cellStyle name="60% - 强调文字颜色 6 2 3 2 3 2" xfId="9974"/>
    <cellStyle name="60% - 强调文字颜色 6 2 3 2 3 2 2" xfId="9978"/>
    <cellStyle name="60% - 强调文字颜色 6 2 3 2 3 2 3" xfId="9981"/>
    <cellStyle name="60% - 强调文字颜色 6 2 3 2 3 3" xfId="2045"/>
    <cellStyle name="60% - 强调文字颜色 6 2 3 2 4" xfId="9982"/>
    <cellStyle name="60% - 强调文字颜色 6 2 3 2 4 2" xfId="9983"/>
    <cellStyle name="60% - 强调文字颜色 6 2 3 2 4 3" xfId="9985"/>
    <cellStyle name="60% - 强调文字颜色 6 2 3 2 5" xfId="9989"/>
    <cellStyle name="60% - 强调文字颜色 6 2 3 3" xfId="9990"/>
    <cellStyle name="60% - 强调文字颜色 6 2 3 3 2" xfId="3017"/>
    <cellStyle name="60% - 强调文字颜色 6 2 3 3 2 2" xfId="3028"/>
    <cellStyle name="60% - 强调文字颜色 6 2 3 3 2 2 2" xfId="1237"/>
    <cellStyle name="60% - 强调文字颜色 6 2 3 3 2 2 3" xfId="2770"/>
    <cellStyle name="60% - 强调文字颜色 6 2 3 3 2 3" xfId="3039"/>
    <cellStyle name="60% - 强调文字颜色 6 2 3 3 3" xfId="89"/>
    <cellStyle name="60% - 强调文字颜色 6 2 3 3 3 2" xfId="1801"/>
    <cellStyle name="60% - 强调文字颜色 6 2 3 3 3 3" xfId="1809"/>
    <cellStyle name="60% - 强调文字颜色 6 2 3 3 4" xfId="1813"/>
    <cellStyle name="60% - 强调文字颜色 6 2 3 4" xfId="9992"/>
    <cellStyle name="60% - 强调文字颜色 6 2 3 4 2" xfId="3066"/>
    <cellStyle name="60% - 强调文字颜色 6 2 3 4 2 2" xfId="3078"/>
    <cellStyle name="60% - 强调文字颜色 6 2 3 4 2 2 2" xfId="9995"/>
    <cellStyle name="60% - 强调文字颜色 6 2 3 4 2 2 3" xfId="10002"/>
    <cellStyle name="60% - 强调文字颜色 6 2 3 4 2 3" xfId="278"/>
    <cellStyle name="60% - 强调文字颜色 6 2 3 4 3" xfId="1646"/>
    <cellStyle name="60% - 强调文字颜色 6 2 3 4 3 2" xfId="555"/>
    <cellStyle name="60% - 强调文字颜色 6 2 3 4 3 3" xfId="1656"/>
    <cellStyle name="60% - 强调文字颜色 6 2 3 4 4" xfId="1666"/>
    <cellStyle name="60% - 强调文字颜色 6 2 3 5" xfId="10005"/>
    <cellStyle name="60% - 强调文字颜色 6 2 3 5 2" xfId="3135"/>
    <cellStyle name="60% - 强调文字颜色 6 2 3 5 2 2" xfId="241"/>
    <cellStyle name="60% - 强调文字颜色 6 2 3 5 2 3" xfId="3145"/>
    <cellStyle name="60% - 强调文字颜色 6 2 3 5 3" xfId="1682"/>
    <cellStyle name="60% - 强调文字颜色 6 2 3 6" xfId="216"/>
    <cellStyle name="60% - 强调文字颜色 6 2 3 6 2" xfId="3170"/>
    <cellStyle name="60% - 强调文字颜色 6 2 3 6 3" xfId="521"/>
    <cellStyle name="60% - 强调文字颜色 6 2 3 7" xfId="175"/>
    <cellStyle name="60% - 强调文字颜色 6 2 4" xfId="2396"/>
    <cellStyle name="60% - 强调文字颜色 6 2 4 2" xfId="10006"/>
    <cellStyle name="60% - 强调文字颜色 6 2 4 2 2" xfId="10008"/>
    <cellStyle name="60% - 强调文字颜色 6 2 4 2 2 2" xfId="9694"/>
    <cellStyle name="60% - 强调文字颜色 6 2 4 2 2 2 2" xfId="10009"/>
    <cellStyle name="60% - 强调文字颜色 6 2 4 2 2 2 2 2" xfId="10010"/>
    <cellStyle name="60% - 强调文字颜色 6 2 4 2 2 2 2 3" xfId="9067"/>
    <cellStyle name="60% - 强调文字颜色 6 2 4 2 2 2 3" xfId="10011"/>
    <cellStyle name="60% - 强调文字颜色 6 2 4 2 2 3" xfId="10012"/>
    <cellStyle name="60% - 强调文字颜色 6 2 4 2 2 3 2" xfId="10020"/>
    <cellStyle name="60% - 强调文字颜色 6 2 4 2 2 3 3" xfId="10025"/>
    <cellStyle name="60% - 强调文字颜色 6 2 4 2 2 4" xfId="10032"/>
    <cellStyle name="60% - 强调文字颜色 6 2 4 2 3" xfId="5308"/>
    <cellStyle name="60% - 强调文字颜色 6 2 4 2 3 2" xfId="5313"/>
    <cellStyle name="60% - 强调文字颜色 6 2 4 2 3 2 2" xfId="5326"/>
    <cellStyle name="60% - 强调文字颜色 6 2 4 2 3 2 3" xfId="5341"/>
    <cellStyle name="60% - 强调文字颜色 6 2 4 2 3 3" xfId="5345"/>
    <cellStyle name="60% - 强调文字颜色 6 2 4 2 4" xfId="5374"/>
    <cellStyle name="60% - 强调文字颜色 6 2 4 2 4 2" xfId="5381"/>
    <cellStyle name="60% - 强调文字颜色 6 2 4 2 4 3" xfId="5400"/>
    <cellStyle name="60% - 强调文字颜色 6 2 4 2 5" xfId="2007"/>
    <cellStyle name="60% - 强调文字颜色 6 2 4 3" xfId="10038"/>
    <cellStyle name="60% - 强调文字颜色 6 2 4 3 2" xfId="839"/>
    <cellStyle name="60% - 强调文字颜色 6 2 4 3 2 2" xfId="3222"/>
    <cellStyle name="60% - 强调文字颜色 6 2 4 3 2 2 2" xfId="3228"/>
    <cellStyle name="60% - 强调文字颜色 6 2 4 3 2 2 3" xfId="3234"/>
    <cellStyle name="60% - 强调文字颜色 6 2 4 3 2 3" xfId="3246"/>
    <cellStyle name="60% - 强调文字颜色 6 2 4 3 3" xfId="3248"/>
    <cellStyle name="60% - 强调文字颜色 6 2 4 3 3 2" xfId="1851"/>
    <cellStyle name="60% - 强调文字颜色 6 2 4 3 3 3" xfId="3273"/>
    <cellStyle name="60% - 强调文字颜色 6 2 4 3 4" xfId="3284"/>
    <cellStyle name="60% - 强调文字颜色 6 2 4 4" xfId="5521"/>
    <cellStyle name="60% - 强调文字颜色 6 2 4 4 2" xfId="3321"/>
    <cellStyle name="60% - 强调文字颜色 6 2 4 4 2 2" xfId="3331"/>
    <cellStyle name="60% - 强调文字颜色 6 2 4 4 2 2 2" xfId="8597"/>
    <cellStyle name="60% - 强调文字颜色 6 2 4 4 2 2 3" xfId="8599"/>
    <cellStyle name="60% - 强调文字颜色 6 2 4 4 2 3" xfId="3344"/>
    <cellStyle name="60% - 强调文字颜色 6 2 4 4 3" xfId="1728"/>
    <cellStyle name="60% - 强调文字颜色 6 2 4 4 3 2" xfId="8631"/>
    <cellStyle name="60% - 强调文字颜色 6 2 4 4 3 3" xfId="8636"/>
    <cellStyle name="60% - 强调文字颜色 6 2 4 4 4" xfId="963"/>
    <cellStyle name="60% - 强调文字颜色 6 2 4 5" xfId="5615"/>
    <cellStyle name="60% - 强调文字颜色 6 2 4 5 2" xfId="3399"/>
    <cellStyle name="60% - 强调文字颜色 6 2 4 5 2 2" xfId="3416"/>
    <cellStyle name="60% - 强调文字颜色 6 2 4 5 2 3" xfId="3427"/>
    <cellStyle name="60% - 强调文字颜色 6 2 4 5 3" xfId="3436"/>
    <cellStyle name="60% - 强调文字颜色 6 2 4 6" xfId="10041"/>
    <cellStyle name="60% - 强调文字颜色 6 2 4 6 2" xfId="3455"/>
    <cellStyle name="60% - 强调文字颜色 6 2 4 6 3" xfId="10042"/>
    <cellStyle name="60% - 强调文字颜色 6 2 4 7" xfId="10043"/>
    <cellStyle name="60% - 强调文字颜色 6 2 5" xfId="2408"/>
    <cellStyle name="60% - 强调文字颜色 6 2 5 2" xfId="10044"/>
    <cellStyle name="60% - 强调文字颜色 6 2 5 2 2" xfId="10046"/>
    <cellStyle name="60% - 强调文字颜色 6 2 5 2 2 2" xfId="9764"/>
    <cellStyle name="60% - 强调文字颜色 6 2 5 2 2 2 2" xfId="10049"/>
    <cellStyle name="60% - 强调文字颜色 6 2 5 2 2 2 3" xfId="10052"/>
    <cellStyle name="60% - 强调文字颜色 6 2 5 2 2 3" xfId="10053"/>
    <cellStyle name="60% - 强调文字颜色 6 2 5 2 3" xfId="5965"/>
    <cellStyle name="60% - 强调文字颜色 6 2 5 2 3 2" xfId="5968"/>
    <cellStyle name="60% - 强调文字颜色 6 2 5 2 3 3" xfId="5980"/>
    <cellStyle name="60% - 强调文字颜色 6 2 5 2 4" xfId="5989"/>
    <cellStyle name="60% - 强调文字颜色 6 2 5 3" xfId="10059"/>
    <cellStyle name="60% - 强调文字颜色 6 2 5 3 2" xfId="3515"/>
    <cellStyle name="60% - 强调文字颜色 6 2 5 3 2 2" xfId="3522"/>
    <cellStyle name="60% - 强调文字颜色 6 2 5 3 2 3" xfId="3530"/>
    <cellStyle name="60% - 强调文字颜色 6 2 5 3 3" xfId="3533"/>
    <cellStyle name="60% - 强调文字颜色 6 2 5 4" xfId="10062"/>
    <cellStyle name="60% - 强调文字颜色 6 2 5 4 2" xfId="651"/>
    <cellStyle name="60% - 强调文字颜色 6 2 5 4 3" xfId="3609"/>
    <cellStyle name="60% - 强调文字颜色 6 2 5 5" xfId="10064"/>
    <cellStyle name="60% - 强调文字颜色 6 2 6" xfId="10065"/>
    <cellStyle name="60% - 强调文字颜色 6 2 6 2" xfId="4428"/>
    <cellStyle name="60% - 强调文字颜色 6 2 6 2 2" xfId="10066"/>
    <cellStyle name="60% - 强调文字颜色 6 2 6 2 2 2" xfId="10067"/>
    <cellStyle name="60% - 强调文字颜色 6 2 6 2 2 3" xfId="10071"/>
    <cellStyle name="60% - 强调文字颜色 6 2 6 2 3" xfId="6040"/>
    <cellStyle name="60% - 强调文字颜色 6 2 6 3" xfId="7813"/>
    <cellStyle name="60% - 强调文字颜色 6 2 6 3 2" xfId="3703"/>
    <cellStyle name="60% - 强调文字颜色 6 2 6 3 3" xfId="3711"/>
    <cellStyle name="60% - 强调文字颜色 6 2 6 4" xfId="7741"/>
    <cellStyle name="60% - 强调文字颜色 6 2 7" xfId="7424"/>
    <cellStyle name="60% - 强调文字颜色 6 2 7 2" xfId="7208"/>
    <cellStyle name="60% - 强调文字颜色 6 2 7 2 2" xfId="7425"/>
    <cellStyle name="60% - 强调文字颜色 6 2 7 2 2 2" xfId="1433"/>
    <cellStyle name="60% - 强调文字颜色 6 2 7 2 2 3" xfId="5030"/>
    <cellStyle name="60% - 强调文字颜色 6 2 7 2 3" xfId="6086"/>
    <cellStyle name="60% - 强调文字颜色 6 2 7 3" xfId="7462"/>
    <cellStyle name="60% - 强调文字颜色 6 2 7 3 2" xfId="3807"/>
    <cellStyle name="60% - 强调文字颜色 6 2 7 3 3" xfId="1501"/>
    <cellStyle name="60% - 强调文字颜色 6 2 7 4" xfId="7467"/>
    <cellStyle name="60% - 强调文字颜色 6 2 8" xfId="7521"/>
    <cellStyle name="60% - 强调文字颜色 6 2 8 2" xfId="7525"/>
    <cellStyle name="60% - 强调文字颜色 6 2 8 2 2" xfId="7528"/>
    <cellStyle name="60% - 强调文字颜色 6 2 8 2 3" xfId="7569"/>
    <cellStyle name="60% - 强调文字颜色 6 2 8 3" xfId="7626"/>
    <cellStyle name="60% - 强调文字颜色 6 2 9" xfId="7689"/>
    <cellStyle name="60% - 强调文字颜色 6 2 9 2" xfId="7696"/>
    <cellStyle name="百分比 2" xfId="2874"/>
    <cellStyle name="标题 1 2" xfId="5450"/>
    <cellStyle name="标题 1 2 2" xfId="6038"/>
    <cellStyle name="标题 1 2 2 2" xfId="1371"/>
    <cellStyle name="标题 1 2 2 2 2" xfId="4543"/>
    <cellStyle name="标题 1 2 2 2 2 2" xfId="1941"/>
    <cellStyle name="标题 1 2 2 2 2 2 2" xfId="10017"/>
    <cellStyle name="标题 1 2 2 2 2 2 2 2" xfId="10024"/>
    <cellStyle name="标题 1 2 2 2 2 2 2 3" xfId="10029"/>
    <cellStyle name="标题 1 2 2 2 2 2 3" xfId="10036"/>
    <cellStyle name="标题 1 2 2 2 2 3" xfId="2147"/>
    <cellStyle name="标题 1 2 2 2 2 3 2" xfId="5348"/>
    <cellStyle name="标题 1 2 2 2 2 3 3" xfId="5362"/>
    <cellStyle name="标题 1 2 2 2 2 4" xfId="2159"/>
    <cellStyle name="标题 1 2 2 2 3" xfId="5232"/>
    <cellStyle name="标题 1 2 2 2 3 2" xfId="9368"/>
    <cellStyle name="标题 1 2 2 2 3 2 2" xfId="3239"/>
    <cellStyle name="标题 1 2 2 2 3 2 3" xfId="4405"/>
    <cellStyle name="标题 1 2 2 2 3 3" xfId="9731"/>
    <cellStyle name="标题 1 2 2 2 4" xfId="10079"/>
    <cellStyle name="标题 1 2 2 2 4 2" xfId="10091"/>
    <cellStyle name="标题 1 2 2 2 4 3" xfId="10100"/>
    <cellStyle name="标题 1 2 2 2 5" xfId="10107"/>
    <cellStyle name="标题 1 2 2 3" xfId="6047"/>
    <cellStyle name="标题 1 2 2 3 2" xfId="10108"/>
    <cellStyle name="标题 1 2 2 3 2 2" xfId="8103"/>
    <cellStyle name="标题 1 2 2 3 2 2 2" xfId="10057"/>
    <cellStyle name="标题 1 2 2 3 2 2 3" xfId="10113"/>
    <cellStyle name="标题 1 2 2 3 2 3" xfId="2235"/>
    <cellStyle name="标题 1 2 2 3 3" xfId="10114"/>
    <cellStyle name="标题 1 2 2 3 3 2" xfId="10116"/>
    <cellStyle name="标题 1 2 2 3 3 3" xfId="10119"/>
    <cellStyle name="标题 1 2 2 3 4" xfId="10121"/>
    <cellStyle name="标题 1 2 2 4" xfId="262"/>
    <cellStyle name="标题 1 2 2 4 2" xfId="7918"/>
    <cellStyle name="标题 1 2 2 4 2 2" xfId="10124"/>
    <cellStyle name="标题 1 2 2 4 2 2 2" xfId="10072"/>
    <cellStyle name="标题 1 2 2 4 2 2 3" xfId="7889"/>
    <cellStyle name="标题 1 2 2 4 2 3" xfId="10128"/>
    <cellStyle name="标题 1 2 2 4 3" xfId="7925"/>
    <cellStyle name="标题 1 2 2 4 3 2" xfId="10131"/>
    <cellStyle name="标题 1 2 2 4 3 3" xfId="10133"/>
    <cellStyle name="标题 1 2 2 4 4" xfId="10135"/>
    <cellStyle name="标题 1 2 2 5" xfId="7936"/>
    <cellStyle name="标题 1 2 2 5 2" xfId="10138"/>
    <cellStyle name="标题 1 2 2 5 2 2" xfId="6932"/>
    <cellStyle name="标题 1 2 2 5 2 3" xfId="6936"/>
    <cellStyle name="标题 1 2 2 5 3" xfId="10140"/>
    <cellStyle name="标题 1 2 2 6" xfId="10143"/>
    <cellStyle name="标题 1 2 2 6 2" xfId="10146"/>
    <cellStyle name="标题 1 2 2 6 3" xfId="10150"/>
    <cellStyle name="标题 1 2 2 7" xfId="10155"/>
    <cellStyle name="标题 1 2 3" xfId="6052"/>
    <cellStyle name="标题 1 2 3 2" xfId="2826"/>
    <cellStyle name="标题 1 2 3 2 2" xfId="10158"/>
    <cellStyle name="标题 1 2 3 2 2 2" xfId="689"/>
    <cellStyle name="标题 1 2 3 2 2 2 2" xfId="10159"/>
    <cellStyle name="标题 1 2 3 2 2 2 3" xfId="10160"/>
    <cellStyle name="标题 1 2 3 2 2 3" xfId="2510"/>
    <cellStyle name="标题 1 2 3 2 3" xfId="10162"/>
    <cellStyle name="标题 1 2 3 2 3 2" xfId="9417"/>
    <cellStyle name="标题 1 2 3 2 3 3" xfId="9808"/>
    <cellStyle name="标题 1 2 3 2 4" xfId="10163"/>
    <cellStyle name="标题 1 2 3 3" xfId="6059"/>
    <cellStyle name="标题 1 2 3 3 2" xfId="10164"/>
    <cellStyle name="标题 1 2 3 3 2 2" xfId="836"/>
    <cellStyle name="标题 1 2 3 3 2 3" xfId="2593"/>
    <cellStyle name="标题 1 2 3 3 3" xfId="10165"/>
    <cellStyle name="标题 1 2 3 4" xfId="7941"/>
    <cellStyle name="标题 1 2 3 4 2" xfId="10166"/>
    <cellStyle name="标题 1 2 3 4 3" xfId="8312"/>
    <cellStyle name="标题 1 2 3 5" xfId="7947"/>
    <cellStyle name="标题 1 2 4" xfId="6063"/>
    <cellStyle name="标题 1 2 4 2" xfId="10168"/>
    <cellStyle name="标题 1 2 4 2 2" xfId="7232"/>
    <cellStyle name="标题 1 2 4 2 2 2" xfId="1144"/>
    <cellStyle name="标题 1 2 4 2 2 3" xfId="2373"/>
    <cellStyle name="标题 1 2 4 2 3" xfId="7216"/>
    <cellStyle name="标题 1 2 4 3" xfId="10170"/>
    <cellStyle name="标题 1 2 4 3 2" xfId="7249"/>
    <cellStyle name="标题 1 2 4 3 3" xfId="7329"/>
    <cellStyle name="标题 1 2 4 4" xfId="10172"/>
    <cellStyle name="标题 1 2 5" xfId="10174"/>
    <cellStyle name="标题 1 2 5 2" xfId="10176"/>
    <cellStyle name="标题 1 2 5 2 2" xfId="7269"/>
    <cellStyle name="标题 1 2 5 2 2 2" xfId="1458"/>
    <cellStyle name="标题 1 2 5 2 2 3" xfId="10179"/>
    <cellStyle name="标题 1 2 5 2 3" xfId="10180"/>
    <cellStyle name="标题 1 2 5 3" xfId="10183"/>
    <cellStyle name="标题 1 2 5 3 2" xfId="10185"/>
    <cellStyle name="标题 1 2 5 3 3" xfId="10187"/>
    <cellStyle name="标题 1 2 5 4" xfId="9875"/>
    <cellStyle name="标题 1 2 6" xfId="10190"/>
    <cellStyle name="标题 1 2 6 2" xfId="10193"/>
    <cellStyle name="标题 1 2 6 2 2" xfId="6197"/>
    <cellStyle name="标题 1 2 6 2 3" xfId="6203"/>
    <cellStyle name="标题 1 2 6 3" xfId="10195"/>
    <cellStyle name="标题 1 2 7" xfId="10197"/>
    <cellStyle name="标题 1 2 7 2" xfId="10199"/>
    <cellStyle name="标题 1 2 7 3" xfId="10201"/>
    <cellStyle name="标题 1 2 8" xfId="10203"/>
    <cellStyle name="标题 1 3" xfId="4682"/>
    <cellStyle name="标题 1 3 2" xfId="3709"/>
    <cellStyle name="标题 1 3 2 2" xfId="4688"/>
    <cellStyle name="标题 1 3 2 2 2" xfId="10204"/>
    <cellStyle name="标题 1 3 2 2 2 2" xfId="10207"/>
    <cellStyle name="标题 1 3 2 2 2 2 2" xfId="10213"/>
    <cellStyle name="标题 1 3 2 2 2 2 3" xfId="10217"/>
    <cellStyle name="标题 1 3 2 2 2 3" xfId="10221"/>
    <cellStyle name="标题 1 3 2 2 3" xfId="10224"/>
    <cellStyle name="标题 1 3 2 2 3 2" xfId="10227"/>
    <cellStyle name="标题 1 3 2 2 3 3" xfId="10230"/>
    <cellStyle name="标题 1 3 2 2 4" xfId="10232"/>
    <cellStyle name="标题 1 3 2 3" xfId="4698"/>
    <cellStyle name="标题 1 3 2 3 2" xfId="10233"/>
    <cellStyle name="标题 1 3 2 3 2 2" xfId="9601"/>
    <cellStyle name="标题 1 3 2 3 2 3" xfId="10236"/>
    <cellStyle name="标题 1 3 2 3 3" xfId="10239"/>
    <cellStyle name="标题 1 3 2 4" xfId="7967"/>
    <cellStyle name="标题 1 3 2 4 2" xfId="914"/>
    <cellStyle name="标题 1 3 2 4 3" xfId="1288"/>
    <cellStyle name="标题 1 3 2 5" xfId="7972"/>
    <cellStyle name="标题 1 3 3" xfId="4702"/>
    <cellStyle name="标题 1 3 3 2" xfId="8740"/>
    <cellStyle name="标题 1 3 3 2 2" xfId="10240"/>
    <cellStyle name="标题 1 3 3 2 2 2" xfId="10243"/>
    <cellStyle name="标题 1 3 3 2 2 3" xfId="10246"/>
    <cellStyle name="标题 1 3 3 2 3" xfId="10248"/>
    <cellStyle name="标题 1 3 3 3" xfId="10252"/>
    <cellStyle name="标题 1 3 3 3 2" xfId="10253"/>
    <cellStyle name="标题 1 3 3 3 3" xfId="10255"/>
    <cellStyle name="标题 1 3 3 4" xfId="8494"/>
    <cellStyle name="标题 1 3 4" xfId="5455"/>
    <cellStyle name="标题 1 3 4 2" xfId="788"/>
    <cellStyle name="标题 1 3 4 2 2" xfId="7285"/>
    <cellStyle name="标题 1 3 4 2 2 2" xfId="10148"/>
    <cellStyle name="标题 1 3 4 2 2 3" xfId="6145"/>
    <cellStyle name="标题 1 3 4 2 3" xfId="7692"/>
    <cellStyle name="标题 1 3 4 3" xfId="5459"/>
    <cellStyle name="标题 1 3 4 3 2" xfId="8348"/>
    <cellStyle name="标题 1 3 4 3 3" xfId="7840"/>
    <cellStyle name="标题 1 3 4 4" xfId="10257"/>
    <cellStyle name="标题 1 3 5" xfId="3290"/>
    <cellStyle name="标题 1 3 5 2" xfId="10261"/>
    <cellStyle name="标题 1 3 5 2 2" xfId="10265"/>
    <cellStyle name="标题 1 3 5 2 3" xfId="10270"/>
    <cellStyle name="标题 1 3 5 3" xfId="10275"/>
    <cellStyle name="标题 1 3 6" xfId="3347"/>
    <cellStyle name="标题 1 3 6 2" xfId="10277"/>
    <cellStyle name="标题 1 3 6 3" xfId="10279"/>
    <cellStyle name="标题 1 3 7" xfId="10281"/>
    <cellStyle name="标题 1 4" xfId="4709"/>
    <cellStyle name="标题 1 4 2" xfId="478"/>
    <cellStyle name="标题 1 4 2 2" xfId="6235"/>
    <cellStyle name="标题 1 4 2 2 2" xfId="6245"/>
    <cellStyle name="标题 1 4 2 2 3" xfId="6261"/>
    <cellStyle name="标题 1 4 2 3" xfId="6270"/>
    <cellStyle name="标题 1 4 3" xfId="511"/>
    <cellStyle name="标题 1 4 3 2" xfId="6358"/>
    <cellStyle name="标题 1 4 3 3" xfId="6379"/>
    <cellStyle name="标题 1 4 4" xfId="5464"/>
    <cellStyle name="标题 1 5" xfId="4717"/>
    <cellStyle name="标题 1 5 2" xfId="202"/>
    <cellStyle name="标题 1 5 2 2" xfId="8927"/>
    <cellStyle name="标题 1 5 2 2 2" xfId="5630"/>
    <cellStyle name="标题 1 5 2 2 3" xfId="10283"/>
    <cellStyle name="标题 1 5 2 3" xfId="9120"/>
    <cellStyle name="标题 1 5 3" xfId="10293"/>
    <cellStyle name="标题 1 5 3 2" xfId="8939"/>
    <cellStyle name="标题 1 5 3 3" xfId="9449"/>
    <cellStyle name="标题 1 5 4" xfId="10299"/>
    <cellStyle name="标题 1 6" xfId="10303"/>
    <cellStyle name="标题 1 6 2" xfId="10306"/>
    <cellStyle name="标题 1 6 2 2" xfId="9912"/>
    <cellStyle name="标题 1 6 2 2 2" xfId="10311"/>
    <cellStyle name="标题 1 6 2 2 3" xfId="10312"/>
    <cellStyle name="标题 1 6 2 3" xfId="10313"/>
    <cellStyle name="标题 1 6 3" xfId="10316"/>
    <cellStyle name="标题 1 6 3 2" xfId="9942"/>
    <cellStyle name="标题 1 6 3 3" xfId="9473"/>
    <cellStyle name="标题 1 6 4" xfId="10320"/>
    <cellStyle name="标题 1 7" xfId="10321"/>
    <cellStyle name="标题 1 7 2" xfId="10325"/>
    <cellStyle name="标题 1 7 2 2" xfId="1814"/>
    <cellStyle name="标题 1 7 2 3" xfId="10326"/>
    <cellStyle name="标题 1 7 3" xfId="10328"/>
    <cellStyle name="标题 1 8" xfId="10329"/>
    <cellStyle name="标题 1 8 2" xfId="8981"/>
    <cellStyle name="标题 1 9" xfId="10330"/>
    <cellStyle name="标题 10" xfId="7407"/>
    <cellStyle name="标题 10 2" xfId="9430"/>
    <cellStyle name="标题 10 2 2" xfId="10336"/>
    <cellStyle name="标题 10 2 3" xfId="10342"/>
    <cellStyle name="标题 10 3" xfId="10343"/>
    <cellStyle name="标题 11" xfId="6986"/>
    <cellStyle name="标题 11 2" xfId="7432"/>
    <cellStyle name="标题 12" xfId="9928"/>
    <cellStyle name="标题 2 2" xfId="6081"/>
    <cellStyle name="标题 2 2 2" xfId="6084"/>
    <cellStyle name="标题 2 2 2 2" xfId="5096"/>
    <cellStyle name="标题 2 2 2 2 2" xfId="5104"/>
    <cellStyle name="标题 2 2 2 2 2 2" xfId="9634"/>
    <cellStyle name="标题 2 2 2 2 2 2 2" xfId="10344"/>
    <cellStyle name="标题 2 2 2 2 2 2 2 2" xfId="10345"/>
    <cellStyle name="标题 2 2 2 2 2 2 2 3" xfId="10346"/>
    <cellStyle name="标题 2 2 2 2 2 2 3" xfId="10347"/>
    <cellStyle name="标题 2 2 2 2 2 3" xfId="3071"/>
    <cellStyle name="标题 2 2 2 2 2 3 2" xfId="9994"/>
    <cellStyle name="标题 2 2 2 2 2 3 3" xfId="9998"/>
    <cellStyle name="标题 2 2 2 2 2 4" xfId="270"/>
    <cellStyle name="标题 2 2 2 2 3" xfId="317"/>
    <cellStyle name="标题 2 2 2 2 3 2" xfId="9647"/>
    <cellStyle name="标题 2 2 2 2 3 2 2" xfId="10351"/>
    <cellStyle name="标题 2 2 2 2 3 2 3" xfId="2628"/>
    <cellStyle name="标题 2 2 2 2 3 3" xfId="549"/>
    <cellStyle name="标题 2 2 2 2 4" xfId="10353"/>
    <cellStyle name="标题 2 2 2 2 4 2" xfId="10355"/>
    <cellStyle name="标题 2 2 2 2 4 3" xfId="10357"/>
    <cellStyle name="标题 2 2 2 2 5" xfId="10358"/>
    <cellStyle name="标题 2 2 2 3" xfId="5123"/>
    <cellStyle name="标题 2 2 2 3 2" xfId="10361"/>
    <cellStyle name="标题 2 2 2 3 2 2" xfId="9661"/>
    <cellStyle name="标题 2 2 2 3 2 2 2" xfId="10362"/>
    <cellStyle name="标题 2 2 2 3 2 2 3" xfId="7845"/>
    <cellStyle name="标题 2 2 2 3 2 3" xfId="240"/>
    <cellStyle name="标题 2 2 2 3 3" xfId="10365"/>
    <cellStyle name="标题 2 2 2 3 3 2" xfId="10368"/>
    <cellStyle name="标题 2 2 2 3 3 3" xfId="10370"/>
    <cellStyle name="标题 2 2 2 3 4" xfId="10372"/>
    <cellStyle name="标题 2 2 2 4" xfId="8063"/>
    <cellStyle name="标题 2 2 2 4 2" xfId="8067"/>
    <cellStyle name="标题 2 2 2 4 2 2" xfId="10374"/>
    <cellStyle name="标题 2 2 2 4 2 2 2" xfId="10376"/>
    <cellStyle name="标题 2 2 2 4 2 2 3" xfId="10379"/>
    <cellStyle name="标题 2 2 2 4 2 3" xfId="8301"/>
    <cellStyle name="标题 2 2 2 4 3" xfId="8072"/>
    <cellStyle name="标题 2 2 2 4 3 2" xfId="10380"/>
    <cellStyle name="标题 2 2 2 4 3 3" xfId="10382"/>
    <cellStyle name="标题 2 2 2 4 4" xfId="10383"/>
    <cellStyle name="标题 2 2 2 5" xfId="8083"/>
    <cellStyle name="标题 2 2 2 5 2" xfId="10384"/>
    <cellStyle name="标题 2 2 2 5 2 2" xfId="10387"/>
    <cellStyle name="标题 2 2 2 5 2 3" xfId="8659"/>
    <cellStyle name="标题 2 2 2 5 3" xfId="10388"/>
    <cellStyle name="标题 2 2 2 6" xfId="301"/>
    <cellStyle name="标题 2 2 2 6 2" xfId="2208"/>
    <cellStyle name="标题 2 2 2 6 3" xfId="2218"/>
    <cellStyle name="标题 2 2 2 7" xfId="412"/>
    <cellStyle name="标题 2 2 3" xfId="6095"/>
    <cellStyle name="标题 2 2 3 2" xfId="5135"/>
    <cellStyle name="标题 2 2 3 2 2" xfId="8588"/>
    <cellStyle name="标题 2 2 3 2 2 2" xfId="2157"/>
    <cellStyle name="标题 2 2 3 2 2 2 2" xfId="5402"/>
    <cellStyle name="标题 2 2 3 2 2 2 3" xfId="5412"/>
    <cellStyle name="标题 2 2 3 2 2 3" xfId="3328"/>
    <cellStyle name="标题 2 2 3 2 3" xfId="8608"/>
    <cellStyle name="标题 2 2 3 2 3 2" xfId="8614"/>
    <cellStyle name="标题 2 2 3 2 3 3" xfId="8628"/>
    <cellStyle name="标题 2 2 3 2 4" xfId="8644"/>
    <cellStyle name="标题 2 2 3 3" xfId="7446"/>
    <cellStyle name="标题 2 2 3 3 2" xfId="10396"/>
    <cellStyle name="标题 2 2 3 3 2 2" xfId="2245"/>
    <cellStyle name="标题 2 2 3 3 2 3" xfId="3412"/>
    <cellStyle name="标题 2 2 3 3 3" xfId="10403"/>
    <cellStyle name="标题 2 2 3 4" xfId="8091"/>
    <cellStyle name="标题 2 2 3 4 2" xfId="10412"/>
    <cellStyle name="标题 2 2 3 4 3" xfId="10419"/>
    <cellStyle name="标题 2 2 3 5" xfId="8099"/>
    <cellStyle name="标题 2 2 4" xfId="7452"/>
    <cellStyle name="标题 2 2 4 2" xfId="5151"/>
    <cellStyle name="标题 2 2 4 2 2" xfId="7350"/>
    <cellStyle name="标题 2 2 4 2 2 2" xfId="2526"/>
    <cellStyle name="标题 2 2 4 2 2 3" xfId="3592"/>
    <cellStyle name="标题 2 2 4 2 3" xfId="5761"/>
    <cellStyle name="标题 2 2 4 3" xfId="10422"/>
    <cellStyle name="标题 2 2 4 3 2" xfId="10430"/>
    <cellStyle name="标题 2 2 4 3 3" xfId="10433"/>
    <cellStyle name="标题 2 2 4 4" xfId="10439"/>
    <cellStyle name="标题 2 2 5" xfId="10444"/>
    <cellStyle name="标题 2 2 5 2" xfId="10446"/>
    <cellStyle name="标题 2 2 5 2 2" xfId="8840"/>
    <cellStyle name="标题 2 2 5 2 2 2" xfId="2398"/>
    <cellStyle name="标题 2 2 5 2 2 3" xfId="8859"/>
    <cellStyle name="标题 2 2 5 2 3" xfId="919"/>
    <cellStyle name="标题 2 2 5 3" xfId="10448"/>
    <cellStyle name="标题 2 2 5 3 2" xfId="8899"/>
    <cellStyle name="标题 2 2 5 3 3" xfId="8921"/>
    <cellStyle name="标题 2 2 5 4" xfId="9903"/>
    <cellStyle name="标题 2 2 6" xfId="10451"/>
    <cellStyle name="标题 2 2 6 2" xfId="10453"/>
    <cellStyle name="标题 2 2 6 2 2" xfId="5199"/>
    <cellStyle name="标题 2 2 6 2 3" xfId="5209"/>
    <cellStyle name="标题 2 2 6 3" xfId="10455"/>
    <cellStyle name="标题 2 2 7" xfId="10458"/>
    <cellStyle name="标题 2 2 7 2" xfId="10461"/>
    <cellStyle name="标题 2 2 7 3" xfId="10462"/>
    <cellStyle name="标题 2 2 8" xfId="10464"/>
    <cellStyle name="标题 2 3" xfId="1494"/>
    <cellStyle name="标题 2 3 2" xfId="1499"/>
    <cellStyle name="标题 2 3 2 2" xfId="4724"/>
    <cellStyle name="标题 2 3 2 2 2" xfId="10466"/>
    <cellStyle name="标题 2 3 2 2 2 2" xfId="10469"/>
    <cellStyle name="标题 2 3 2 2 2 2 2" xfId="10470"/>
    <cellStyle name="标题 2 3 2 2 2 2 3" xfId="10471"/>
    <cellStyle name="标题 2 3 2 2 2 3" xfId="10474"/>
    <cellStyle name="标题 2 3 2 2 3" xfId="10477"/>
    <cellStyle name="标题 2 3 2 2 3 2" xfId="10482"/>
    <cellStyle name="标题 2 3 2 2 3 3" xfId="10488"/>
    <cellStyle name="标题 2 3 2 2 4" xfId="10491"/>
    <cellStyle name="标题 2 3 2 3" xfId="4735"/>
    <cellStyle name="标题 2 3 2 3 2" xfId="10493"/>
    <cellStyle name="标题 2 3 2 3 2 2" xfId="10496"/>
    <cellStyle name="标题 2 3 2 3 2 3" xfId="10499"/>
    <cellStyle name="标题 2 3 2 3 3" xfId="10501"/>
    <cellStyle name="标题 2 3 2 4" xfId="8114"/>
    <cellStyle name="标题 2 3 2 4 2" xfId="10507"/>
    <cellStyle name="标题 2 3 2 4 3" xfId="10513"/>
    <cellStyle name="标题 2 3 2 5" xfId="8119"/>
    <cellStyle name="标题 2 3 3" xfId="1516"/>
    <cellStyle name="标题 2 3 3 2" xfId="10517"/>
    <cellStyle name="标题 2 3 3 2 2" xfId="10529"/>
    <cellStyle name="标题 2 3 3 2 2 2" xfId="10532"/>
    <cellStyle name="标题 2 3 3 2 2 3" xfId="10535"/>
    <cellStyle name="标题 2 3 3 2 3" xfId="10544"/>
    <cellStyle name="标题 2 3 3 3" xfId="10548"/>
    <cellStyle name="标题 2 3 3 3 2" xfId="10557"/>
    <cellStyle name="标题 2 3 3 3 3" xfId="10566"/>
    <cellStyle name="标题 2 3 3 4" xfId="10570"/>
    <cellStyle name="标题 2 3 4" xfId="5474"/>
    <cellStyle name="标题 2 3 4 2" xfId="5481"/>
    <cellStyle name="标题 2 3 4 2 2" xfId="10575"/>
    <cellStyle name="标题 2 3 4 2 2 2" xfId="10578"/>
    <cellStyle name="标题 2 3 4 2 2 3" xfId="10581"/>
    <cellStyle name="标题 2 3 4 2 3" xfId="10584"/>
    <cellStyle name="标题 2 3 4 3" xfId="5487"/>
    <cellStyle name="标题 2 3 4 3 2" xfId="8694"/>
    <cellStyle name="标题 2 3 4 3 3" xfId="8703"/>
    <cellStyle name="标题 2 3 4 4" xfId="10590"/>
    <cellStyle name="标题 2 3 5" xfId="5490"/>
    <cellStyle name="标题 2 3 5 2" xfId="10593"/>
    <cellStyle name="标题 2 3 5 2 2" xfId="9169"/>
    <cellStyle name="标题 2 3 5 2 3" xfId="9194"/>
    <cellStyle name="标题 2 3 5 3" xfId="10596"/>
    <cellStyle name="标题 2 3 6" xfId="9547"/>
    <cellStyle name="标题 2 3 6 2" xfId="9555"/>
    <cellStyle name="标题 2 3 6 3" xfId="8667"/>
    <cellStyle name="标题 2 3 7" xfId="9560"/>
    <cellStyle name="标题 2 4" xfId="1537"/>
    <cellStyle name="标题 2 4 2" xfId="4741"/>
    <cellStyle name="标题 2 4 2 2" xfId="6731"/>
    <cellStyle name="标题 2 4 2 2 2" xfId="1818"/>
    <cellStyle name="标题 2 4 2 2 3" xfId="6755"/>
    <cellStyle name="标题 2 4 2 3" xfId="6769"/>
    <cellStyle name="标题 2 4 3" xfId="4751"/>
    <cellStyle name="标题 2 4 3 2" xfId="6874"/>
    <cellStyle name="标题 2 4 3 3" xfId="948"/>
    <cellStyle name="标题 2 4 4" xfId="5496"/>
    <cellStyle name="标题 2 5" xfId="4758"/>
    <cellStyle name="标题 2 5 2" xfId="7491"/>
    <cellStyle name="标题 2 5 2 2" xfId="10597"/>
    <cellStyle name="标题 2 5 2 2 2" xfId="10599"/>
    <cellStyle name="标题 2 5 2 2 3" xfId="10600"/>
    <cellStyle name="标题 2 5 2 3" xfId="10601"/>
    <cellStyle name="标题 2 5 3" xfId="10602"/>
    <cellStyle name="标题 2 5 3 2" xfId="457"/>
    <cellStyle name="标题 2 5 3 3" xfId="471"/>
    <cellStyle name="标题 2 5 4" xfId="10604"/>
    <cellStyle name="标题 2 6" xfId="6601"/>
    <cellStyle name="标题 2 6 2" xfId="7502"/>
    <cellStyle name="标题 2 6 2 2" xfId="10605"/>
    <cellStyle name="标题 2 6 2 2 2" xfId="10607"/>
    <cellStyle name="标题 2 6 2 2 3" xfId="10612"/>
    <cellStyle name="标题 2 6 2 3" xfId="10616"/>
    <cellStyle name="标题 2 6 3" xfId="10618"/>
    <cellStyle name="标题 2 6 3 2" xfId="10622"/>
    <cellStyle name="标题 2 6 3 3" xfId="10624"/>
    <cellStyle name="标题 2 6 4" xfId="10627"/>
    <cellStyle name="标题 2 7" xfId="6603"/>
    <cellStyle name="标题 2 7 2" xfId="10633"/>
    <cellStyle name="标题 2 7 2 2" xfId="10634"/>
    <cellStyle name="标题 2 7 2 3" xfId="10635"/>
    <cellStyle name="标题 2 7 3" xfId="10639"/>
    <cellStyle name="标题 2 8" xfId="1992"/>
    <cellStyle name="标题 2 8 2" xfId="454"/>
    <cellStyle name="标题 2 9" xfId="2001"/>
    <cellStyle name="标题 3 2" xfId="6130"/>
    <cellStyle name="标题 3 2 2" xfId="7564"/>
    <cellStyle name="标题 3 2 2 2" xfId="7576"/>
    <cellStyle name="标题 3 2 2 2 2" xfId="7584"/>
    <cellStyle name="标题 3 2 2 2 2 2" xfId="9923"/>
    <cellStyle name="标题 3 2 2 2 2 2 2" xfId="9132"/>
    <cellStyle name="标题 3 2 2 2 2 2 2 2" xfId="9134"/>
    <cellStyle name="标题 3 2 2 2 2 2 2 3" xfId="9147"/>
    <cellStyle name="标题 3 2 2 2 2 2 3" xfId="9150"/>
    <cellStyle name="标题 3 2 2 2 2 3" xfId="3986"/>
    <cellStyle name="标题 3 2 2 2 2 3 2" xfId="9165"/>
    <cellStyle name="标题 3 2 2 2 2 3 3" xfId="9167"/>
    <cellStyle name="标题 3 2 2 2 2 4" xfId="2308"/>
    <cellStyle name="标题 3 2 2 2 3" xfId="7588"/>
    <cellStyle name="标题 3 2 2 2 3 2" xfId="9936"/>
    <cellStyle name="标题 3 2 2 2 3 2 2" xfId="8788"/>
    <cellStyle name="标题 3 2 2 2 3 2 3" xfId="8762"/>
    <cellStyle name="标题 3 2 2 2 3 3" xfId="10643"/>
    <cellStyle name="标题 3 2 2 2 4" xfId="9717"/>
    <cellStyle name="标题 3 2 2 2 4 2" xfId="10645"/>
    <cellStyle name="标题 3 2 2 2 4 3" xfId="10647"/>
    <cellStyle name="标题 3 2 2 2 5" xfId="5382"/>
    <cellStyle name="标题 3 2 2 3" xfId="7594"/>
    <cellStyle name="标题 3 2 2 3 2" xfId="10649"/>
    <cellStyle name="标题 3 2 2 3 2 2" xfId="9944"/>
    <cellStyle name="标题 3 2 2 3 2 2 2" xfId="1827"/>
    <cellStyle name="标题 3 2 2 3 2 2 3" xfId="1880"/>
    <cellStyle name="标题 3 2 2 3 2 3" xfId="3946"/>
    <cellStyle name="标题 3 2 2 3 3" xfId="10650"/>
    <cellStyle name="标题 3 2 2 3 3 2" xfId="10652"/>
    <cellStyle name="标题 3 2 2 3 3 3" xfId="10655"/>
    <cellStyle name="标题 3 2 2 3 4" xfId="10657"/>
    <cellStyle name="标题 3 2 2 4" xfId="731"/>
    <cellStyle name="标题 3 2 2 4 2" xfId="743"/>
    <cellStyle name="标题 3 2 2 4 2 2" xfId="10659"/>
    <cellStyle name="标题 3 2 2 4 2 2 2" xfId="10661"/>
    <cellStyle name="标题 3 2 2 4 2 2 3" xfId="10663"/>
    <cellStyle name="标题 3 2 2 4 2 3" xfId="10665"/>
    <cellStyle name="标题 3 2 2 4 3" xfId="751"/>
    <cellStyle name="标题 3 2 2 4 3 2" xfId="10667"/>
    <cellStyle name="标题 3 2 2 4 3 3" xfId="10670"/>
    <cellStyle name="标题 3 2 2 4 4" xfId="10672"/>
    <cellStyle name="标题 3 2 2 5" xfId="773"/>
    <cellStyle name="标题 3 2 2 5 2" xfId="10673"/>
    <cellStyle name="标题 3 2 2 5 2 2" xfId="10674"/>
    <cellStyle name="标题 3 2 2 5 2 3" xfId="10675"/>
    <cellStyle name="标题 3 2 2 5 3" xfId="10676"/>
    <cellStyle name="标题 3 2 2 6" xfId="2568"/>
    <cellStyle name="标题 3 2 2 6 2" xfId="2111"/>
    <cellStyle name="标题 3 2 2 6 3" xfId="2185"/>
    <cellStyle name="标题 3 2 2 7" xfId="1183"/>
    <cellStyle name="标题 3 2 3" xfId="7601"/>
    <cellStyle name="标题 3 2 3 2" xfId="7610"/>
    <cellStyle name="标题 3 2 3 2 2" xfId="10682"/>
    <cellStyle name="标题 3 2 3 2 2 2" xfId="272"/>
    <cellStyle name="标题 3 2 3 2 2 2 2" xfId="9392"/>
    <cellStyle name="标题 3 2 3 2 2 2 3" xfId="9404"/>
    <cellStyle name="标题 3 2 3 2 2 3" xfId="4199"/>
    <cellStyle name="标题 3 2 3 2 3" xfId="10687"/>
    <cellStyle name="标题 3 2 3 2 3 2" xfId="1651"/>
    <cellStyle name="标题 3 2 3 2 3 3" xfId="10689"/>
    <cellStyle name="标题 3 2 3 2 4" xfId="10692"/>
    <cellStyle name="标题 3 2 3 3" xfId="7616"/>
    <cellStyle name="标题 3 2 3 3 2" xfId="10699"/>
    <cellStyle name="标题 3 2 3 3 2 2" xfId="3144"/>
    <cellStyle name="标题 3 2 3 3 2 3" xfId="3978"/>
    <cellStyle name="标题 3 2 3 3 3" xfId="10700"/>
    <cellStyle name="标题 3 2 3 4" xfId="808"/>
    <cellStyle name="标题 3 2 3 4 2" xfId="10705"/>
    <cellStyle name="标题 3 2 3 4 3" xfId="10706"/>
    <cellStyle name="标题 3 2 3 5" xfId="829"/>
    <cellStyle name="标题 3 2 4" xfId="3864"/>
    <cellStyle name="标题 3 2 4 2" xfId="10076"/>
    <cellStyle name="标题 3 2 4 2 2" xfId="10083"/>
    <cellStyle name="标题 3 2 4 2 2 2" xfId="3340"/>
    <cellStyle name="标题 3 2 4 2 2 3" xfId="4447"/>
    <cellStyle name="标题 3 2 4 2 3" xfId="10094"/>
    <cellStyle name="标题 3 2 4 3" xfId="10102"/>
    <cellStyle name="标题 3 2 4 3 2" xfId="10711"/>
    <cellStyle name="标题 3 2 4 3 3" xfId="10713"/>
    <cellStyle name="标题 3 2 4 4" xfId="10715"/>
    <cellStyle name="标题 3 2 5" xfId="10719"/>
    <cellStyle name="标题 3 2 5 2" xfId="10725"/>
    <cellStyle name="标题 3 2 5 2 2" xfId="9905"/>
    <cellStyle name="标题 3 2 5 2 2 2" xfId="10733"/>
    <cellStyle name="标题 3 2 5 2 2 3" xfId="10734"/>
    <cellStyle name="标题 3 2 5 2 3" xfId="10735"/>
    <cellStyle name="标题 3 2 5 3" xfId="10738"/>
    <cellStyle name="标题 3 2 5 3 2" xfId="10742"/>
    <cellStyle name="标题 3 2 5 3 3" xfId="10744"/>
    <cellStyle name="标题 3 2 5 4" xfId="9913"/>
    <cellStyle name="标题 3 2 6" xfId="10747"/>
    <cellStyle name="标题 3 2 6 2" xfId="10753"/>
    <cellStyle name="标题 3 2 6 2 2" xfId="10757"/>
    <cellStyle name="标题 3 2 6 2 3" xfId="10759"/>
    <cellStyle name="标题 3 2 6 3" xfId="10761"/>
    <cellStyle name="标题 3 2 7" xfId="10765"/>
    <cellStyle name="标题 3 2 7 2" xfId="10770"/>
    <cellStyle name="标题 3 2 7 3" xfId="10773"/>
    <cellStyle name="标题 3 2 8" xfId="10777"/>
    <cellStyle name="标题 3 3" xfId="1557"/>
    <cellStyle name="标题 3 3 2" xfId="4761"/>
    <cellStyle name="标题 3 3 2 2" xfId="10780"/>
    <cellStyle name="标题 3 3 2 2 2" xfId="9409"/>
    <cellStyle name="标题 3 3 2 2 2 2" xfId="10782"/>
    <cellStyle name="标题 3 3 2 2 2 2 2" xfId="10784"/>
    <cellStyle name="标题 3 3 2 2 2 2 3" xfId="10786"/>
    <cellStyle name="标题 3 3 2 2 2 3" xfId="10788"/>
    <cellStyle name="标题 3 3 2 2 3" xfId="9786"/>
    <cellStyle name="标题 3 3 2 2 3 2" xfId="10790"/>
    <cellStyle name="标题 3 3 2 2 3 3" xfId="10792"/>
    <cellStyle name="标题 3 3 2 2 4" xfId="9790"/>
    <cellStyle name="标题 3 3 2 3" xfId="10793"/>
    <cellStyle name="标题 3 3 2 3 2" xfId="10794"/>
    <cellStyle name="标题 3 3 2 3 2 2" xfId="10797"/>
    <cellStyle name="标题 3 3 2 3 2 3" xfId="10801"/>
    <cellStyle name="标题 3 3 2 3 3" xfId="10802"/>
    <cellStyle name="标题 3 3 2 4" xfId="878"/>
    <cellStyle name="标题 3 3 2 4 2" xfId="10803"/>
    <cellStyle name="标题 3 3 2 4 3" xfId="10804"/>
    <cellStyle name="标题 3 3 2 5" xfId="146"/>
    <cellStyle name="标题 3 3 3" xfId="4768"/>
    <cellStyle name="标题 3 3 3 2" xfId="10806"/>
    <cellStyle name="标题 3 3 3 2 2" xfId="10809"/>
    <cellStyle name="标题 3 3 3 2 2 2" xfId="10811"/>
    <cellStyle name="标题 3 3 3 2 2 3" xfId="10813"/>
    <cellStyle name="标题 3 3 3 2 3" xfId="10815"/>
    <cellStyle name="标题 3 3 3 3" xfId="10816"/>
    <cellStyle name="标题 3 3 3 3 2" xfId="10820"/>
    <cellStyle name="标题 3 3 3 3 3" xfId="10821"/>
    <cellStyle name="标题 3 3 3 4" xfId="10822"/>
    <cellStyle name="标题 3 3 4" xfId="5502"/>
    <cellStyle name="标题 3 3 4 2" xfId="10826"/>
    <cellStyle name="标题 3 3 4 2 2" xfId="10829"/>
    <cellStyle name="标题 3 3 4 2 2 2" xfId="10831"/>
    <cellStyle name="标题 3 3 4 2 2 3" xfId="10833"/>
    <cellStyle name="标题 3 3 4 2 3" xfId="10835"/>
    <cellStyle name="标题 3 3 4 3" xfId="10837"/>
    <cellStyle name="标题 3 3 4 3 2" xfId="10840"/>
    <cellStyle name="标题 3 3 4 3 3" xfId="10843"/>
    <cellStyle name="标题 3 3 4 4" xfId="10846"/>
    <cellStyle name="标题 3 3 5" xfId="5509"/>
    <cellStyle name="标题 3 3 5 2" xfId="10851"/>
    <cellStyle name="标题 3 3 5 2 2" xfId="9920"/>
    <cellStyle name="标题 3 3 5 2 3" xfId="10854"/>
    <cellStyle name="标题 3 3 5 3" xfId="10856"/>
    <cellStyle name="标题 3 3 6" xfId="10858"/>
    <cellStyle name="标题 3 3 6 2" xfId="10866"/>
    <cellStyle name="标题 3 3 6 3" xfId="10870"/>
    <cellStyle name="标题 3 3 7" xfId="10872"/>
    <cellStyle name="标题 3 4" xfId="1567"/>
    <cellStyle name="标题 3 4 2" xfId="10874"/>
    <cellStyle name="标题 3 4 2 2" xfId="10879"/>
    <cellStyle name="标题 3 4 2 2 2" xfId="2562"/>
    <cellStyle name="标题 3 4 2 2 3" xfId="10880"/>
    <cellStyle name="标题 3 4 2 3" xfId="10881"/>
    <cellStyle name="标题 3 4 3" xfId="10882"/>
    <cellStyle name="标题 3 4 3 2" xfId="10886"/>
    <cellStyle name="标题 3 4 3 3" xfId="10888"/>
    <cellStyle name="标题 3 4 4" xfId="10890"/>
    <cellStyle name="标题 3 5" xfId="6072"/>
    <cellStyle name="标题 3 5 2" xfId="10895"/>
    <cellStyle name="标题 3 5 2 2" xfId="10899"/>
    <cellStyle name="标题 3 5 2 2 2" xfId="10902"/>
    <cellStyle name="标题 3 5 2 2 3" xfId="10903"/>
    <cellStyle name="标题 3 5 2 3" xfId="10904"/>
    <cellStyle name="标题 3 5 3" xfId="10909"/>
    <cellStyle name="标题 3 5 3 2" xfId="10913"/>
    <cellStyle name="标题 3 5 3 3" xfId="10915"/>
    <cellStyle name="标题 3 5 4" xfId="10921"/>
    <cellStyle name="标题 3 6" xfId="9313"/>
    <cellStyle name="标题 3 6 2" xfId="1950"/>
    <cellStyle name="标题 3 6 2 2" xfId="10927"/>
    <cellStyle name="标题 3 6 2 2 2" xfId="10928"/>
    <cellStyle name="标题 3 6 2 2 3" xfId="7130"/>
    <cellStyle name="标题 3 6 2 3" xfId="10935"/>
    <cellStyle name="标题 3 6 3" xfId="9321"/>
    <cellStyle name="标题 3 6 3 2" xfId="10937"/>
    <cellStyle name="标题 3 6 3 3" xfId="10940"/>
    <cellStyle name="标题 3 6 4" xfId="10949"/>
    <cellStyle name="标题 3 7" xfId="9329"/>
    <cellStyle name="标题 3 7 2" xfId="10952"/>
    <cellStyle name="标题 3 7 2 2" xfId="10958"/>
    <cellStyle name="标题 3 7 2 3" xfId="10962"/>
    <cellStyle name="标题 3 7 3" xfId="10966"/>
    <cellStyle name="标题 3 8" xfId="2038"/>
    <cellStyle name="标题 3 8 2" xfId="2046"/>
    <cellStyle name="标题 3 9" xfId="2061"/>
    <cellStyle name="标题 4 10" xfId="1153"/>
    <cellStyle name="标题 4 2" xfId="6153"/>
    <cellStyle name="标题 4 2 2" xfId="10969"/>
    <cellStyle name="标题 4 2 2 2" xfId="10975"/>
    <cellStyle name="标题 4 2 2 2 2" xfId="7740"/>
    <cellStyle name="标题 4 2 2 2 2 2" xfId="235"/>
    <cellStyle name="标题 4 2 2 2 2 2 2" xfId="8863"/>
    <cellStyle name="标题 4 2 2 2 2 2 3" xfId="8878"/>
    <cellStyle name="标题 4 2 2 2 2 3" xfId="10976"/>
    <cellStyle name="标题 4 2 2 2 3" xfId="10977"/>
    <cellStyle name="标题 4 2 2 2 3 2" xfId="1338"/>
    <cellStyle name="标题 4 2 2 2 3 3" xfId="203"/>
    <cellStyle name="标题 4 2 2 2 4" xfId="10978"/>
    <cellStyle name="标题 4 2 2 3" xfId="10981"/>
    <cellStyle name="标题 4 2 2 3 2" xfId="7466"/>
    <cellStyle name="标题 4 2 2 3 2 2" xfId="3830"/>
    <cellStyle name="标题 4 2 2 3 2 3" xfId="4744"/>
    <cellStyle name="标题 4 2 2 3 3" xfId="7477"/>
    <cellStyle name="标题 4 2 2 4" xfId="191"/>
    <cellStyle name="标题 4 2 2 4 2" xfId="1188"/>
    <cellStyle name="标题 4 2 2 4 3" xfId="1193"/>
    <cellStyle name="标题 4 2 2 5" xfId="1213"/>
    <cellStyle name="标题 4 2 3" xfId="7757"/>
    <cellStyle name="标题 4 2 3 2" xfId="7765"/>
    <cellStyle name="标题 4 2 3 2 2" xfId="7827"/>
    <cellStyle name="标题 4 2 3 2 2 2" xfId="2310"/>
    <cellStyle name="标题 4 2 3 2 2 3" xfId="10985"/>
    <cellStyle name="标题 4 2 3 2 3" xfId="10988"/>
    <cellStyle name="标题 4 2 3 3" xfId="7773"/>
    <cellStyle name="标题 4 2 3 3 2" xfId="10995"/>
    <cellStyle name="标题 4 2 3 3 3" xfId="10997"/>
    <cellStyle name="标题 4 2 3 4" xfId="1223"/>
    <cellStyle name="标题 4 2 4" xfId="7780"/>
    <cellStyle name="标题 4 2 4 2" xfId="11001"/>
    <cellStyle name="标题 4 2 4 2 2" xfId="2382"/>
    <cellStyle name="标题 4 2 4 2 2 2" xfId="11002"/>
    <cellStyle name="标题 4 2 4 2 2 3" xfId="5022"/>
    <cellStyle name="标题 4 2 4 2 3" xfId="11007"/>
    <cellStyle name="标题 4 2 4 3" xfId="11010"/>
    <cellStyle name="标题 4 2 4 3 2" xfId="3015"/>
    <cellStyle name="标题 4 2 4 3 3" xfId="11014"/>
    <cellStyle name="标题 4 2 4 4" xfId="11016"/>
    <cellStyle name="标题 4 2 5" xfId="11018"/>
    <cellStyle name="标题 4 2 5 2" xfId="11023"/>
    <cellStyle name="标题 4 2 5 2 2" xfId="2778"/>
    <cellStyle name="标题 4 2 5 2 3" xfId="11029"/>
    <cellStyle name="标题 4 2 5 3" xfId="11032"/>
    <cellStyle name="标题 4 2 6" xfId="11034"/>
    <cellStyle name="标题 4 2 6 2" xfId="1629"/>
    <cellStyle name="标题 4 2 6 3" xfId="1782"/>
    <cellStyle name="标题 4 2 7" xfId="11040"/>
    <cellStyle name="标题 4 3" xfId="4776"/>
    <cellStyle name="标题 4 3 2" xfId="11041"/>
    <cellStyle name="标题 4 3 2 2" xfId="11046"/>
    <cellStyle name="标题 4 3 2 2 2" xfId="11047"/>
    <cellStyle name="标题 4 3 2 2 2 2" xfId="4533"/>
    <cellStyle name="标题 4 3 2 2 2 2 2" xfId="11050"/>
    <cellStyle name="标题 4 3 2 2 2 2 3" xfId="11052"/>
    <cellStyle name="标题 4 3 2 2 2 3" xfId="11054"/>
    <cellStyle name="标题 4 3 2 2 3" xfId="11055"/>
    <cellStyle name="标题 4 3 2 2 3 2" xfId="2988"/>
    <cellStyle name="标题 4 3 2 2 3 3" xfId="11057"/>
    <cellStyle name="标题 4 3 2 2 4" xfId="11058"/>
    <cellStyle name="标题 4 3 2 3" xfId="7722"/>
    <cellStyle name="标题 4 3 2 3 2" xfId="7981"/>
    <cellStyle name="标题 4 3 2 3 2 2" xfId="4554"/>
    <cellStyle name="标题 4 3 2 3 2 3" xfId="7998"/>
    <cellStyle name="标题 4 3 2 3 3" xfId="8009"/>
    <cellStyle name="标题 4 3 2 4" xfId="1260"/>
    <cellStyle name="标题 4 3 2 4 2" xfId="6459"/>
    <cellStyle name="标题 4 3 2 4 3" xfId="8152"/>
    <cellStyle name="标题 4 3 2 5" xfId="1265"/>
    <cellStyle name="标题 4 3 3" xfId="7801"/>
    <cellStyle name="标题 4 3 3 2" xfId="11060"/>
    <cellStyle name="标题 4 3 3 2 2" xfId="11062"/>
    <cellStyle name="标题 4 3 3 2 2 2" xfId="11064"/>
    <cellStyle name="标题 4 3 3 2 2 3" xfId="11066"/>
    <cellStyle name="标题 4 3 3 2 3" xfId="11070"/>
    <cellStyle name="标题 4 3 3 3" xfId="8255"/>
    <cellStyle name="标题 4 3 3 3 2" xfId="11073"/>
    <cellStyle name="标题 4 3 3 3 3" xfId="11076"/>
    <cellStyle name="标题 4 3 3 4" xfId="8258"/>
    <cellStyle name="标题 4 3 4" xfId="9202"/>
    <cellStyle name="标题 4 3 4 2" xfId="11079"/>
    <cellStyle name="标题 4 3 4 2 2" xfId="3059"/>
    <cellStyle name="标题 4 3 4 2 2 2" xfId="11080"/>
    <cellStyle name="标题 4 3 4 2 2 3" xfId="7535"/>
    <cellStyle name="标题 4 3 4 2 3" xfId="11083"/>
    <cellStyle name="标题 4 3 4 3" xfId="11086"/>
    <cellStyle name="标题 4 3 4 3 2" xfId="11090"/>
    <cellStyle name="标题 4 3 4 3 3" xfId="11098"/>
    <cellStyle name="标题 4 3 4 4" xfId="11100"/>
    <cellStyle name="标题 4 3 5" xfId="11102"/>
    <cellStyle name="标题 4 3 5 2" xfId="11105"/>
    <cellStyle name="标题 4 3 5 2 2" xfId="10000"/>
    <cellStyle name="标题 4 3 5 2 3" xfId="11107"/>
    <cellStyle name="标题 4 3 5 3" xfId="11109"/>
    <cellStyle name="标题 4 3 6" xfId="11110"/>
    <cellStyle name="标题 4 3 6 2" xfId="2816"/>
    <cellStyle name="标题 4 3 6 3" xfId="2857"/>
    <cellStyle name="标题 4 3 7" xfId="11113"/>
    <cellStyle name="标题 4 4" xfId="4781"/>
    <cellStyle name="标题 4 4 2" xfId="11114"/>
    <cellStyle name="标题 4 4 2 2" xfId="11119"/>
    <cellStyle name="标题 4 4 2 2 2" xfId="11120"/>
    <cellStyle name="标题 4 4 2 2 2 2" xfId="5180"/>
    <cellStyle name="标题 4 4 2 2 2 2 2" xfId="11121"/>
    <cellStyle name="标题 4 4 2 2 2 2 3" xfId="11122"/>
    <cellStyle name="标题 4 4 2 2 2 3" xfId="11123"/>
    <cellStyle name="标题 4 4 2 2 3" xfId="1500"/>
    <cellStyle name="标题 4 4 2 2 3 2" xfId="4725"/>
    <cellStyle name="标题 4 4 2 2 3 3" xfId="4736"/>
    <cellStyle name="标题 4 4 2 2 4" xfId="1517"/>
    <cellStyle name="标题 4 4 2 3" xfId="11125"/>
    <cellStyle name="标题 4 4 2 3 2" xfId="11129"/>
    <cellStyle name="标题 4 4 2 3 2 2" xfId="5206"/>
    <cellStyle name="标题 4 4 2 3 2 3" xfId="11130"/>
    <cellStyle name="标题 4 4 2 3 3" xfId="4742"/>
    <cellStyle name="标题 4 4 2 4" xfId="11132"/>
    <cellStyle name="标题 4 4 2 4 2" xfId="11136"/>
    <cellStyle name="标题 4 4 2 4 3" xfId="7492"/>
    <cellStyle name="标题 4 4 2 5" xfId="11138"/>
    <cellStyle name="标题 4 4 3" xfId="11139"/>
    <cellStyle name="标题 4 4 3 2" xfId="11143"/>
    <cellStyle name="标题 4 4 3 2 2" xfId="11147"/>
    <cellStyle name="标题 4 4 3 2 2 2" xfId="11152"/>
    <cellStyle name="标题 4 4 3 2 2 3" xfId="11157"/>
    <cellStyle name="标题 4 4 3 2 3" xfId="4766"/>
    <cellStyle name="标题 4 4 3 3" xfId="11159"/>
    <cellStyle name="标题 4 4 3 3 2" xfId="11162"/>
    <cellStyle name="标题 4 4 3 3 3" xfId="10878"/>
    <cellStyle name="标题 4 4 3 4" xfId="11164"/>
    <cellStyle name="标题 4 4 4" xfId="11166"/>
    <cellStyle name="标题 4 4 4 2" xfId="11170"/>
    <cellStyle name="标题 4 4 4 2 2" xfId="3123"/>
    <cellStyle name="标题 4 4 4 2 2 2" xfId="11171"/>
    <cellStyle name="标题 4 4 4 2 2 3" xfId="7703"/>
    <cellStyle name="标题 4 4 4 2 3" xfId="11044"/>
    <cellStyle name="标题 4 4 4 3" xfId="11174"/>
    <cellStyle name="标题 4 4 4 3 2" xfId="11177"/>
    <cellStyle name="标题 4 4 4 3 3" xfId="11117"/>
    <cellStyle name="标题 4 4 4 4" xfId="11179"/>
    <cellStyle name="标题 4 4 5" xfId="11181"/>
    <cellStyle name="标题 4 4 5 2" xfId="11184"/>
    <cellStyle name="标题 4 4 5 2 2" xfId="40"/>
    <cellStyle name="标题 4 4 5 2 3" xfId="445"/>
    <cellStyle name="标题 4 4 5 3" xfId="11186"/>
    <cellStyle name="标题 4 4 6" xfId="11187"/>
    <cellStyle name="标题 4 4 6 2" xfId="3679"/>
    <cellStyle name="标题 4 4 6 3" xfId="3768"/>
    <cellStyle name="标题 4 4 7" xfId="11191"/>
    <cellStyle name="标题 4 5" xfId="11197"/>
    <cellStyle name="标题 4 5 2" xfId="11200"/>
    <cellStyle name="标题 4 5 2 2" xfId="11204"/>
    <cellStyle name="标题 4 5 2 2 2" xfId="4016"/>
    <cellStyle name="标题 4 5 2 2 2 2" xfId="5653"/>
    <cellStyle name="标题 4 5 2 2 2 3" xfId="11205"/>
    <cellStyle name="标题 4 5 2 2 3" xfId="199"/>
    <cellStyle name="标题 4 5 2 3" xfId="11209"/>
    <cellStyle name="标题 4 5 2 3 2" xfId="4019"/>
    <cellStyle name="标题 4 5 2 3 3" xfId="4895"/>
    <cellStyle name="标题 4 5 2 4" xfId="11211"/>
    <cellStyle name="标题 4 5 3" xfId="11213"/>
    <cellStyle name="标题 4 5 3 2" xfId="11218"/>
    <cellStyle name="标题 4 5 3 2 2" xfId="4049"/>
    <cellStyle name="标题 4 5 3 2 3" xfId="4912"/>
    <cellStyle name="标题 4 5 3 3" xfId="11220"/>
    <cellStyle name="标题 4 5 4" xfId="11221"/>
    <cellStyle name="标题 4 5 4 2" xfId="11226"/>
    <cellStyle name="标题 4 5 4 3" xfId="11230"/>
    <cellStyle name="标题 4 5 5" xfId="11232"/>
    <cellStyle name="标题 4 6" xfId="9335"/>
    <cellStyle name="标题 4 6 2" xfId="11235"/>
    <cellStyle name="标题 4 6 2 2" xfId="11238"/>
    <cellStyle name="标题 4 6 2 2 2" xfId="4247"/>
    <cellStyle name="标题 4 6 2 2 3" xfId="5064"/>
    <cellStyle name="标题 4 6 2 3" xfId="11239"/>
    <cellStyle name="标题 4 6 3" xfId="11240"/>
    <cellStyle name="标题 4 6 3 2" xfId="11244"/>
    <cellStyle name="标题 4 6 3 3" xfId="11245"/>
    <cellStyle name="标题 4 6 4" xfId="11247"/>
    <cellStyle name="标题 4 7" xfId="9341"/>
    <cellStyle name="标题 4 7 2" xfId="11250"/>
    <cellStyle name="标题 4 7 2 2" xfId="11254"/>
    <cellStyle name="标题 4 7 2 2 2" xfId="4115"/>
    <cellStyle name="标题 4 7 2 2 3" xfId="11257"/>
    <cellStyle name="标题 4 7 2 3" xfId="11258"/>
    <cellStyle name="标题 4 7 3" xfId="11260"/>
    <cellStyle name="标题 4 7 3 2" xfId="11265"/>
    <cellStyle name="标题 4 7 3 3" xfId="11267"/>
    <cellStyle name="标题 4 7 4" xfId="11269"/>
    <cellStyle name="标题 4 8" xfId="2081"/>
    <cellStyle name="标题 4 8 2" xfId="11273"/>
    <cellStyle name="标题 4 8 2 2" xfId="11281"/>
    <cellStyle name="标题 4 8 2 3" xfId="11282"/>
    <cellStyle name="标题 4 8 3" xfId="4145"/>
    <cellStyle name="标题 4 9" xfId="2087"/>
    <cellStyle name="标题 4 9 2" xfId="11283"/>
    <cellStyle name="标题 5" xfId="11291"/>
    <cellStyle name="标题 5 2" xfId="11292"/>
    <cellStyle name="标题 5 2 2" xfId="11296"/>
    <cellStyle name="标题 5 2 2 2" xfId="11298"/>
    <cellStyle name="标题 5 2 2 2 2" xfId="11299"/>
    <cellStyle name="标题 5 2 2 2 2 2" xfId="167"/>
    <cellStyle name="标题 5 2 2 2 2 2 2" xfId="8450"/>
    <cellStyle name="标题 5 2 2 2 2 2 3" xfId="11305"/>
    <cellStyle name="标题 5 2 2 2 2 3" xfId="11307"/>
    <cellStyle name="标题 5 2 2 2 3" xfId="11308"/>
    <cellStyle name="标题 5 2 2 2 3 2" xfId="11310"/>
    <cellStyle name="标题 5 2 2 2 3 3" xfId="11312"/>
    <cellStyle name="标题 5 2 2 2 4" xfId="11313"/>
    <cellStyle name="标题 5 2 2 3" xfId="11315"/>
    <cellStyle name="标题 5 2 2 3 2" xfId="11316"/>
    <cellStyle name="标题 5 2 2 3 2 2" xfId="11317"/>
    <cellStyle name="标题 5 2 2 3 2 3" xfId="11318"/>
    <cellStyle name="标题 5 2 2 3 3" xfId="11319"/>
    <cellStyle name="标题 5 2 2 4" xfId="1496"/>
    <cellStyle name="标题 5 2 2 4 2" xfId="1511"/>
    <cellStyle name="标题 5 2 2 4 3" xfId="1530"/>
    <cellStyle name="标题 5 2 2 5" xfId="1540"/>
    <cellStyle name="标题 5 2 3" xfId="7865"/>
    <cellStyle name="标题 5 2 3 2" xfId="346"/>
    <cellStyle name="标题 5 2 3 2 2" xfId="6223"/>
    <cellStyle name="标题 5 2 3 2 2 2" xfId="11322"/>
    <cellStyle name="标题 5 2 3 2 2 3" xfId="11325"/>
    <cellStyle name="标题 5 2 3 2 3" xfId="6228"/>
    <cellStyle name="标题 5 2 3 3" xfId="567"/>
    <cellStyle name="标题 5 2 3 3 2" xfId="11328"/>
    <cellStyle name="标题 5 2 3 3 3" xfId="11331"/>
    <cellStyle name="标题 5 2 3 4" xfId="1561"/>
    <cellStyle name="标题 5 2 4" xfId="9252"/>
    <cellStyle name="标题 5 2 4 2" xfId="2293"/>
    <cellStyle name="标题 5 2 4 2 2" xfId="2302"/>
    <cellStyle name="标题 5 2 4 2 2 2" xfId="4885"/>
    <cellStyle name="标题 5 2 4 2 2 3" xfId="5515"/>
    <cellStyle name="标题 5 2 4 2 3" xfId="2331"/>
    <cellStyle name="标题 5 2 4 3" xfId="11333"/>
    <cellStyle name="标题 5 2 4 3 2" xfId="3213"/>
    <cellStyle name="标题 5 2 4 3 3" xfId="5613"/>
    <cellStyle name="标题 5 2 4 4" xfId="11335"/>
    <cellStyle name="标题 5 2 5" xfId="9214"/>
    <cellStyle name="标题 5 2 5 2" xfId="2356"/>
    <cellStyle name="标题 5 2 5 2 2" xfId="3233"/>
    <cellStyle name="标题 5 2 5 2 3" xfId="11338"/>
    <cellStyle name="标题 5 2 5 3" xfId="11339"/>
    <cellStyle name="标题 5 2 6" xfId="9216"/>
    <cellStyle name="标题 5 2 6 2" xfId="11343"/>
    <cellStyle name="标题 5 2 6 3" xfId="11344"/>
    <cellStyle name="标题 5 2 7" xfId="11345"/>
    <cellStyle name="标题 5 3" xfId="11346"/>
    <cellStyle name="标题 5 3 2" xfId="448"/>
    <cellStyle name="标题 5 3 2 2" xfId="582"/>
    <cellStyle name="标题 5 3 2 2 2" xfId="3917"/>
    <cellStyle name="标题 5 3 2 2 2 2" xfId="3922"/>
    <cellStyle name="标题 5 3 2 2 2 3" xfId="3963"/>
    <cellStyle name="标题 5 3 2 2 3" xfId="4054"/>
    <cellStyle name="标题 5 3 2 3" xfId="11350"/>
    <cellStyle name="标题 5 3 2 3 2" xfId="8427"/>
    <cellStyle name="标题 5 3 2 3 3" xfId="8438"/>
    <cellStyle name="标题 5 3 2 4" xfId="1602"/>
    <cellStyle name="标题 5 3 3" xfId="367"/>
    <cellStyle name="标题 5 3 3 2" xfId="4595"/>
    <cellStyle name="标题 5 3 3 2 2" xfId="4601"/>
    <cellStyle name="标题 5 3 3 2 3" xfId="4790"/>
    <cellStyle name="标题 5 3 3 3" xfId="6352"/>
    <cellStyle name="标题 5 3 4" xfId="292"/>
    <cellStyle name="标题 5 3 4 2" xfId="2384"/>
    <cellStyle name="标题 5 3 4 3" xfId="11352"/>
    <cellStyle name="标题 5 3 5" xfId="9504"/>
    <cellStyle name="标题 5 4" xfId="11354"/>
    <cellStyle name="标题 5 4 2" xfId="11359"/>
    <cellStyle name="标题 5 4 2 2" xfId="11360"/>
    <cellStyle name="标题 5 4 2 2 2" xfId="11362"/>
    <cellStyle name="标题 5 4 2 2 3" xfId="11363"/>
    <cellStyle name="标题 5 4 2 3" xfId="11364"/>
    <cellStyle name="标题 5 4 3" xfId="11367"/>
    <cellStyle name="标题 5 4 3 2" xfId="6455"/>
    <cellStyle name="标题 5 4 3 3" xfId="6464"/>
    <cellStyle name="标题 5 4 4" xfId="11368"/>
    <cellStyle name="标题 5 5" xfId="11373"/>
    <cellStyle name="标题 5 5 2" xfId="11378"/>
    <cellStyle name="标题 5 5 2 2" xfId="11379"/>
    <cellStyle name="标题 5 5 2 2 2" xfId="11381"/>
    <cellStyle name="标题 5 5 2 2 3" xfId="11382"/>
    <cellStyle name="标题 5 5 2 3" xfId="11383"/>
    <cellStyle name="标题 5 5 3" xfId="11385"/>
    <cellStyle name="标题 5 5 3 2" xfId="6567"/>
    <cellStyle name="标题 5 5 3 3" xfId="11386"/>
    <cellStyle name="标题 5 5 4" xfId="11388"/>
    <cellStyle name="标题 5 6" xfId="11392"/>
    <cellStyle name="标题 5 6 2" xfId="11397"/>
    <cellStyle name="标题 5 6 2 2" xfId="9294"/>
    <cellStyle name="标题 5 6 2 3" xfId="9300"/>
    <cellStyle name="标题 5 6 3" xfId="11399"/>
    <cellStyle name="标题 5 7" xfId="10680"/>
    <cellStyle name="标题 5 7 2" xfId="269"/>
    <cellStyle name="标题 5 7 3" xfId="4197"/>
    <cellStyle name="标题 5 8" xfId="10685"/>
    <cellStyle name="标题 6" xfId="11401"/>
    <cellStyle name="标题 6 2" xfId="11403"/>
    <cellStyle name="标题 6 2 2" xfId="636"/>
    <cellStyle name="标题 6 2 2 2" xfId="644"/>
    <cellStyle name="标题 6 2 2 2 2" xfId="3574"/>
    <cellStyle name="标题 6 2 2 2 2 2" xfId="1403"/>
    <cellStyle name="标题 6 2 2 2 2 3" xfId="1469"/>
    <cellStyle name="标题 6 2 2 2 3" xfId="3584"/>
    <cellStyle name="标题 6 2 2 3" xfId="648"/>
    <cellStyle name="标题 6 2 2 3 2" xfId="3596"/>
    <cellStyle name="标题 6 2 2 3 3" xfId="3603"/>
    <cellStyle name="标题 6 2 2 4" xfId="3606"/>
    <cellStyle name="标题 6 2 3" xfId="655"/>
    <cellStyle name="标题 6 2 3 2" xfId="3614"/>
    <cellStyle name="标题 6 2 3 2 2" xfId="3629"/>
    <cellStyle name="标题 6 2 3 2 3" xfId="3639"/>
    <cellStyle name="标题 6 2 3 3" xfId="3643"/>
    <cellStyle name="标题 6 2 4" xfId="2475"/>
    <cellStyle name="标题 6 2 4 2" xfId="609"/>
    <cellStyle name="标题 6 2 4 3" xfId="708"/>
    <cellStyle name="标题 6 2 5" xfId="2496"/>
    <cellStyle name="标题 6 3" xfId="11406"/>
    <cellStyle name="标题 6 3 2" xfId="676"/>
    <cellStyle name="标题 6 3 2 2" xfId="118"/>
    <cellStyle name="标题 6 3 2 2 2" xfId="3723"/>
    <cellStyle name="标题 6 3 2 2 3" xfId="3734"/>
    <cellStyle name="标题 6 3 2 3" xfId="233"/>
    <cellStyle name="标题 6 3 3" xfId="695"/>
    <cellStyle name="标题 6 3 3 2" xfId="3740"/>
    <cellStyle name="标题 6 3 3 3" xfId="1336"/>
    <cellStyle name="标题 6 3 4" xfId="2521"/>
    <cellStyle name="标题 6 4" xfId="11410"/>
    <cellStyle name="标题 6 4 2" xfId="3822"/>
    <cellStyle name="标题 6 4 2 2" xfId="3827"/>
    <cellStyle name="标题 6 4 2 2 2" xfId="5164"/>
    <cellStyle name="标题 6 4 2 2 3" xfId="9515"/>
    <cellStyle name="标题 6 4 2 3" xfId="3833"/>
    <cellStyle name="标题 6 4 3" xfId="3841"/>
    <cellStyle name="标题 6 4 3 2" xfId="11417"/>
    <cellStyle name="标题 6 4 3 3" xfId="7482"/>
    <cellStyle name="标题 6 4 4" xfId="11421"/>
    <cellStyle name="标题 6 5" xfId="11426"/>
    <cellStyle name="标题 6 5 2" xfId="3880"/>
    <cellStyle name="标题 6 5 2 2" xfId="3892"/>
    <cellStyle name="标题 6 5 2 3" xfId="3897"/>
    <cellStyle name="标题 6 5 3" xfId="3906"/>
    <cellStyle name="标题 6 6" xfId="11432"/>
    <cellStyle name="标题 6 6 2" xfId="3127"/>
    <cellStyle name="标题 6 6 3" xfId="11437"/>
    <cellStyle name="标题 6 7" xfId="10697"/>
    <cellStyle name="标题 7" xfId="11438"/>
    <cellStyle name="标题 7 2" xfId="11439"/>
    <cellStyle name="标题 7 2 2" xfId="11444"/>
    <cellStyle name="标题 7 2 2 2" xfId="11447"/>
    <cellStyle name="标题 7 2 2 3" xfId="11450"/>
    <cellStyle name="标题 7 2 3" xfId="785"/>
    <cellStyle name="标题 7 3" xfId="11452"/>
    <cellStyle name="标题 7 3 2" xfId="11456"/>
    <cellStyle name="标题 7 3 3" xfId="11457"/>
    <cellStyle name="标题 7 4" xfId="11458"/>
    <cellStyle name="标题 8" xfId="11463"/>
    <cellStyle name="标题 8 2" xfId="11464"/>
    <cellStyle name="标题 8 2 2" xfId="11467"/>
    <cellStyle name="标题 8 2 2 2" xfId="11259"/>
    <cellStyle name="标题 8 2 2 3" xfId="11268"/>
    <cellStyle name="标题 8 2 3" xfId="141"/>
    <cellStyle name="标题 8 3" xfId="11468"/>
    <cellStyle name="标题 8 3 2" xfId="11472"/>
    <cellStyle name="标题 8 3 3" xfId="4208"/>
    <cellStyle name="标题 8 4" xfId="11473"/>
    <cellStyle name="标题 9" xfId="11478"/>
    <cellStyle name="标题 9 2" xfId="11479"/>
    <cellStyle name="标题 9 2 2" xfId="11482"/>
    <cellStyle name="标题 9 2 2 2" xfId="11485"/>
    <cellStyle name="标题 9 2 2 3" xfId="11488"/>
    <cellStyle name="标题 9 2 3" xfId="4410"/>
    <cellStyle name="标题 9 3" xfId="11489"/>
    <cellStyle name="标题 9 3 2" xfId="11493"/>
    <cellStyle name="标题 9 3 3" xfId="465"/>
    <cellStyle name="标题 9 4" xfId="11496"/>
    <cellStyle name="差 2" xfId="11502"/>
    <cellStyle name="差 2 10" xfId="11505"/>
    <cellStyle name="差 2 2" xfId="11508"/>
    <cellStyle name="差 2 2 2" xfId="11511"/>
    <cellStyle name="差 2 2 2 2" xfId="1713"/>
    <cellStyle name="差 2 2 2 2 2" xfId="1725"/>
    <cellStyle name="差 2 2 2 2 2 2" xfId="11516"/>
    <cellStyle name="差 2 2 2 2 2 2 2" xfId="6895"/>
    <cellStyle name="差 2 2 2 2 2 2 3" xfId="7291"/>
    <cellStyle name="差 2 2 2 2 2 3" xfId="6281"/>
    <cellStyle name="差 2 2 2 2 3" xfId="952"/>
    <cellStyle name="差 2 2 2 2 3 2" xfId="6898"/>
    <cellStyle name="差 2 2 2 2 3 3" xfId="6919"/>
    <cellStyle name="差 2 2 2 2 4" xfId="984"/>
    <cellStyle name="差 2 2 2 3" xfId="1742"/>
    <cellStyle name="差 2 2 2 3 2" xfId="11519"/>
    <cellStyle name="差 2 2 2 3 2 2" xfId="11520"/>
    <cellStyle name="差 2 2 2 3 2 3" xfId="11523"/>
    <cellStyle name="差 2 2 2 3 3" xfId="4987"/>
    <cellStyle name="差 2 2 2 4" xfId="7428"/>
    <cellStyle name="差 2 2 2 4 2" xfId="1434"/>
    <cellStyle name="差 2 2 2 4 3" xfId="5032"/>
    <cellStyle name="差 2 2 2 5" xfId="6089"/>
    <cellStyle name="差 2 2 3" xfId="11528"/>
    <cellStyle name="差 2 2 3 2" xfId="1759"/>
    <cellStyle name="差 2 2 3 2 2" xfId="11529"/>
    <cellStyle name="差 2 2 3 2 2 2" xfId="11531"/>
    <cellStyle name="差 2 2 3 2 2 3" xfId="11536"/>
    <cellStyle name="差 2 2 3 2 3" xfId="6716"/>
    <cellStyle name="差 2 2 3 3" xfId="3781"/>
    <cellStyle name="差 2 2 3 3 2" xfId="3792"/>
    <cellStyle name="差 2 2 3 3 3" xfId="3798"/>
    <cellStyle name="差 2 2 3 4" xfId="3810"/>
    <cellStyle name="差 2 2 4" xfId="11540"/>
    <cellStyle name="差 2 2 4 2" xfId="11541"/>
    <cellStyle name="差 2 2 4 2 2" xfId="9483"/>
    <cellStyle name="差 2 2 4 2 2 2" xfId="1022"/>
    <cellStyle name="差 2 2 4 2 2 3" xfId="1055"/>
    <cellStyle name="差 2 2 4 2 3" xfId="501"/>
    <cellStyle name="差 2 2 4 3" xfId="3825"/>
    <cellStyle name="差 2 2 4 3 2" xfId="5161"/>
    <cellStyle name="差 2 2 4 3 3" xfId="9512"/>
    <cellStyle name="差 2 2 4 4" xfId="3831"/>
    <cellStyle name="差 2 2 5" xfId="11542"/>
    <cellStyle name="差 2 2 5 2" xfId="11543"/>
    <cellStyle name="差 2 2 5 2 2" xfId="11545"/>
    <cellStyle name="差 2 2 5 2 3" xfId="8707"/>
    <cellStyle name="差 2 2 5 3" xfId="11414"/>
    <cellStyle name="差 2 2 6" xfId="11548"/>
    <cellStyle name="差 2 2 6 2" xfId="11550"/>
    <cellStyle name="差 2 2 6 3" xfId="11552"/>
    <cellStyle name="差 2 2 7" xfId="282"/>
    <cellStyle name="差 2 3" xfId="6367"/>
    <cellStyle name="差 2 3 2" xfId="337"/>
    <cellStyle name="差 2 3 2 2" xfId="11554"/>
    <cellStyle name="差 2 3 2 2 2" xfId="543"/>
    <cellStyle name="差 2 3 2 2 2 2" xfId="11556"/>
    <cellStyle name="差 2 3 2 2 2 2 2" xfId="7197"/>
    <cellStyle name="差 2 3 2 2 2 2 3" xfId="7800"/>
    <cellStyle name="差 2 3 2 2 2 3" xfId="6384"/>
    <cellStyle name="差 2 3 2 2 3" xfId="7412"/>
    <cellStyle name="差 2 3 2 2 3 2" xfId="7416"/>
    <cellStyle name="差 2 3 2 2 3 3" xfId="7513"/>
    <cellStyle name="差 2 3 2 2 4" xfId="11564"/>
    <cellStyle name="差 2 3 2 3" xfId="11565"/>
    <cellStyle name="差 2 3 2 3 2" xfId="11566"/>
    <cellStyle name="差 2 3 2 3 2 2" xfId="11568"/>
    <cellStyle name="差 2 3 2 3 2 3" xfId="11571"/>
    <cellStyle name="差 2 3 2 3 3" xfId="7881"/>
    <cellStyle name="差 2 3 2 4" xfId="7529"/>
    <cellStyle name="差 2 3 2 4 2" xfId="1524"/>
    <cellStyle name="差 2 3 2 4 3" xfId="7546"/>
    <cellStyle name="差 2 3 2 5" xfId="7570"/>
    <cellStyle name="差 2 3 3" xfId="11573"/>
    <cellStyle name="差 2 3 3 2" xfId="11574"/>
    <cellStyle name="差 2 3 3 2 2" xfId="11575"/>
    <cellStyle name="差 2 3 3 2 2 2" xfId="11577"/>
    <cellStyle name="差 2 3 3 2 2 3" xfId="11582"/>
    <cellStyle name="差 2 3 3 2 3" xfId="11586"/>
    <cellStyle name="差 2 3 3 3" xfId="1698"/>
    <cellStyle name="差 2 3 3 3 2" xfId="3860"/>
    <cellStyle name="差 2 3 3 3 3" xfId="3870"/>
    <cellStyle name="差 2 3 3 4" xfId="3873"/>
    <cellStyle name="差 2 3 4" xfId="11587"/>
    <cellStyle name="差 2 3 4 2" xfId="11588"/>
    <cellStyle name="差 2 3 4 2 2" xfId="2333"/>
    <cellStyle name="差 2 3 4 2 2 2" xfId="2366"/>
    <cellStyle name="差 2 3 4 2 2 3" xfId="2423"/>
    <cellStyle name="差 2 3 4 2 3" xfId="9792"/>
    <cellStyle name="差 2 3 4 3" xfId="3889"/>
    <cellStyle name="差 2 3 4 3 2" xfId="9842"/>
    <cellStyle name="差 2 3 4 3 3" xfId="9847"/>
    <cellStyle name="差 2 3 4 4" xfId="3895"/>
    <cellStyle name="差 2 3 5" xfId="11590"/>
    <cellStyle name="差 2 3 5 2" xfId="11592"/>
    <cellStyle name="差 2 3 5 2 2" xfId="11593"/>
    <cellStyle name="差 2 3 5 2 3" xfId="8718"/>
    <cellStyle name="差 2 3 5 3" xfId="11594"/>
    <cellStyle name="差 2 3 6" xfId="11603"/>
    <cellStyle name="差 2 3 6 2" xfId="11606"/>
    <cellStyle name="差 2 3 6 3" xfId="11608"/>
    <cellStyle name="差 2 3 7" xfId="9542"/>
    <cellStyle name="差 2 4" xfId="6371"/>
    <cellStyle name="差 2 4 2" xfId="11615"/>
    <cellStyle name="差 2 4 2 2" xfId="11616"/>
    <cellStyle name="差 2 4 2 2 2" xfId="11619"/>
    <cellStyle name="差 2 4 2 2 2 2" xfId="11621"/>
    <cellStyle name="差 2 4 2 2 2 2 2" xfId="7639"/>
    <cellStyle name="差 2 4 2 2 2 2 3" xfId="877"/>
    <cellStyle name="差 2 4 2 2 2 3" xfId="4168"/>
    <cellStyle name="差 2 4 2 2 3" xfId="11624"/>
    <cellStyle name="差 2 4 2 2 3 2" xfId="11627"/>
    <cellStyle name="差 2 4 2 2 3 3" xfId="63"/>
    <cellStyle name="差 2 4 2 2 4" xfId="11630"/>
    <cellStyle name="差 2 4 2 3" xfId="11631"/>
    <cellStyle name="差 2 4 2 3 2" xfId="11634"/>
    <cellStyle name="差 2 4 2 3 2 2" xfId="11636"/>
    <cellStyle name="差 2 4 2 3 2 3" xfId="11638"/>
    <cellStyle name="差 2 4 2 3 3" xfId="11641"/>
    <cellStyle name="差 2 4 2 4" xfId="7698"/>
    <cellStyle name="差 2 4 2 4 2" xfId="7173"/>
    <cellStyle name="差 2 4 2 4 3" xfId="7716"/>
    <cellStyle name="差 2 4 2 5" xfId="7730"/>
    <cellStyle name="差 2 4 3" xfId="11643"/>
    <cellStyle name="差 2 4 3 2" xfId="11644"/>
    <cellStyle name="差 2 4 3 2 2" xfId="11645"/>
    <cellStyle name="差 2 4 3 2 2 2" xfId="11648"/>
    <cellStyle name="差 2 4 3 2 2 3" xfId="11650"/>
    <cellStyle name="差 2 4 3 2 3" xfId="11651"/>
    <cellStyle name="差 2 4 3 3" xfId="3100"/>
    <cellStyle name="差 2 4 3 3 2" xfId="11653"/>
    <cellStyle name="差 2 4 3 3 3" xfId="11655"/>
    <cellStyle name="差 2 4 3 4" xfId="3115"/>
    <cellStyle name="差 2 4 4" xfId="11657"/>
    <cellStyle name="差 2 4 4 2" xfId="11658"/>
    <cellStyle name="差 2 4 4 2 2" xfId="10037"/>
    <cellStyle name="差 2 4 4 2 2 2" xfId="838"/>
    <cellStyle name="差 2 4 4 2 2 3" xfId="3247"/>
    <cellStyle name="差 2 4 4 2 3" xfId="5520"/>
    <cellStyle name="差 2 4 4 3" xfId="11659"/>
    <cellStyle name="差 2 4 4 3 2" xfId="10058"/>
    <cellStyle name="差 2 4 4 3 3" xfId="10061"/>
    <cellStyle name="差 2 4 4 4" xfId="7809"/>
    <cellStyle name="差 2 4 5" xfId="11661"/>
    <cellStyle name="差 2 4 5 2" xfId="11662"/>
    <cellStyle name="差 2 4 5 2 2" xfId="11663"/>
    <cellStyle name="差 2 4 5 2 3" xfId="11664"/>
    <cellStyle name="差 2 4 5 3" xfId="11666"/>
    <cellStyle name="差 2 4 6" xfId="6775"/>
    <cellStyle name="差 2 4 6 2" xfId="54"/>
    <cellStyle name="差 2 4 6 3" xfId="6784"/>
    <cellStyle name="差 2 4 7" xfId="6793"/>
    <cellStyle name="差 2 5" xfId="11669"/>
    <cellStyle name="差 2 5 2" xfId="11672"/>
    <cellStyle name="差 2 5 2 2" xfId="11674"/>
    <cellStyle name="差 2 5 2 2 2" xfId="11675"/>
    <cellStyle name="差 2 5 2 2 2 2" xfId="11677"/>
    <cellStyle name="差 2 5 2 2 2 3" xfId="7917"/>
    <cellStyle name="差 2 5 2 2 3" xfId="11678"/>
    <cellStyle name="差 2 5 2 3" xfId="10363"/>
    <cellStyle name="差 2 5 2 3 2" xfId="11679"/>
    <cellStyle name="差 2 5 2 3 3" xfId="11680"/>
    <cellStyle name="差 2 5 2 4" xfId="7846"/>
    <cellStyle name="差 2 5 3" xfId="11681"/>
    <cellStyle name="差 2 5 3 2" xfId="11683"/>
    <cellStyle name="差 2 5 3 2 2" xfId="11685"/>
    <cellStyle name="差 2 5 3 2 3" xfId="11687"/>
    <cellStyle name="差 2 5 3 3" xfId="11688"/>
    <cellStyle name="差 2 5 4" xfId="11689"/>
    <cellStyle name="差 2 5 4 2" xfId="11690"/>
    <cellStyle name="差 2 5 4 3" xfId="11692"/>
    <cellStyle name="差 2 5 5" xfId="11694"/>
    <cellStyle name="差 2 6" xfId="11696"/>
    <cellStyle name="差 2 6 2" xfId="11700"/>
    <cellStyle name="差 2 6 2 2" xfId="11703"/>
    <cellStyle name="差 2 6 2 2 2" xfId="11706"/>
    <cellStyle name="差 2 6 2 2 3" xfId="11707"/>
    <cellStyle name="差 2 6 2 3" xfId="11709"/>
    <cellStyle name="差 2 6 3" xfId="11711"/>
    <cellStyle name="差 2 6 3 2" xfId="11713"/>
    <cellStyle name="差 2 6 3 3" xfId="11715"/>
    <cellStyle name="差 2 6 4" xfId="11717"/>
    <cellStyle name="差 2 7" xfId="11718"/>
    <cellStyle name="差 2 7 2" xfId="1539"/>
    <cellStyle name="差 2 7 2 2" xfId="11719"/>
    <cellStyle name="差 2 7 2 2 2" xfId="11720"/>
    <cellStyle name="差 2 7 2 2 3" xfId="5544"/>
    <cellStyle name="差 2 7 2 3" xfId="11722"/>
    <cellStyle name="差 2 7 3" xfId="11724"/>
    <cellStyle name="差 2 7 3 2" xfId="11725"/>
    <cellStyle name="差 2 7 3 3" xfId="11727"/>
    <cellStyle name="差 2 7 4" xfId="11728"/>
    <cellStyle name="差 2 8" xfId="11729"/>
    <cellStyle name="差 2 8 2" xfId="1573"/>
    <cellStyle name="差 2 8 2 2" xfId="11731"/>
    <cellStyle name="差 2 8 2 3" xfId="11733"/>
    <cellStyle name="差 2 8 3" xfId="11734"/>
    <cellStyle name="差 2 9" xfId="11735"/>
    <cellStyle name="差 2 9 2" xfId="11737"/>
    <cellStyle name="常规" xfId="0" builtinId="0"/>
    <cellStyle name="常规 10" xfId="7091"/>
    <cellStyle name="常规 10 10" xfId="11738"/>
    <cellStyle name="常规 10 10 2" xfId="11740"/>
    <cellStyle name="常规 10 2" xfId="7098"/>
    <cellStyle name="常规 10 2 2" xfId="7100"/>
    <cellStyle name="常规 10 2 2 2" xfId="11743"/>
    <cellStyle name="常规 10 2 2 2 2" xfId="11745"/>
    <cellStyle name="常规 10 2 2 2 2 2" xfId="6534"/>
    <cellStyle name="常规 10 2 2 2 2 2 2" xfId="11751"/>
    <cellStyle name="常规 10 2 2 2 2 2 2 2" xfId="11755"/>
    <cellStyle name="常规 10 2 2 2 2 2 2 3" xfId="11701"/>
    <cellStyle name="常规 10 2 2 2 2 2 2 3 2" xfId="11704"/>
    <cellStyle name="常规 10 2 2 2 2 2 3" xfId="1488"/>
    <cellStyle name="常规 10 2 2 2 2 2 4" xfId="1544"/>
    <cellStyle name="常规 10 2 2 2 2 3" xfId="11758"/>
    <cellStyle name="常规 10 2 2 2 3" xfId="11760"/>
    <cellStyle name="常规 10 2 2 2 3 2" xfId="4624"/>
    <cellStyle name="常规 10 2 2 2 3 2 2" xfId="11761"/>
    <cellStyle name="常规 10 2 2 2 3 2 3" xfId="1769"/>
    <cellStyle name="常规 10 2 2 2 3 3" xfId="11764"/>
    <cellStyle name="常规 10 2 2 2 3 3 2" xfId="11766"/>
    <cellStyle name="常规 10 2 2 2 3 3 2 2" xfId="3715"/>
    <cellStyle name="常规 10 2 2 2 3 3 2 3" xfId="11771"/>
    <cellStyle name="常规 10 2 2 2 3 3 2 3 2" xfId="8742"/>
    <cellStyle name="常规 10 2 2 2 3 3 3" xfId="11773"/>
    <cellStyle name="常规 10 2 2 2 3 3 4" xfId="11775"/>
    <cellStyle name="常规 10 2 2 2 3 4" xfId="11777"/>
    <cellStyle name="常规 10 2 2 2 4" xfId="11781"/>
    <cellStyle name="常规 10 2 2 2 4 2" xfId="11784"/>
    <cellStyle name="常规 10 2 2 2 4 2 2" xfId="11787"/>
    <cellStyle name="常规 10 2 2 2 4 2 3" xfId="11790"/>
    <cellStyle name="常规 10 2 2 2 4 2 3 2" xfId="11795"/>
    <cellStyle name="常规 10 2 2 2 4 3" xfId="11800"/>
    <cellStyle name="常规 10 2 2 2 4 4" xfId="11804"/>
    <cellStyle name="常规 10 2 2 2 5" xfId="4931"/>
    <cellStyle name="常规 10 2 2 3" xfId="11808"/>
    <cellStyle name="常规 10 2 2 3 2" xfId="11809"/>
    <cellStyle name="常规 10 2 2 3 2 2" xfId="11810"/>
    <cellStyle name="常规 10 2 2 3 2 2 2" xfId="8496"/>
    <cellStyle name="常规 10 2 2 3 2 2 3" xfId="7899"/>
    <cellStyle name="常规 10 2 2 3 2 3" xfId="11812"/>
    <cellStyle name="常规 10 2 2 3 2 3 2" xfId="10259"/>
    <cellStyle name="常规 10 2 2 3 2 3 2 2" xfId="11815"/>
    <cellStyle name="常规 10 2 2 3 2 3 2 3" xfId="3258"/>
    <cellStyle name="常规 10 2 2 3 2 3 2 3 2" xfId="3482"/>
    <cellStyle name="常规 10 2 2 3 2 3 3" xfId="11821"/>
    <cellStyle name="常规 10 2 2 3 2 3 4" xfId="11828"/>
    <cellStyle name="常规 10 2 2 3 2 4" xfId="9889"/>
    <cellStyle name="常规 10 2 2 3 3" xfId="11831"/>
    <cellStyle name="常规 10 2 2 3 3 2" xfId="11834"/>
    <cellStyle name="常规 10 2 2 3 3 2 2" xfId="11835"/>
    <cellStyle name="常规 10 2 2 3 3 2 3" xfId="11836"/>
    <cellStyle name="常规 10 2 2 3 3 2 3 2" xfId="462"/>
    <cellStyle name="常规 10 2 2 3 3 3" xfId="11840"/>
    <cellStyle name="常规 10 2 2 3 3 4" xfId="9895"/>
    <cellStyle name="常规 10 2 2 3 4" xfId="11843"/>
    <cellStyle name="常规 10 2 2 4" xfId="11845"/>
    <cellStyle name="常规 10 2 2 4 2" xfId="7065"/>
    <cellStyle name="常规 10 2 2 4 2 2" xfId="8124"/>
    <cellStyle name="常规 10 2 2 4 2 3" xfId="8512"/>
    <cellStyle name="常规 10 2 2 4 3" xfId="8521"/>
    <cellStyle name="常规 10 2 2 4 3 2" xfId="8146"/>
    <cellStyle name="常规 10 2 2 4 3 2 2" xfId="11848"/>
    <cellStyle name="常规 10 2 2 4 3 2 3" xfId="11851"/>
    <cellStyle name="常规 10 2 2 4 3 2 3 2" xfId="5040"/>
    <cellStyle name="常规 10 2 2 4 3 3" xfId="11853"/>
    <cellStyle name="常规 10 2 2 4 3 4" xfId="10308"/>
    <cellStyle name="常规 10 2 2 4 4" xfId="11857"/>
    <cellStyle name="常规 10 2 2 5" xfId="11860"/>
    <cellStyle name="常规 10 2 2 5 2" xfId="8528"/>
    <cellStyle name="常规 10 2 2 5 2 2" xfId="888"/>
    <cellStyle name="常规 10 2 2 5 2 3" xfId="9434"/>
    <cellStyle name="常规 10 2 2 5 2 3 2" xfId="10848"/>
    <cellStyle name="常规 10 2 2 5 3" xfId="8532"/>
    <cellStyle name="常规 10 2 2 5 4" xfId="11862"/>
    <cellStyle name="常规 10 2 2 6" xfId="11864"/>
    <cellStyle name="常规 10 2 3" xfId="3306"/>
    <cellStyle name="常规 10 2 3 2" xfId="11869"/>
    <cellStyle name="常规 10 2 3 2 2" xfId="11873"/>
    <cellStyle name="常规 10 2 3 2 2 2" xfId="11874"/>
    <cellStyle name="常规 10 2 3 2 2 3" xfId="11875"/>
    <cellStyle name="常规 10 2 3 2 3" xfId="11879"/>
    <cellStyle name="常规 10 2 3 2 3 2" xfId="11882"/>
    <cellStyle name="常规 10 2 3 2 3 2 2" xfId="11883"/>
    <cellStyle name="常规 10 2 3 2 3 2 3" xfId="2845"/>
    <cellStyle name="常规 10 2 3 2 3 2 3 2" xfId="11723"/>
    <cellStyle name="常规 10 2 3 2 3 3" xfId="11885"/>
    <cellStyle name="常规 10 2 3 2 3 4" xfId="11887"/>
    <cellStyle name="常规 10 2 3 2 4" xfId="11891"/>
    <cellStyle name="常规 10 2 3 3" xfId="11894"/>
    <cellStyle name="常规 10 2 3 3 2" xfId="8571"/>
    <cellStyle name="常规 10 2 3 3 2 2" xfId="9577"/>
    <cellStyle name="常规 10 2 3 3 2 3" xfId="9581"/>
    <cellStyle name="常规 10 2 3 3 2 3 2" xfId="11896"/>
    <cellStyle name="常规 10 2 3 3 3" xfId="8578"/>
    <cellStyle name="常规 10 2 3 3 4" xfId="9030"/>
    <cellStyle name="常规 10 2 3 4" xfId="11901"/>
    <cellStyle name="常规 10 2 4" xfId="11904"/>
    <cellStyle name="常规 10 2 4 2" xfId="3326"/>
    <cellStyle name="常规 10 2 4 2 2" xfId="11907"/>
    <cellStyle name="常规 10 2 4 2 2 2" xfId="11908"/>
    <cellStyle name="常规 10 2 4 2 2 2 2" xfId="5217"/>
    <cellStyle name="常规 10 2 4 2 2 2 3" xfId="3616"/>
    <cellStyle name="常规 10 2 4 2 2 2 3 2" xfId="3625"/>
    <cellStyle name="常规 10 2 4 2 2 3" xfId="11911"/>
    <cellStyle name="常规 10 2 4 2 2 4" xfId="11914"/>
    <cellStyle name="常规 10 2 4 2 3" xfId="11915"/>
    <cellStyle name="常规 10 2 4 3" xfId="3337"/>
    <cellStyle name="常规 10 2 4 3 2" xfId="9696"/>
    <cellStyle name="常规 10 2 4 3 2 2" xfId="9701"/>
    <cellStyle name="常规 10 2 4 3 2 3" xfId="9708"/>
    <cellStyle name="常规 10 2 4 3 3" xfId="9711"/>
    <cellStyle name="常规 10 2 4 3 3 2" xfId="7587"/>
    <cellStyle name="常规 10 2 4 3 3 2 2" xfId="9934"/>
    <cellStyle name="常规 10 2 4 3 3 2 3" xfId="10641"/>
    <cellStyle name="常规 10 2 4 3 3 2 3 2" xfId="8806"/>
    <cellStyle name="常规 10 2 4 3 3 3" xfId="9715"/>
    <cellStyle name="常规 10 2 4 3 3 4" xfId="5379"/>
    <cellStyle name="常规 10 2 4 3 4" xfId="9721"/>
    <cellStyle name="常规 10 2 4 4" xfId="4445"/>
    <cellStyle name="常规 10 2 4 4 2" xfId="2073"/>
    <cellStyle name="常规 10 2 4 4 2 2" xfId="2078"/>
    <cellStyle name="常规 10 2 4 4 2 3" xfId="2084"/>
    <cellStyle name="常规 10 2 4 4 2 3 2" xfId="11288"/>
    <cellStyle name="常规 10 2 4 4 3" xfId="1043"/>
    <cellStyle name="常规 10 2 4 4 4" xfId="11916"/>
    <cellStyle name="常规 10 2 4 5" xfId="11919"/>
    <cellStyle name="常规 10 2 5" xfId="1735"/>
    <cellStyle name="常规 10 2 5 2" xfId="8627"/>
    <cellStyle name="常规 10 2 5 2 2" xfId="11920"/>
    <cellStyle name="常规 10 2 5 2 2 2" xfId="11922"/>
    <cellStyle name="常规 10 2 5 2 2 3" xfId="11927"/>
    <cellStyle name="常规 10 2 5 2 3" xfId="8471"/>
    <cellStyle name="常规 10 2 5 3" xfId="11929"/>
    <cellStyle name="常规 10 2 5 3 2" xfId="9767"/>
    <cellStyle name="常规 10 2 5 3 3" xfId="8947"/>
    <cellStyle name="常规 10 2 5 4" xfId="11931"/>
    <cellStyle name="常规 10 2 6" xfId="965"/>
    <cellStyle name="常规 10 2 6 2" xfId="11933"/>
    <cellStyle name="常规 10 2 6 2 2" xfId="11935"/>
    <cellStyle name="常规 10 2 6 2 3" xfId="11936"/>
    <cellStyle name="常规 10 2 6 3" xfId="5587"/>
    <cellStyle name="常规 10 2 6 3 2" xfId="9831"/>
    <cellStyle name="常规 10 2 6 3 2 2" xfId="7114"/>
    <cellStyle name="常规 10 2 6 3 2 3" xfId="1351"/>
    <cellStyle name="常规 10 2 6 3 2 3 2" xfId="11938"/>
    <cellStyle name="常规 10 2 6 3 3" xfId="9837"/>
    <cellStyle name="常规 10 2 6 3 4" xfId="6007"/>
    <cellStyle name="常规 10 2 6 4" xfId="8480"/>
    <cellStyle name="常规 10 2 7" xfId="11941"/>
    <cellStyle name="常规 10 2 7 2" xfId="11943"/>
    <cellStyle name="常规 10 2 7 2 2" xfId="4332"/>
    <cellStyle name="常规 10 2 7 2 3" xfId="11945"/>
    <cellStyle name="常规 10 2 7 3" xfId="11947"/>
    <cellStyle name="常规 10 2 7 4" xfId="11949"/>
    <cellStyle name="常规 10 2 7 4 2" xfId="2476"/>
    <cellStyle name="常规 10 2 7 4 3" xfId="11951"/>
    <cellStyle name="常规 10 2 8" xfId="11952"/>
    <cellStyle name="常规 10 3" xfId="4821"/>
    <cellStyle name="常规 10 3 2" xfId="4564"/>
    <cellStyle name="常规 10 3 2 2" xfId="2611"/>
    <cellStyle name="常规 10 3 2 2 2" xfId="4566"/>
    <cellStyle name="常规 10 3 2 2 2 2" xfId="4576"/>
    <cellStyle name="常规 10 3 2 2 2 2 2" xfId="11954"/>
    <cellStyle name="常规 10 3 2 2 2 2 3" xfId="11956"/>
    <cellStyle name="常规 10 3 2 2 2 3" xfId="4580"/>
    <cellStyle name="常规 10 3 2 2 3" xfId="4582"/>
    <cellStyle name="常规 10 3 2 2 3 2" xfId="7053"/>
    <cellStyle name="常规 10 3 2 2 3 3" xfId="8111"/>
    <cellStyle name="常规 10 3 2 2 4" xfId="22"/>
    <cellStyle name="常规 10 3 2 3" xfId="2921"/>
    <cellStyle name="常规 10 3 2 3 2" xfId="4589"/>
    <cellStyle name="常规 10 3 2 3 2 2" xfId="9517"/>
    <cellStyle name="常规 10 3 2 3 2 3" xfId="11961"/>
    <cellStyle name="常规 10 3 2 3 3" xfId="4592"/>
    <cellStyle name="常规 10 3 2 4" xfId="2928"/>
    <cellStyle name="常规 10 3 2 4 2" xfId="9666"/>
    <cellStyle name="常规 10 3 2 4 3" xfId="8157"/>
    <cellStyle name="常规 10 3 2 5" xfId="11965"/>
    <cellStyle name="常规 10 3 3" xfId="3359"/>
    <cellStyle name="常规 10 3 3 2" xfId="3364"/>
    <cellStyle name="常规 10 3 3 2 2" xfId="3370"/>
    <cellStyle name="常规 10 3 3 2 2 2" xfId="11966"/>
    <cellStyle name="常规 10 3 3 2 2 3" xfId="11967"/>
    <cellStyle name="常规 10 3 3 2 3" xfId="3374"/>
    <cellStyle name="常规 10 3 3 3" xfId="3387"/>
    <cellStyle name="常规 10 3 3 3 2" xfId="11968"/>
    <cellStyle name="常规 10 3 3 3 3" xfId="8223"/>
    <cellStyle name="常规 10 3 3 4" xfId="11971"/>
    <cellStyle name="常规 10 3 4" xfId="3405"/>
    <cellStyle name="常规 10 3 4 2" xfId="3411"/>
    <cellStyle name="常规 10 3 4 2 2" xfId="11972"/>
    <cellStyle name="常规 10 3 4 2 3" xfId="8266"/>
    <cellStyle name="常规 10 3 4 3" xfId="11974"/>
    <cellStyle name="常规 10 3 5" xfId="11975"/>
    <cellStyle name="常规 10 3 5 2" xfId="11977"/>
    <cellStyle name="常规 10 3 5 3" xfId="11979"/>
    <cellStyle name="常规 10 3 6" xfId="11980"/>
    <cellStyle name="常规 10 3 7" xfId="11981"/>
    <cellStyle name="常规 10 3 7 2" xfId="11982"/>
    <cellStyle name="常规 10 4" xfId="11985"/>
    <cellStyle name="常规 10 4 2" xfId="11987"/>
    <cellStyle name="常规 10 4 2 2" xfId="11990"/>
    <cellStyle name="常规 10 4 2 2 2" xfId="11994"/>
    <cellStyle name="常规 10 4 2 2 2 2" xfId="4486"/>
    <cellStyle name="常规 10 4 2 2 2 2 2" xfId="11995"/>
    <cellStyle name="常规 10 4 2 2 2 2 3" xfId="11999"/>
    <cellStyle name="常规 10 4 2 2 2 2 3 2" xfId="12003"/>
    <cellStyle name="常规 10 4 2 2 2 3" xfId="12004"/>
    <cellStyle name="常规 10 4 2 2 2 4" xfId="12006"/>
    <cellStyle name="常规 10 4 2 2 3" xfId="12011"/>
    <cellStyle name="常规 10 4 2 3" xfId="12014"/>
    <cellStyle name="常规 10 4 2 3 2" xfId="12015"/>
    <cellStyle name="常规 10 4 2 3 2 2" xfId="12017"/>
    <cellStyle name="常规 10 4 2 3 2 3" xfId="12019"/>
    <cellStyle name="常规 10 4 2 3 3" xfId="12021"/>
    <cellStyle name="常规 10 4 2 3 3 2" xfId="12025"/>
    <cellStyle name="常规 10 4 2 3 3 2 2" xfId="12026"/>
    <cellStyle name="常规 10 4 2 3 3 2 3" xfId="12027"/>
    <cellStyle name="常规 10 4 2 3 3 2 3 2" xfId="12031"/>
    <cellStyle name="常规 10 4 2 3 3 3" xfId="12037"/>
    <cellStyle name="常规 10 4 2 3 3 4" xfId="12038"/>
    <cellStyle name="常规 10 4 2 3 4" xfId="12041"/>
    <cellStyle name="常规 10 4 2 4" xfId="12043"/>
    <cellStyle name="常规 10 4 2 4 2" xfId="9947"/>
    <cellStyle name="常规 10 4 2 4 2 2" xfId="9261"/>
    <cellStyle name="常规 10 4 2 4 2 3" xfId="9949"/>
    <cellStyle name="常规 10 4 2 4 2 3 2" xfId="12045"/>
    <cellStyle name="常规 10 4 2 4 3" xfId="9951"/>
    <cellStyle name="常规 10 4 2 4 4" xfId="12048"/>
    <cellStyle name="常规 10 4 2 5" xfId="12050"/>
    <cellStyle name="常规 10 4 3" xfId="12055"/>
    <cellStyle name="常规 10 4 3 2" xfId="12057"/>
    <cellStyle name="常规 10 4 3 2 2" xfId="12058"/>
    <cellStyle name="常规 10 4 3 2 3" xfId="12060"/>
    <cellStyle name="常规 10 4 3 3" xfId="1833"/>
    <cellStyle name="常规 10 4 3 3 2" xfId="12063"/>
    <cellStyle name="常规 10 4 3 3 2 2" xfId="12065"/>
    <cellStyle name="常规 10 4 3 3 2 3" xfId="12067"/>
    <cellStyle name="常规 10 4 3 3 2 3 2" xfId="12069"/>
    <cellStyle name="常规 10 4 3 3 3" xfId="12071"/>
    <cellStyle name="常规 10 4 3 3 4" xfId="12073"/>
    <cellStyle name="常规 10 4 3 4" xfId="1893"/>
    <cellStyle name="常规 10 4 4" xfId="12075"/>
    <cellStyle name="常规 10 4 4 2" xfId="12076"/>
    <cellStyle name="常规 10 4 4 2 2" xfId="12077"/>
    <cellStyle name="常规 10 4 4 2 3" xfId="12078"/>
    <cellStyle name="常规 10 4 4 2 3 2" xfId="12081"/>
    <cellStyle name="常规 10 4 4 3" xfId="12082"/>
    <cellStyle name="常规 10 4 4 4" xfId="12083"/>
    <cellStyle name="常规 10 4 5" xfId="12086"/>
    <cellStyle name="常规 10 5" xfId="12088"/>
    <cellStyle name="常规 10 5 2" xfId="12091"/>
    <cellStyle name="常规 10 5 2 2" xfId="12092"/>
    <cellStyle name="常规 10 5 2 2 2" xfId="12094"/>
    <cellStyle name="常规 10 5 2 2 2 2" xfId="7833"/>
    <cellStyle name="常规 10 5 2 2 2 2 2" xfId="12098"/>
    <cellStyle name="常规 10 5 2 2 2 2 3" xfId="10992"/>
    <cellStyle name="常规 10 5 2 2 2 2 3 2" xfId="12100"/>
    <cellStyle name="常规 10 5 2 2 2 3" xfId="12101"/>
    <cellStyle name="常规 10 5 2 2 2 4" xfId="12102"/>
    <cellStyle name="常规 10 5 2 2 3" xfId="12105"/>
    <cellStyle name="常规 10 5 2 3" xfId="12106"/>
    <cellStyle name="常规 10 5 2 3 2" xfId="12107"/>
    <cellStyle name="常规 10 5 2 3 2 2" xfId="12108"/>
    <cellStyle name="常规 10 5 2 3 2 3" xfId="12109"/>
    <cellStyle name="常规 10 5 2 3 3" xfId="12111"/>
    <cellStyle name="常规 10 5 2 3 3 2" xfId="3061"/>
    <cellStyle name="常规 10 5 2 3 3 2 2" xfId="12116"/>
    <cellStyle name="常规 10 5 2 3 3 2 3" xfId="11094"/>
    <cellStyle name="常规 10 5 2 3 3 2 3 2" xfId="12120"/>
    <cellStyle name="常规 10 5 2 3 3 3" xfId="4176"/>
    <cellStyle name="常规 10 5 2 3 3 4" xfId="2791"/>
    <cellStyle name="常规 10 5 2 3 4" xfId="12122"/>
    <cellStyle name="常规 10 5 2 4" xfId="12124"/>
    <cellStyle name="常规 10 5 2 4 2" xfId="12125"/>
    <cellStyle name="常规 10 5 2 4 2 2" xfId="12128"/>
    <cellStyle name="常规 10 5 2 4 2 3" xfId="12132"/>
    <cellStyle name="常规 10 5 2 4 2 3 2" xfId="12139"/>
    <cellStyle name="常规 10 5 2 4 3" xfId="12141"/>
    <cellStyle name="常规 10 5 2 4 4" xfId="12142"/>
    <cellStyle name="常规 10 5 2 5" xfId="12144"/>
    <cellStyle name="常规 10 5 3" xfId="12149"/>
    <cellStyle name="常规 10 5 3 2" xfId="12150"/>
    <cellStyle name="常规 10 5 3 2 2" xfId="12151"/>
    <cellStyle name="常规 10 5 3 2 2 2" xfId="12152"/>
    <cellStyle name="常规 10 5 3 2 2 3" xfId="12154"/>
    <cellStyle name="常规 10 5 3 2 3" xfId="12157"/>
    <cellStyle name="常规 10 5 3 2 3 2" xfId="821"/>
    <cellStyle name="常规 10 5 3 2 3 2 2" xfId="983"/>
    <cellStyle name="常规 10 5 3 2 3 2 3" xfId="3214"/>
    <cellStyle name="常规 10 5 3 2 3 2 3 2" xfId="4901"/>
    <cellStyle name="常规 10 5 3 2 3 3" xfId="2584"/>
    <cellStyle name="常规 10 5 3 2 3 4" xfId="4356"/>
    <cellStyle name="常规 10 5 3 2 4" xfId="9364"/>
    <cellStyle name="常规 10 5 3 3" xfId="12158"/>
    <cellStyle name="常规 10 5 3 3 2" xfId="12159"/>
    <cellStyle name="常规 10 5 3 3 2 2" xfId="8490"/>
    <cellStyle name="常规 10 5 3 3 2 3" xfId="8509"/>
    <cellStyle name="常规 10 5 3 3 2 3 2" xfId="7069"/>
    <cellStyle name="常规 10 5 3 3 3" xfId="12161"/>
    <cellStyle name="常规 10 5 3 3 4" xfId="10085"/>
    <cellStyle name="常规 10 5 3 4" xfId="12162"/>
    <cellStyle name="常规 10 5 4" xfId="12163"/>
    <cellStyle name="常规 10 5 4 2" xfId="12165"/>
    <cellStyle name="常规 10 5 4 2 2" xfId="12166"/>
    <cellStyle name="常规 10 5 4 2 3" xfId="12167"/>
    <cellStyle name="常规 10 5 4 3" xfId="12169"/>
    <cellStyle name="常规 10 5 4 3 2" xfId="12170"/>
    <cellStyle name="常规 10 5 4 3 2 2" xfId="8902"/>
    <cellStyle name="常规 10 5 4 3 2 3" xfId="8924"/>
    <cellStyle name="常规 10 5 4 3 2 3 2" xfId="7361"/>
    <cellStyle name="常规 10 5 4 3 3" xfId="12172"/>
    <cellStyle name="常规 10 5 4 3 4" xfId="12175"/>
    <cellStyle name="常规 10 5 4 4" xfId="12179"/>
    <cellStyle name="常规 10 5 5" xfId="12180"/>
    <cellStyle name="常规 10 5 5 2" xfId="12183"/>
    <cellStyle name="常规 10 5 5 2 2" xfId="12185"/>
    <cellStyle name="常规 10 5 5 2 3" xfId="12188"/>
    <cellStyle name="常规 10 5 5 2 3 2" xfId="3697"/>
    <cellStyle name="常规 10 5 5 3" xfId="12192"/>
    <cellStyle name="常规 10 5 5 4" xfId="8664"/>
    <cellStyle name="常规 10 5 6" xfId="12193"/>
    <cellStyle name="常规 10 6" xfId="12195"/>
    <cellStyle name="常规 10 6 2" xfId="12197"/>
    <cellStyle name="常规 10 6 2 2" xfId="12199"/>
    <cellStyle name="常规 10 6 2 2 2" xfId="12203"/>
    <cellStyle name="常规 10 6 2 2 3" xfId="12210"/>
    <cellStyle name="常规 10 6 2 3" xfId="12211"/>
    <cellStyle name="常规 10 6 3" xfId="12215"/>
    <cellStyle name="常规 10 6 3 2" xfId="3758"/>
    <cellStyle name="常规 10 6 3 3" xfId="3851"/>
    <cellStyle name="常规 10 6 4" xfId="12216"/>
    <cellStyle name="常规 10 7" xfId="12218"/>
    <cellStyle name="常规 10 7 2" xfId="12219"/>
    <cellStyle name="常规 10 7 2 2" xfId="12220"/>
    <cellStyle name="常规 10 7 2 3" xfId="12222"/>
    <cellStyle name="常规 10 7 3" xfId="12224"/>
    <cellStyle name="常规 10 8" xfId="12226"/>
    <cellStyle name="常规 10 8 2" xfId="12229"/>
    <cellStyle name="常规 10 8 2 2" xfId="12230"/>
    <cellStyle name="常规 10 8 2 3" xfId="12232"/>
    <cellStyle name="常规 10 8 3" xfId="12238"/>
    <cellStyle name="常规 10 8 4" xfId="12243"/>
    <cellStyle name="常规 10 8 4 2" xfId="12244"/>
    <cellStyle name="常规 10 8 4 3" xfId="12247"/>
    <cellStyle name="常规 10 8 5" xfId="12250"/>
    <cellStyle name="常规 10 8 5 2" xfId="12251"/>
    <cellStyle name="常规 10 8 5 3" xfId="12256"/>
    <cellStyle name="常规 10 8 6" xfId="12259"/>
    <cellStyle name="常规 10 9" xfId="12260"/>
    <cellStyle name="常规 11" xfId="1507"/>
    <cellStyle name="常规 11 2" xfId="7103"/>
    <cellStyle name="常规 11 2 2" xfId="7359"/>
    <cellStyle name="常规 11 2 2 2" xfId="12263"/>
    <cellStyle name="常规 11 2 2 2 2" xfId="12267"/>
    <cellStyle name="常规 11 2 2 2 2 2" xfId="3767"/>
    <cellStyle name="常规 11 2 2 2 2 3" xfId="3847"/>
    <cellStyle name="常规 11 2 2 2 3" xfId="5746"/>
    <cellStyle name="常规 11 2 2 3" xfId="8896"/>
    <cellStyle name="常规 11 2 2 3 2" xfId="12269"/>
    <cellStyle name="常规 11 2 2 3 3" xfId="5756"/>
    <cellStyle name="常规 11 2 2 4" xfId="8918"/>
    <cellStyle name="常规 11 2 3" xfId="12271"/>
    <cellStyle name="常规 11 2 3 2" xfId="12274"/>
    <cellStyle name="常规 11 2 3 2 2" xfId="12278"/>
    <cellStyle name="常规 11 2 3 2 3" xfId="12281"/>
    <cellStyle name="常规 11 2 3 3" xfId="12284"/>
    <cellStyle name="常规 11 2 4" xfId="12288"/>
    <cellStyle name="常规 11 2 4 2" xfId="3588"/>
    <cellStyle name="常规 11 2 4 3" xfId="10729"/>
    <cellStyle name="常规 11 2 5" xfId="3610"/>
    <cellStyle name="常规 11 3" xfId="5533"/>
    <cellStyle name="常规 11 3 2" xfId="5222"/>
    <cellStyle name="常规 11 3 2 2" xfId="5227"/>
    <cellStyle name="常规 11 3 2 2 2" xfId="5230"/>
    <cellStyle name="常规 11 3 2 2 3" xfId="5241"/>
    <cellStyle name="常规 11 3 2 3" xfId="5246"/>
    <cellStyle name="常规 11 3 3" xfId="3621"/>
    <cellStyle name="常规 11 3 3 2" xfId="3633"/>
    <cellStyle name="常规 11 3 3 3" xfId="3642"/>
    <cellStyle name="常规 11 3 4" xfId="3649"/>
    <cellStyle name="常规 11 4" xfId="12290"/>
    <cellStyle name="常规 11 4 2" xfId="10284"/>
    <cellStyle name="常规 11 4 2 2" xfId="12291"/>
    <cellStyle name="常规 11 4 2 2 2" xfId="5452"/>
    <cellStyle name="常规 11 4 2 2 3" xfId="12292"/>
    <cellStyle name="常规 11 4 2 3" xfId="12293"/>
    <cellStyle name="常规 11 4 3" xfId="12294"/>
    <cellStyle name="常规 11 4 3 2" xfId="12299"/>
    <cellStyle name="常规 11 4 3 3" xfId="12302"/>
    <cellStyle name="常规 11 4 4" xfId="12303"/>
    <cellStyle name="常规 11 5" xfId="5847"/>
    <cellStyle name="常规 11 5 2" xfId="5849"/>
    <cellStyle name="常规 11 5 2 2" xfId="12306"/>
    <cellStyle name="常规 11 5 2 3" xfId="12307"/>
    <cellStyle name="常规 11 5 3" xfId="1091"/>
    <cellStyle name="常规 11 6" xfId="1295"/>
    <cellStyle name="常规 11 6 2" xfId="12309"/>
    <cellStyle name="常规 11 6 3" xfId="12311"/>
    <cellStyle name="常规 11 7" xfId="1631"/>
    <cellStyle name="常规 12" xfId="1523"/>
    <cellStyle name="常规 12 2" xfId="7534"/>
    <cellStyle name="常规 12 2 2" xfId="7538"/>
    <cellStyle name="常规 12 2 2 2" xfId="12314"/>
    <cellStyle name="常规 12 2 2 2 2" xfId="12316"/>
    <cellStyle name="常规 12 2 2 2 2 2" xfId="11506"/>
    <cellStyle name="常规 12 2 2 2 2 3" xfId="12318"/>
    <cellStyle name="常规 12 2 2 2 3" xfId="12320"/>
    <cellStyle name="常规 12 2 2 2 3 2" xfId="12322"/>
    <cellStyle name="常规 12 2 2 2 3 2 2" xfId="12326"/>
    <cellStyle name="常规 12 2 2 2 3 2 3" xfId="1590"/>
    <cellStyle name="常规 12 2 2 2 3 2 3 2" xfId="8660"/>
    <cellStyle name="常规 12 2 2 2 3 3" xfId="12328"/>
    <cellStyle name="常规 12 2 2 2 3 4" xfId="12331"/>
    <cellStyle name="常规 12 2 2 2 4" xfId="12335"/>
    <cellStyle name="常规 12 2 2 3" xfId="12337"/>
    <cellStyle name="常规 12 2 2 3 2" xfId="12340"/>
    <cellStyle name="常规 12 2 2 3 2 2" xfId="12341"/>
    <cellStyle name="常规 12 2 2 3 2 3" xfId="12342"/>
    <cellStyle name="常规 12 2 2 3 2 3 2" xfId="12343"/>
    <cellStyle name="常规 12 2 2 3 3" xfId="12344"/>
    <cellStyle name="常规 12 2 2 3 4" xfId="12345"/>
    <cellStyle name="常规 12 2 2 4" xfId="12346"/>
    <cellStyle name="常规 12 2 3" xfId="112"/>
    <cellStyle name="常规 12 2 3 2" xfId="12348"/>
    <cellStyle name="常规 12 2 3 2 2" xfId="12351"/>
    <cellStyle name="常规 12 2 3 2 2 2" xfId="3091"/>
    <cellStyle name="常规 12 2 3 2 2 2 2" xfId="994"/>
    <cellStyle name="常规 12 2 3 2 2 2 3" xfId="3124"/>
    <cellStyle name="常规 12 2 3 2 2 2 3 2" xfId="11660"/>
    <cellStyle name="常规 12 2 3 2 2 3" xfId="3138"/>
    <cellStyle name="常规 12 2 3 2 2 4" xfId="12354"/>
    <cellStyle name="常规 12 2 3 2 3" xfId="12359"/>
    <cellStyle name="常规 12 2 3 3" xfId="12362"/>
    <cellStyle name="常规 12 2 3 3 2" xfId="12365"/>
    <cellStyle name="常规 12 2 3 3 2 2" xfId="3356"/>
    <cellStyle name="常规 12 2 3 3 2 3" xfId="3401"/>
    <cellStyle name="常规 12 2 3 3 3" xfId="12367"/>
    <cellStyle name="常规 12 2 3 3 3 2" xfId="12051"/>
    <cellStyle name="常规 12 2 3 3 3 2 2" xfId="12056"/>
    <cellStyle name="常规 12 2 3 3 3 2 3" xfId="1832"/>
    <cellStyle name="常规 12 2 3 3 3 2 3 2" xfId="12062"/>
    <cellStyle name="常规 12 2 3 3 3 3" xfId="12074"/>
    <cellStyle name="常规 12 2 3 3 3 4" xfId="12085"/>
    <cellStyle name="常规 12 2 3 3 4" xfId="12369"/>
    <cellStyle name="常规 12 2 3 4" xfId="12370"/>
    <cellStyle name="常规 12 2 3 4 2" xfId="12373"/>
    <cellStyle name="常规 12 2 3 4 2 2" xfId="3622"/>
    <cellStyle name="常规 12 2 3 4 2 3" xfId="3650"/>
    <cellStyle name="常规 12 2 3 4 2 3 2" xfId="3657"/>
    <cellStyle name="常规 12 2 3 4 3" xfId="12376"/>
    <cellStyle name="常规 12 2 3 4 4" xfId="12379"/>
    <cellStyle name="常规 12 2 3 5" xfId="12383"/>
    <cellStyle name="常规 12 2 4" xfId="12385"/>
    <cellStyle name="常规 12 2 4 2" xfId="8857"/>
    <cellStyle name="常规 12 2 4 2 2" xfId="12387"/>
    <cellStyle name="常规 12 2 4 2 3" xfId="12388"/>
    <cellStyle name="常规 12 2 4 3" xfId="12389"/>
    <cellStyle name="常规 12 2 4 3 2" xfId="12391"/>
    <cellStyle name="常规 12 2 4 3 2 2" xfId="12393"/>
    <cellStyle name="常规 12 2 4 3 2 3" xfId="12395"/>
    <cellStyle name="常规 12 2 4 3 2 3 2" xfId="12398"/>
    <cellStyle name="常规 12 2 4 3 3" xfId="12399"/>
    <cellStyle name="常规 12 2 4 3 4" xfId="12400"/>
    <cellStyle name="常规 12 2 4 4" xfId="12401"/>
    <cellStyle name="常规 12 2 5" xfId="475"/>
    <cellStyle name="常规 12 2 5 2" xfId="6233"/>
    <cellStyle name="常规 12 2 5 2 2" xfId="6244"/>
    <cellStyle name="常规 12 2 5 2 3" xfId="6260"/>
    <cellStyle name="常规 12 2 5 2 3 2" xfId="12403"/>
    <cellStyle name="常规 12 2 5 3" xfId="6268"/>
    <cellStyle name="常规 12 2 5 4" xfId="12405"/>
    <cellStyle name="常规 12 2 6" xfId="506"/>
    <cellStyle name="常规 12 3" xfId="7542"/>
    <cellStyle name="常规 12 3 2" xfId="5687"/>
    <cellStyle name="常规 12 3 2 2" xfId="3467"/>
    <cellStyle name="常规 12 3 2 2 2" xfId="52"/>
    <cellStyle name="常规 12 3 2 2 2 2" xfId="5694"/>
    <cellStyle name="常规 12 3 2 2 2 3" xfId="5699"/>
    <cellStyle name="常规 12 3 2 2 3" xfId="5707"/>
    <cellStyle name="常规 12 3 2 2 3 2" xfId="12408"/>
    <cellStyle name="常规 12 3 2 2 3 2 2" xfId="12411"/>
    <cellStyle name="常规 12 3 2 2 3 2 3" xfId="12413"/>
    <cellStyle name="常规 12 3 2 2 3 2 3 2" xfId="12234"/>
    <cellStyle name="常规 12 3 2 2 3 3" xfId="12415"/>
    <cellStyle name="常规 12 3 2 2 3 4" xfId="12417"/>
    <cellStyle name="常规 12 3 2 2 4" xfId="12418"/>
    <cellStyle name="常规 12 3 2 3" xfId="5713"/>
    <cellStyle name="常规 12 3 2 3 2" xfId="5722"/>
    <cellStyle name="常规 12 3 2 3 2 2" xfId="12422"/>
    <cellStyle name="常规 12 3 2 3 2 3" xfId="12423"/>
    <cellStyle name="常规 12 3 2 3 2 3 2" xfId="12426"/>
    <cellStyle name="常规 12 3 2 3 3" xfId="5731"/>
    <cellStyle name="常规 12 3 2 3 4" xfId="12428"/>
    <cellStyle name="常规 12 3 2 4" xfId="5741"/>
    <cellStyle name="常规 12 3 3" xfId="3746"/>
    <cellStyle name="常规 12 3 3 2" xfId="5745"/>
    <cellStyle name="常规 12 3 3 2 2" xfId="3994"/>
    <cellStyle name="常规 12 3 3 2 2 2" xfId="12431"/>
    <cellStyle name="常规 12 3 3 2 2 2 2" xfId="12433"/>
    <cellStyle name="常规 12 3 3 2 2 2 3" xfId="12436"/>
    <cellStyle name="常规 12 3 3 2 2 2 3 2" xfId="12441"/>
    <cellStyle name="常规 12 3 3 2 2 3" xfId="12442"/>
    <cellStyle name="常规 12 3 3 2 2 4" xfId="12444"/>
    <cellStyle name="常规 12 3 3 2 3" xfId="4030"/>
    <cellStyle name="常规 12 3 3 3" xfId="5751"/>
    <cellStyle name="常规 12 3 3 3 2" xfId="12445"/>
    <cellStyle name="常规 12 3 3 3 2 2" xfId="12447"/>
    <cellStyle name="常规 12 3 3 3 2 3" xfId="12449"/>
    <cellStyle name="常规 12 3 3 3 3" xfId="12450"/>
    <cellStyle name="常规 12 3 3 3 3 2" xfId="12454"/>
    <cellStyle name="常规 12 3 3 3 3 2 2" xfId="12457"/>
    <cellStyle name="常规 12 3 3 3 3 2 3" xfId="4075"/>
    <cellStyle name="常规 12 3 3 3 3 2 3 2" xfId="2003"/>
    <cellStyle name="常规 12 3 3 3 3 3" xfId="12461"/>
    <cellStyle name="常规 12 3 3 3 3 4" xfId="12467"/>
    <cellStyle name="常规 12 3 3 3 4" xfId="12325"/>
    <cellStyle name="常规 12 3 3 4" xfId="12468"/>
    <cellStyle name="常规 12 3 3 4 2" xfId="12469"/>
    <cellStyle name="常规 12 3 3 4 2 2" xfId="12471"/>
    <cellStyle name="常规 12 3 3 4 2 3" xfId="12473"/>
    <cellStyle name="常规 12 3 3 4 2 3 2" xfId="12474"/>
    <cellStyle name="常规 12 3 3 4 3" xfId="12475"/>
    <cellStyle name="常规 12 3 3 4 4" xfId="12478"/>
    <cellStyle name="常规 12 3 3 5" xfId="12481"/>
    <cellStyle name="常规 12 3 4" xfId="1344"/>
    <cellStyle name="常规 12 3 4 2" xfId="5755"/>
    <cellStyle name="常规 12 3 4 2 2" xfId="12482"/>
    <cellStyle name="常规 12 3 4 2 2 2" xfId="12484"/>
    <cellStyle name="常规 12 3 4 2 2 3" xfId="12486"/>
    <cellStyle name="常规 12 3 4 2 3" xfId="11986"/>
    <cellStyle name="常规 12 3 4 2 3 2" xfId="11989"/>
    <cellStyle name="常规 12 3 4 2 3 2 2" xfId="11992"/>
    <cellStyle name="常规 12 3 4 2 3 2 3" xfId="12008"/>
    <cellStyle name="常规 12 3 4 2 3 2 3 2" xfId="7321"/>
    <cellStyle name="常规 12 3 4 2 3 3" xfId="12013"/>
    <cellStyle name="常规 12 3 4 2 3 4" xfId="12042"/>
    <cellStyle name="常规 12 3 4 2 4" xfId="12054"/>
    <cellStyle name="常规 12 3 4 3" xfId="12487"/>
    <cellStyle name="常规 12 3 4 3 2" xfId="12489"/>
    <cellStyle name="常规 12 3 4 3 2 2" xfId="12493"/>
    <cellStyle name="常规 12 3 4 3 2 3" xfId="12496"/>
    <cellStyle name="常规 12 3 4 3 2 3 2" xfId="12498"/>
    <cellStyle name="常规 12 3 4 3 3" xfId="12089"/>
    <cellStyle name="常规 12 3 4 3 4" xfId="12147"/>
    <cellStyle name="常规 12 3 4 4" xfId="12499"/>
    <cellStyle name="常规 12 3 5" xfId="200"/>
    <cellStyle name="常规 12 3 5 2" xfId="8929"/>
    <cellStyle name="常规 12 3 5 2 2" xfId="5634"/>
    <cellStyle name="常规 12 3 5 2 3" xfId="10288"/>
    <cellStyle name="常规 12 3 5 3" xfId="9121"/>
    <cellStyle name="常规 12 3 5 3 2" xfId="12505"/>
    <cellStyle name="常规 12 3 5 3 2 2" xfId="12507"/>
    <cellStyle name="常规 12 3 5 3 2 3" xfId="12508"/>
    <cellStyle name="常规 12 3 5 3 2 3 2" xfId="12510"/>
    <cellStyle name="常规 12 3 5 3 3" xfId="5855"/>
    <cellStyle name="常规 12 3 5 3 4" xfId="1097"/>
    <cellStyle name="常规 12 3 5 4" xfId="12512"/>
    <cellStyle name="常规 12 3 6" xfId="10291"/>
    <cellStyle name="常规 12 3 6 2" xfId="8937"/>
    <cellStyle name="常规 12 3 6 2 2" xfId="12515"/>
    <cellStyle name="常规 12 3 6 2 3" xfId="12519"/>
    <cellStyle name="常规 12 3 6 2 3 2" xfId="12522"/>
    <cellStyle name="常规 12 3 6 3" xfId="9447"/>
    <cellStyle name="常规 12 3 6 4" xfId="12525"/>
    <cellStyle name="常规 12 3 7" xfId="10296"/>
    <cellStyle name="常规 12 4" xfId="12526"/>
    <cellStyle name="常规 12 4 2" xfId="12517"/>
    <cellStyle name="常规 12 4 2 2" xfId="12521"/>
    <cellStyle name="常规 12 4 2 2 2" xfId="12527"/>
    <cellStyle name="常规 12 4 2 2 2 2" xfId="12528"/>
    <cellStyle name="常规 12 4 2 2 2 3" xfId="12530"/>
    <cellStyle name="常规 12 4 2 2 2 3 2" xfId="4354"/>
    <cellStyle name="常规 12 4 2 2 3" xfId="12531"/>
    <cellStyle name="常规 12 4 2 2 4" xfId="12532"/>
    <cellStyle name="常规 12 4 2 3" xfId="12534"/>
    <cellStyle name="常规 12 4 3" xfId="12536"/>
    <cellStyle name="常规 12 4 3 2" xfId="12280"/>
    <cellStyle name="常规 12 4 3 2 2" xfId="11779"/>
    <cellStyle name="常规 12 4 3 2 3" xfId="12537"/>
    <cellStyle name="常规 12 4 3 3" xfId="12538"/>
    <cellStyle name="常规 12 4 3 3 2" xfId="11805"/>
    <cellStyle name="常规 12 4 3 3 2 2" xfId="12540"/>
    <cellStyle name="常规 12 4 3 3 2 3" xfId="12543"/>
    <cellStyle name="常规 12 4 3 3 2 3 2" xfId="12544"/>
    <cellStyle name="常规 12 4 3 3 3" xfId="12545"/>
    <cellStyle name="常规 12 4 3 3 4" xfId="12546"/>
    <cellStyle name="常规 12 4 3 4" xfId="12547"/>
    <cellStyle name="常规 12 4 4" xfId="12548"/>
    <cellStyle name="常规 12 4 4 2" xfId="8967"/>
    <cellStyle name="常规 12 4 4 2 2" xfId="9896"/>
    <cellStyle name="常规 12 4 4 2 3" xfId="9690"/>
    <cellStyle name="常规 12 4 4 2 3 2" xfId="12550"/>
    <cellStyle name="常规 12 4 4 3" xfId="9135"/>
    <cellStyle name="常规 12 4 4 4" xfId="12551"/>
    <cellStyle name="常规 12 4 5" xfId="10304"/>
    <cellStyle name="常规 12 5" xfId="5862"/>
    <cellStyle name="常规 12 5 2" xfId="12554"/>
    <cellStyle name="常规 12 5 2 2" xfId="12555"/>
    <cellStyle name="常规 12 5 2 3" xfId="12556"/>
    <cellStyle name="常规 12 5 3" xfId="12557"/>
    <cellStyle name="常规 12 5 3 2" xfId="12558"/>
    <cellStyle name="常规 12 5 3 2 2" xfId="11889"/>
    <cellStyle name="常规 12 5 3 2 3" xfId="12560"/>
    <cellStyle name="常规 12 5 3 2 3 2" xfId="4808"/>
    <cellStyle name="常规 12 5 3 3" xfId="12561"/>
    <cellStyle name="常规 12 5 3 4" xfId="12562"/>
    <cellStyle name="常规 12 5 4" xfId="12563"/>
    <cellStyle name="常规 12 6" xfId="2784"/>
    <cellStyle name="常规 12 6 2" xfId="8543"/>
    <cellStyle name="常规 12 6 2 2" xfId="5811"/>
    <cellStyle name="常规 12 6 2 3" xfId="5826"/>
    <cellStyle name="常规 12 6 2 3 2" xfId="12566"/>
    <cellStyle name="常规 12 6 3" xfId="8548"/>
    <cellStyle name="常规 12 6 4" xfId="8978"/>
    <cellStyle name="常规 12 7" xfId="2801"/>
    <cellStyle name="常规 13" xfId="7545"/>
    <cellStyle name="常规 13 2" xfId="7550"/>
    <cellStyle name="常规 13 2 2" xfId="12568"/>
    <cellStyle name="常规 13 2 2 2" xfId="12570"/>
    <cellStyle name="常规 13 2 2 2 2" xfId="12574"/>
    <cellStyle name="常规 13 2 2 2 3" xfId="12581"/>
    <cellStyle name="常规 13 2 2 3" xfId="12584"/>
    <cellStyle name="常规 13 2 2 3 2" xfId="12591"/>
    <cellStyle name="常规 13 2 2 3 2 2" xfId="12594"/>
    <cellStyle name="常规 13 2 2 3 2 3" xfId="1142"/>
    <cellStyle name="常规 13 2 2 3 2 3 2" xfId="12596"/>
    <cellStyle name="常规 13 2 2 3 3" xfId="12603"/>
    <cellStyle name="常规 13 2 2 3 4" xfId="2914"/>
    <cellStyle name="常规 13 2 2 4" xfId="12606"/>
    <cellStyle name="常规 13 2 3" xfId="12609"/>
    <cellStyle name="常规 13 2 3 2" xfId="5166"/>
    <cellStyle name="常规 13 2 3 2 2" xfId="12613"/>
    <cellStyle name="常规 13 2 3 2 3" xfId="12618"/>
    <cellStyle name="常规 13 2 3 2 3 2" xfId="12333"/>
    <cellStyle name="常规 13 2 3 3" xfId="12620"/>
    <cellStyle name="常规 13 2 3 4" xfId="12623"/>
    <cellStyle name="常规 13 2 4" xfId="11128"/>
    <cellStyle name="常规 13 3" xfId="7554"/>
    <cellStyle name="常规 13 3 2" xfId="12626"/>
    <cellStyle name="常规 13 3 2 2" xfId="5293"/>
    <cellStyle name="常规 13 3 2 2 2" xfId="7915"/>
    <cellStyle name="常规 13 3 2 2 2 2" xfId="12627"/>
    <cellStyle name="常规 13 3 2 2 2 3" xfId="12629"/>
    <cellStyle name="常规 13 3 2 2 2 3 2" xfId="12632"/>
    <cellStyle name="常规 13 3 2 2 3" xfId="12633"/>
    <cellStyle name="常规 13 3 2 2 4" xfId="3854"/>
    <cellStyle name="常规 13 3 2 3" xfId="12637"/>
    <cellStyle name="常规 13 3 3" xfId="12640"/>
    <cellStyle name="常规 13 3 3 2" xfId="5240"/>
    <cellStyle name="常规 13 3 3 2 2" xfId="12641"/>
    <cellStyle name="常规 13 3 3 2 3" xfId="12642"/>
    <cellStyle name="常规 13 3 3 3" xfId="12644"/>
    <cellStyle name="常规 13 3 3 3 2" xfId="12646"/>
    <cellStyle name="常规 13 3 3 3 2 2" xfId="12647"/>
    <cellStyle name="常规 13 3 3 3 2 3" xfId="12649"/>
    <cellStyle name="常规 13 3 3 3 2 3 2" xfId="12654"/>
    <cellStyle name="常规 13 3 3 3 3" xfId="12656"/>
    <cellStyle name="常规 13 3 3 3 4" xfId="12657"/>
    <cellStyle name="常规 13 3 3 4" xfId="12660"/>
    <cellStyle name="常规 13 3 4" xfId="11134"/>
    <cellStyle name="常规 13 3 4 2" xfId="5257"/>
    <cellStyle name="常规 13 3 4 2 2" xfId="12662"/>
    <cellStyle name="常规 13 3 4 2 3" xfId="12665"/>
    <cellStyle name="常规 13 3 4 2 3 2" xfId="12667"/>
    <cellStyle name="常规 13 3 4 3" xfId="12669"/>
    <cellStyle name="常规 13 3 4 4" xfId="12672"/>
    <cellStyle name="常规 13 3 5" xfId="7490"/>
    <cellStyle name="常规 13 4" xfId="12674"/>
    <cellStyle name="常规 13 4 2" xfId="12678"/>
    <cellStyle name="常规 13 4 2 2" xfId="12679"/>
    <cellStyle name="常规 13 4 2 2 2" xfId="8058"/>
    <cellStyle name="常规 13 4 2 2 3" xfId="12680"/>
    <cellStyle name="常规 13 4 2 3" xfId="12682"/>
    <cellStyle name="常规 13 4 3" xfId="12687"/>
    <cellStyle name="常规 13 4 3 2" xfId="2735"/>
    <cellStyle name="常规 13 4 3 3" xfId="12689"/>
    <cellStyle name="常规 13 4 4" xfId="12693"/>
    <cellStyle name="常规 13 5" xfId="12694"/>
    <cellStyle name="常规 13 5 2" xfId="12699"/>
    <cellStyle name="常规 13 5 2 2" xfId="12701"/>
    <cellStyle name="常规 13 5 2 3" xfId="12703"/>
    <cellStyle name="常规 13 5 3" xfId="12708"/>
    <cellStyle name="常规 13 5 3 2" xfId="12710"/>
    <cellStyle name="常规 13 5 3 2 2" xfId="12711"/>
    <cellStyle name="常规 13 5 3 2 3" xfId="12712"/>
    <cellStyle name="常规 13 5 3 2 3 2" xfId="3229"/>
    <cellStyle name="常规 13 5 3 3" xfId="12714"/>
    <cellStyle name="常规 13 5 3 4" xfId="12717"/>
    <cellStyle name="常规 13 5 4" xfId="12721"/>
    <cellStyle name="常规 13 6" xfId="1998"/>
    <cellStyle name="常规 13 6 2" xfId="8559"/>
    <cellStyle name="常规 13 6 2 2" xfId="12726"/>
    <cellStyle name="常规 13 6 2 3" xfId="12729"/>
    <cellStyle name="常规 13 6 2 3 2" xfId="12731"/>
    <cellStyle name="常规 13 6 3" xfId="8566"/>
    <cellStyle name="常规 13 6 4" xfId="12733"/>
    <cellStyle name="常规 13 7" xfId="3313"/>
    <cellStyle name="常规 14" xfId="7559"/>
    <cellStyle name="常规 14 2" xfId="8178"/>
    <cellStyle name="常规 14 2 2" xfId="8183"/>
    <cellStyle name="常规 14 2 2 2" xfId="12734"/>
    <cellStyle name="常规 14 2 2 3" xfId="12736"/>
    <cellStyle name="常规 14 2 3" xfId="3884"/>
    <cellStyle name="常规 14 3" xfId="8187"/>
    <cellStyle name="常规 14 3 2" xfId="12739"/>
    <cellStyle name="常规 14 3 3" xfId="12138"/>
    <cellStyle name="常规 14 4" xfId="12743"/>
    <cellStyle name="常规 15" xfId="8193"/>
    <cellStyle name="常规 15 2" xfId="8198"/>
    <cellStyle name="常规 15 2 2" xfId="12029"/>
    <cellStyle name="常规 15 2 2 2" xfId="12033"/>
    <cellStyle name="常规 15 2 2 3" xfId="5527"/>
    <cellStyle name="常规 15 2 3" xfId="12745"/>
    <cellStyle name="常规 15 3" xfId="8203"/>
    <cellStyle name="常规 15 3 2" xfId="12747"/>
    <cellStyle name="常规 15 3 3" xfId="4222"/>
    <cellStyle name="常规 15 4" xfId="12749"/>
    <cellStyle name="常规 16" xfId="8209"/>
    <cellStyle name="常规 16 2" xfId="12750"/>
    <cellStyle name="常规 16 2 2" xfId="11462"/>
    <cellStyle name="常规 16 2 3" xfId="11477"/>
    <cellStyle name="常规 16 3" xfId="12751"/>
    <cellStyle name="常规 17" xfId="12753"/>
    <cellStyle name="常规 17 2" xfId="5286"/>
    <cellStyle name="常规 18" xfId="5226"/>
    <cellStyle name="常规 19" xfId="5245"/>
    <cellStyle name="常规 19 10" xfId="12754"/>
    <cellStyle name="常规 19 10 10" xfId="11589"/>
    <cellStyle name="常规 19 10 10 2" xfId="11591"/>
    <cellStyle name="常规 19 10 10 3" xfId="11597"/>
    <cellStyle name="常规 19 10 10 4" xfId="7663"/>
    <cellStyle name="常规 19 10 10 5" xfId="6621"/>
    <cellStyle name="常规 19 10 10 6" xfId="12757"/>
    <cellStyle name="常规 19 10 10 7" xfId="12760"/>
    <cellStyle name="常规 19 10 10 8" xfId="12764"/>
    <cellStyle name="常规 19 10 11" xfId="11601"/>
    <cellStyle name="常规 19 10 11 2" xfId="11604"/>
    <cellStyle name="常规 19 10 11 3" xfId="11612"/>
    <cellStyle name="常规 19 10 11 4" xfId="7682"/>
    <cellStyle name="常规 19 10 11 5" xfId="1963"/>
    <cellStyle name="常规 19 10 11 6" xfId="12769"/>
    <cellStyle name="常规 19 10 11 7" xfId="12773"/>
    <cellStyle name="常规 19 10 11 8" xfId="12779"/>
    <cellStyle name="常规 19 10 12" xfId="9539"/>
    <cellStyle name="常规 19 10 12 2" xfId="9543"/>
    <cellStyle name="常规 19 10 12 3" xfId="9566"/>
    <cellStyle name="常规 19 10 12 4" xfId="9575"/>
    <cellStyle name="常规 19 10 12 5" xfId="9962"/>
    <cellStyle name="常规 19 10 12 6" xfId="9972"/>
    <cellStyle name="常规 19 10 12 7" xfId="10209"/>
    <cellStyle name="常规 19 10 13" xfId="8569"/>
    <cellStyle name="常规 19 10 14" xfId="8574"/>
    <cellStyle name="常规 19 10 15" xfId="9026"/>
    <cellStyle name="常规 19 10 16" xfId="12781"/>
    <cellStyle name="常规 19 10 17" xfId="12783"/>
    <cellStyle name="常规 19 10 18" xfId="12784"/>
    <cellStyle name="常规 19 10 19" xfId="12785"/>
    <cellStyle name="常规 19 10 2" xfId="12786"/>
    <cellStyle name="常规 19 10 2 10" xfId="5771"/>
    <cellStyle name="常规 19 10 2 10 2" xfId="5779"/>
    <cellStyle name="常规 19 10 2 10 3" xfId="5803"/>
    <cellStyle name="常规 19 10 2 10 4" xfId="5828"/>
    <cellStyle name="常规 19 10 2 10 5" xfId="5839"/>
    <cellStyle name="常规 19 10 2 10 6" xfId="12787"/>
    <cellStyle name="常规 19 10 2 10 7" xfId="12789"/>
    <cellStyle name="常规 19 10 2 11" xfId="4640"/>
    <cellStyle name="常规 19 10 2 12" xfId="4653"/>
    <cellStyle name="常规 19 10 2 13" xfId="5864"/>
    <cellStyle name="常规 19 10 2 14" xfId="1718"/>
    <cellStyle name="常规 19 10 2 15" xfId="1747"/>
    <cellStyle name="常规 19 10 2 16" xfId="12790"/>
    <cellStyle name="常规 19 10 2 17" xfId="12791"/>
    <cellStyle name="常规 19 10 2 2" xfId="12793"/>
    <cellStyle name="常规 19 10 2 2 2" xfId="12797"/>
    <cellStyle name="常规 19 10 2 2 3" xfId="7397"/>
    <cellStyle name="常规 19 10 2 2 4" xfId="3937"/>
    <cellStyle name="常规 19 10 2 2 5" xfId="12803"/>
    <cellStyle name="常规 19 10 2 2 6" xfId="12808"/>
    <cellStyle name="常规 19 10 2 2 7" xfId="4816"/>
    <cellStyle name="常规 19 10 2 2 8" xfId="4844"/>
    <cellStyle name="常规 19 10 2 3" xfId="12812"/>
    <cellStyle name="常规 19 10 2 3 2" xfId="92"/>
    <cellStyle name="常规 19 10 2 3 3" xfId="12814"/>
    <cellStyle name="常规 19 10 2 3 4" xfId="11446"/>
    <cellStyle name="常规 19 10 2 3 5" xfId="11449"/>
    <cellStyle name="常规 19 10 2 3 6" xfId="11791"/>
    <cellStyle name="常规 19 10 2 3 7" xfId="4856"/>
    <cellStyle name="常规 19 10 2 3 8" xfId="5418"/>
    <cellStyle name="常规 19 10 2 4" xfId="12818"/>
    <cellStyle name="常规 19 10 2 4 2" xfId="12819"/>
    <cellStyle name="常规 19 10 2 4 3" xfId="9704"/>
    <cellStyle name="常规 19 10 2 4 4" xfId="3958"/>
    <cellStyle name="常规 19 10 2 4 5" xfId="12821"/>
    <cellStyle name="常规 19 10 2 4 6" xfId="1978"/>
    <cellStyle name="常规 19 10 2 4 7" xfId="2027"/>
    <cellStyle name="常规 19 10 2 4 8" xfId="2068"/>
    <cellStyle name="常规 19 10 2 5" xfId="12825"/>
    <cellStyle name="常规 19 10 2 5 2" xfId="12826"/>
    <cellStyle name="常规 19 10 2 5 3" xfId="12828"/>
    <cellStyle name="常规 19 10 2 5 4" xfId="12831"/>
    <cellStyle name="常规 19 10 2 5 5" xfId="12834"/>
    <cellStyle name="常规 19 10 2 5 6" xfId="12838"/>
    <cellStyle name="常规 19 10 2 5 7" xfId="12841"/>
    <cellStyle name="常规 19 10 2 5 8" xfId="12844"/>
    <cellStyle name="常规 19 10 2 6" xfId="12848"/>
    <cellStyle name="常规 19 10 2 6 2" xfId="12849"/>
    <cellStyle name="常规 19 10 2 6 3" xfId="5323"/>
    <cellStyle name="常规 19 10 2 6 4" xfId="5337"/>
    <cellStyle name="常规 19 10 2 6 5" xfId="12850"/>
    <cellStyle name="常规 19 10 2 6 6" xfId="12852"/>
    <cellStyle name="常规 19 10 2 6 7" xfId="12855"/>
    <cellStyle name="常规 19 10 2 6 8" xfId="12858"/>
    <cellStyle name="常规 19 10 2 7" xfId="12862"/>
    <cellStyle name="常规 19 10 2 7 2" xfId="12863"/>
    <cellStyle name="常规 19 10 2 7 3" xfId="12865"/>
    <cellStyle name="常规 19 10 2 7 4" xfId="12868"/>
    <cellStyle name="常规 19 10 2 7 5" xfId="12870"/>
    <cellStyle name="常规 19 10 2 7 6" xfId="12872"/>
    <cellStyle name="常规 19 10 2 7 7" xfId="12875"/>
    <cellStyle name="常规 19 10 2 7 8" xfId="10263"/>
    <cellStyle name="常规 19 10 2 8" xfId="12878"/>
    <cellStyle name="常规 19 10 2 8 2" xfId="12879"/>
    <cellStyle name="常规 19 10 2 8 3" xfId="12881"/>
    <cellStyle name="常规 19 10 2 8 4" xfId="12884"/>
    <cellStyle name="常规 19 10 2 8 5" xfId="12886"/>
    <cellStyle name="常规 19 10 2 8 6" xfId="12888"/>
    <cellStyle name="常规 19 10 2 8 7" xfId="12891"/>
    <cellStyle name="常规 19 10 2 8 8" xfId="12894"/>
    <cellStyle name="常规 19 10 2 9" xfId="12898"/>
    <cellStyle name="常规 19 10 2 9 2" xfId="12899"/>
    <cellStyle name="常规 19 10 2 9 3" xfId="12900"/>
    <cellStyle name="常规 19 10 2 9 4" xfId="12902"/>
    <cellStyle name="常规 19 10 2 9 5" xfId="12904"/>
    <cellStyle name="常规 19 10 2 9 6" xfId="12906"/>
    <cellStyle name="常规 19 10 2 9 7" xfId="12909"/>
    <cellStyle name="常规 19 10 2 9 8" xfId="12912"/>
    <cellStyle name="常规 19 10 3" xfId="12914"/>
    <cellStyle name="常规 19 10 3 2" xfId="7406"/>
    <cellStyle name="常规 19 10 3 3" xfId="6988"/>
    <cellStyle name="常规 19 10 3 4" xfId="9929"/>
    <cellStyle name="常规 19 10 3 5" xfId="12917"/>
    <cellStyle name="常规 19 10 3 6" xfId="9476"/>
    <cellStyle name="常规 19 10 3 7" xfId="9481"/>
    <cellStyle name="常规 19 10 3 8" xfId="12919"/>
    <cellStyle name="常规 19 10 4" xfId="12922"/>
    <cellStyle name="常规 19 10 4 2" xfId="2907"/>
    <cellStyle name="常规 19 10 4 3" xfId="1905"/>
    <cellStyle name="常规 19 10 4 4" xfId="12924"/>
    <cellStyle name="常规 19 10 4 5" xfId="12927"/>
    <cellStyle name="常规 19 10 4 6" xfId="12930"/>
    <cellStyle name="常规 19 10 4 7" xfId="12932"/>
    <cellStyle name="常规 19 10 4 8" xfId="12934"/>
    <cellStyle name="常规 19 10 5" xfId="12937"/>
    <cellStyle name="常规 19 10 5 2" xfId="12421"/>
    <cellStyle name="常规 19 10 5 3" xfId="12941"/>
    <cellStyle name="常规 19 10 5 4" xfId="12943"/>
    <cellStyle name="常规 19 10 5 5" xfId="12946"/>
    <cellStyle name="常规 19 10 5 6" xfId="12949"/>
    <cellStyle name="常规 19 10 5 7" xfId="12952"/>
    <cellStyle name="常规 19 10 5 8" xfId="7575"/>
    <cellStyle name="常规 19 10 6" xfId="11503"/>
    <cellStyle name="常规 19 10 6 2" xfId="12430"/>
    <cellStyle name="常规 19 10 6 3" xfId="12955"/>
    <cellStyle name="常规 19 10 6 4" xfId="12957"/>
    <cellStyle name="常规 19 10 6 5" xfId="12959"/>
    <cellStyle name="常规 19 10 6 6" xfId="11940"/>
    <cellStyle name="常规 19 10 6 7" xfId="12961"/>
    <cellStyle name="常规 19 10 6 8" xfId="7608"/>
    <cellStyle name="常规 19 10 7" xfId="12317"/>
    <cellStyle name="常规 19 10 7 2" xfId="12963"/>
    <cellStyle name="常规 19 10 7 3" xfId="12964"/>
    <cellStyle name="常规 19 10 7 4" xfId="12425"/>
    <cellStyle name="常规 19 10 7 5" xfId="12966"/>
    <cellStyle name="常规 19 10 7 6" xfId="12968"/>
    <cellStyle name="常规 19 10 7 7" xfId="12971"/>
    <cellStyle name="常规 19 10 7 8" xfId="10075"/>
    <cellStyle name="常规 19 10 8" xfId="12972"/>
    <cellStyle name="常规 19 10 8 2" xfId="1385"/>
    <cellStyle name="常规 19 10 8 3" xfId="12973"/>
    <cellStyle name="常规 19 10 8 4" xfId="12975"/>
    <cellStyle name="常规 19 10 8 5" xfId="12977"/>
    <cellStyle name="常规 19 10 8 6" xfId="12978"/>
    <cellStyle name="常规 19 10 8 7" xfId="12979"/>
    <cellStyle name="常规 19 10 8 8" xfId="10724"/>
    <cellStyle name="常规 19 10 9" xfId="12980"/>
    <cellStyle name="常规 19 10 9 2" xfId="8454"/>
    <cellStyle name="常规 19 10 9 3" xfId="12981"/>
    <cellStyle name="常规 19 10 9 4" xfId="12651"/>
    <cellStyle name="常规 19 10 9 5" xfId="12983"/>
    <cellStyle name="常规 19 10 9 6" xfId="7921"/>
    <cellStyle name="常规 19 10 9 7" xfId="7928"/>
    <cellStyle name="常规 19 10 9 8" xfId="10752"/>
    <cellStyle name="常规 19 11" xfId="12984"/>
    <cellStyle name="常规 19 11 10" xfId="5256"/>
    <cellStyle name="常规 19 11 10 2" xfId="12989"/>
    <cellStyle name="常规 19 11 10 3" xfId="12997"/>
    <cellStyle name="常规 19 11 10 4" xfId="4274"/>
    <cellStyle name="常规 19 11 10 5" xfId="4291"/>
    <cellStyle name="常规 19 11 10 6" xfId="13005"/>
    <cellStyle name="常规 19 11 10 7" xfId="6656"/>
    <cellStyle name="常规 19 11 11" xfId="7488"/>
    <cellStyle name="常规 19 11 12" xfId="8163"/>
    <cellStyle name="常规 19 11 13" xfId="8169"/>
    <cellStyle name="常规 19 11 14" xfId="10611"/>
    <cellStyle name="常规 19 11 15" xfId="10615"/>
    <cellStyle name="常规 19 11 16" xfId="12202"/>
    <cellStyle name="常规 19 11 17" xfId="12214"/>
    <cellStyle name="常规 19 11 2" xfId="13008"/>
    <cellStyle name="常规 19 11 2 2" xfId="13011"/>
    <cellStyle name="常规 19 11 2 3" xfId="13013"/>
    <cellStyle name="常规 19 11 2 4" xfId="13014"/>
    <cellStyle name="常规 19 11 2 5" xfId="13015"/>
    <cellStyle name="常规 19 11 2 6" xfId="13016"/>
    <cellStyle name="常规 19 11 2 7" xfId="13017"/>
    <cellStyle name="常规 19 11 2 8" xfId="13018"/>
    <cellStyle name="常规 19 11 3" xfId="13021"/>
    <cellStyle name="常规 19 11 3 2" xfId="13024"/>
    <cellStyle name="常规 19 11 3 3" xfId="13026"/>
    <cellStyle name="常规 19 11 3 4" xfId="13027"/>
    <cellStyle name="常规 19 11 3 5" xfId="13028"/>
    <cellStyle name="常规 19 11 3 6" xfId="13029"/>
    <cellStyle name="常规 19 11 3 7" xfId="13030"/>
    <cellStyle name="常规 19 11 3 8" xfId="13031"/>
    <cellStyle name="常规 19 11 4" xfId="12353"/>
    <cellStyle name="常规 19 11 4 2" xfId="3096"/>
    <cellStyle name="常规 19 11 4 3" xfId="3143"/>
    <cellStyle name="常规 19 11 4 4" xfId="12357"/>
    <cellStyle name="常规 19 11 4 5" xfId="13038"/>
    <cellStyle name="常规 19 11 4 6" xfId="13045"/>
    <cellStyle name="常规 19 11 4 7" xfId="13050"/>
    <cellStyle name="常规 19 11 4 8" xfId="11153"/>
    <cellStyle name="常规 19 11 5" xfId="12360"/>
    <cellStyle name="常规 19 11 5 2" xfId="13052"/>
    <cellStyle name="常规 19 11 5 3" xfId="3173"/>
    <cellStyle name="常规 19 11 5 4" xfId="13054"/>
    <cellStyle name="常规 19 11 5 5" xfId="13056"/>
    <cellStyle name="常规 19 11 5 6" xfId="13058"/>
    <cellStyle name="常规 19 11 5 7" xfId="13060"/>
    <cellStyle name="常规 19 11 5 8" xfId="10779"/>
    <cellStyle name="常规 19 11 6" xfId="12321"/>
    <cellStyle name="常规 19 11 6 2" xfId="12324"/>
    <cellStyle name="常规 19 11 6 3" xfId="1589"/>
    <cellStyle name="常规 19 11 6 4" xfId="13062"/>
    <cellStyle name="常规 19 11 6 5" xfId="13064"/>
    <cellStyle name="常规 19 11 6 6" xfId="13066"/>
    <cellStyle name="常规 19 11 6 7" xfId="13068"/>
    <cellStyle name="常规 19 11 6 8" xfId="10805"/>
    <cellStyle name="常规 19 11 7" xfId="12327"/>
    <cellStyle name="常规 19 11 7 2" xfId="12477"/>
    <cellStyle name="常规 19 11 7 3" xfId="3728"/>
    <cellStyle name="常规 19 11 7 4" xfId="13071"/>
    <cellStyle name="常规 19 11 7 5" xfId="13074"/>
    <cellStyle name="常规 19 11 7 6" xfId="13077"/>
    <cellStyle name="常规 19 11 7 7" xfId="13079"/>
    <cellStyle name="常规 19 11 7 8" xfId="10825"/>
    <cellStyle name="常规 19 11 8" xfId="12329"/>
    <cellStyle name="常规 19 11 8 2" xfId="13080"/>
    <cellStyle name="常规 19 11 8 3" xfId="9269"/>
    <cellStyle name="常规 19 11 8 4" xfId="13082"/>
    <cellStyle name="常规 19 11 8 5" xfId="13084"/>
    <cellStyle name="常规 19 11 8 6" xfId="13085"/>
    <cellStyle name="常规 19 11 8 7" xfId="13086"/>
    <cellStyle name="常规 19 11 8 8" xfId="10850"/>
    <cellStyle name="常规 19 11 9" xfId="13087"/>
    <cellStyle name="常规 19 11 9 2" xfId="13090"/>
    <cellStyle name="常规 19 11 9 3" xfId="9533"/>
    <cellStyle name="常规 19 11 9 4" xfId="13095"/>
    <cellStyle name="常规 19 11 9 5" xfId="13100"/>
    <cellStyle name="常规 19 11 9 6" xfId="13103"/>
    <cellStyle name="常规 19 11 9 7" xfId="13106"/>
    <cellStyle name="常规 19 11 9 8" xfId="10865"/>
    <cellStyle name="常规 19 12" xfId="11816"/>
    <cellStyle name="常规 19 12 2" xfId="13107"/>
    <cellStyle name="常规 19 12 3" xfId="13109"/>
    <cellStyle name="常规 19 12 4" xfId="12364"/>
    <cellStyle name="常规 19 12 5" xfId="12366"/>
    <cellStyle name="常规 19 12 6" xfId="12368"/>
    <cellStyle name="常规 19 12 7" xfId="13111"/>
    <cellStyle name="常规 19 12 8" xfId="12409"/>
    <cellStyle name="常规 19 13" xfId="3261"/>
    <cellStyle name="常规 19 13 2" xfId="3478"/>
    <cellStyle name="常规 19 13 3" xfId="632"/>
    <cellStyle name="常规 19 13 4" xfId="12372"/>
    <cellStyle name="常规 19 13 5" xfId="12374"/>
    <cellStyle name="常规 19 13 6" xfId="12377"/>
    <cellStyle name="常规 19 13 7" xfId="13112"/>
    <cellStyle name="常规 19 13 8" xfId="13115"/>
    <cellStyle name="常规 19 14" xfId="3676"/>
    <cellStyle name="常规 19 14 2" xfId="3682"/>
    <cellStyle name="常规 19 14 3" xfId="672"/>
    <cellStyle name="常规 19 14 4" xfId="13118"/>
    <cellStyle name="常规 19 14 5" xfId="13120"/>
    <cellStyle name="常规 19 14 6" xfId="13121"/>
    <cellStyle name="常规 19 14 7" xfId="13122"/>
    <cellStyle name="常规 19 14 8" xfId="13123"/>
    <cellStyle name="常规 19 15" xfId="3761"/>
    <cellStyle name="常规 19 15 2" xfId="3772"/>
    <cellStyle name="常规 19 15 3" xfId="3817"/>
    <cellStyle name="常规 19 15 4" xfId="13127"/>
    <cellStyle name="常规 19 15 5" xfId="13131"/>
    <cellStyle name="常规 19 15 6" xfId="13134"/>
    <cellStyle name="常规 19 15 7" xfId="13137"/>
    <cellStyle name="常规 19 15 8" xfId="13141"/>
    <cellStyle name="常规 19 16" xfId="3842"/>
    <cellStyle name="常规 19 16 2" xfId="13144"/>
    <cellStyle name="常规 19 16 3" xfId="12127"/>
    <cellStyle name="常规 19 16 4" xfId="12131"/>
    <cellStyle name="常规 19 16 5" xfId="13147"/>
    <cellStyle name="常规 19 16 6" xfId="13149"/>
    <cellStyle name="常规 19 16 7" xfId="13151"/>
    <cellStyle name="常规 19 16 8" xfId="13153"/>
    <cellStyle name="常规 19 17" xfId="3085"/>
    <cellStyle name="常规 19 17 2" xfId="998"/>
    <cellStyle name="常规 19 17 3" xfId="3128"/>
    <cellStyle name="常规 19 17 4" xfId="4218"/>
    <cellStyle name="常规 19 17 5" xfId="4244"/>
    <cellStyle name="常规 19 17 6" xfId="5060"/>
    <cellStyle name="常规 19 17 7" xfId="5083"/>
    <cellStyle name="常规 19 17 8" xfId="13154"/>
    <cellStyle name="常规 19 18" xfId="3132"/>
    <cellStyle name="常规 19 18 2" xfId="242"/>
    <cellStyle name="常规 19 18 3" xfId="3146"/>
    <cellStyle name="常规 19 18 4" xfId="3979"/>
    <cellStyle name="常规 19 18 5" xfId="4257"/>
    <cellStyle name="常规 19 18 6" xfId="5103"/>
    <cellStyle name="常规 19 18 7" xfId="316"/>
    <cellStyle name="常规 19 18 8" xfId="10352"/>
    <cellStyle name="常规 19 19" xfId="1677"/>
    <cellStyle name="常规 19 19 2" xfId="13156"/>
    <cellStyle name="常规 19 19 3" xfId="13158"/>
    <cellStyle name="常规 19 19 4" xfId="13160"/>
    <cellStyle name="常规 19 19 5" xfId="13161"/>
    <cellStyle name="常规 19 19 6" xfId="10360"/>
    <cellStyle name="常规 19 19 7" xfId="10364"/>
    <cellStyle name="常规 19 19 8" xfId="10371"/>
    <cellStyle name="常规 19 2" xfId="5251"/>
    <cellStyle name="常规 19 2 10" xfId="13162"/>
    <cellStyle name="常规 19 2 10 2" xfId="6978"/>
    <cellStyle name="常规 19 2 10 3" xfId="7172"/>
    <cellStyle name="常规 19 2 10 4" xfId="7715"/>
    <cellStyle name="常规 19 2 10 5" xfId="7729"/>
    <cellStyle name="常规 19 2 10 6" xfId="8265"/>
    <cellStyle name="常规 19 2 10 7" xfId="13163"/>
    <cellStyle name="常规 19 2 10 8" xfId="13164"/>
    <cellStyle name="常规 19 2 11" xfId="13165"/>
    <cellStyle name="常规 19 2 11 2" xfId="7178"/>
    <cellStyle name="常规 19 2 11 3" xfId="7738"/>
    <cellStyle name="常规 19 2 11 4" xfId="7756"/>
    <cellStyle name="常规 19 2 11 5" xfId="188"/>
    <cellStyle name="常规 19 2 11 6" xfId="1210"/>
    <cellStyle name="常规 19 2 11 7" xfId="12730"/>
    <cellStyle name="常规 19 2 11 8" xfId="12266"/>
    <cellStyle name="常规 19 2 12" xfId="13166"/>
    <cellStyle name="常规 19 2 12 2" xfId="7188"/>
    <cellStyle name="常规 19 2 12 3" xfId="7770"/>
    <cellStyle name="常规 19 2 12 4" xfId="7778"/>
    <cellStyle name="常规 19 2 12 5" xfId="13169"/>
    <cellStyle name="常规 19 2 12 6" xfId="13170"/>
    <cellStyle name="常规 19 2 12 7" xfId="13171"/>
    <cellStyle name="常规 19 2 12 8" xfId="12268"/>
    <cellStyle name="常规 19 2 13" xfId="13172"/>
    <cellStyle name="常规 19 2 13 2" xfId="10222"/>
    <cellStyle name="常规 19 2 13 3" xfId="10231"/>
    <cellStyle name="常规 19 2 13 4" xfId="13173"/>
    <cellStyle name="常规 19 2 13 5" xfId="13175"/>
    <cellStyle name="常规 19 2 13 6" xfId="7332"/>
    <cellStyle name="常规 19 2 13 7" xfId="7356"/>
    <cellStyle name="常规 19 2 13 8" xfId="7367"/>
    <cellStyle name="常规 19 2 14" xfId="13176"/>
    <cellStyle name="常规 19 2 14 2" xfId="10237"/>
    <cellStyle name="常规 19 2 14 3" xfId="13177"/>
    <cellStyle name="常规 19 2 14 4" xfId="13178"/>
    <cellStyle name="常规 19 2 14 5" xfId="13180"/>
    <cellStyle name="常规 19 2 14 6" xfId="7371"/>
    <cellStyle name="常规 19 2 14 7" xfId="7377"/>
    <cellStyle name="常规 19 2 14 8" xfId="13181"/>
    <cellStyle name="常规 19 2 15" xfId="13184"/>
    <cellStyle name="常规 19 2 15 2" xfId="1286"/>
    <cellStyle name="常规 19 2 15 3" xfId="13186"/>
    <cellStyle name="常规 19 2 15 4" xfId="13187"/>
    <cellStyle name="常规 19 2 15 5" xfId="1826"/>
    <cellStyle name="常规 19 2 15 6" xfId="1879"/>
    <cellStyle name="常规 19 2 15 7" xfId="1924"/>
    <cellStyle name="常规 19 2 15 8" xfId="13189"/>
    <cellStyle name="常规 19 2 16" xfId="13192"/>
    <cellStyle name="常规 19 2 16 2" xfId="13194"/>
    <cellStyle name="常规 19 2 16 3" xfId="13197"/>
    <cellStyle name="常规 19 2 16 4" xfId="13199"/>
    <cellStyle name="常规 19 2 16 5" xfId="13200"/>
    <cellStyle name="常规 19 2 16 6" xfId="13201"/>
    <cellStyle name="常规 19 2 16 7" xfId="12016"/>
    <cellStyle name="常规 19 2 16 8" xfId="12018"/>
    <cellStyle name="常规 19 2 17" xfId="13203"/>
    <cellStyle name="常规 19 2 17 2" xfId="13206"/>
    <cellStyle name="常规 19 2 17 3" xfId="13209"/>
    <cellStyle name="常规 19 2 17 4" xfId="13211"/>
    <cellStyle name="常规 19 2 17 5" xfId="13214"/>
    <cellStyle name="常规 19 2 17 6" xfId="13217"/>
    <cellStyle name="常规 19 2 17 7" xfId="12023"/>
    <cellStyle name="常规 19 2 17 8" xfId="12035"/>
    <cellStyle name="常规 19 2 18" xfId="13219"/>
    <cellStyle name="常规 19 2 18 2" xfId="13223"/>
    <cellStyle name="常规 19 2 18 3" xfId="13228"/>
    <cellStyle name="常规 19 2 18 4" xfId="13231"/>
    <cellStyle name="常规 19 2 18 5" xfId="13234"/>
    <cellStyle name="常规 19 2 18 6" xfId="13238"/>
    <cellStyle name="常规 19 2 18 7" xfId="13240"/>
    <cellStyle name="常规 19 2 18 8" xfId="13242"/>
    <cellStyle name="常规 19 2 19" xfId="11228"/>
    <cellStyle name="常规 19 2 19 2" xfId="13244"/>
    <cellStyle name="常规 19 2 19 3" xfId="13249"/>
    <cellStyle name="常规 19 2 19 4" xfId="13254"/>
    <cellStyle name="常规 19 2 19 5" xfId="13258"/>
    <cellStyle name="常规 19 2 19 6" xfId="1323"/>
    <cellStyle name="常规 19 2 19 7" xfId="1349"/>
    <cellStyle name="常规 19 2 2" xfId="13261"/>
    <cellStyle name="常规 19 2 2 10" xfId="12685"/>
    <cellStyle name="常规 19 2 2 10 2" xfId="2733"/>
    <cellStyle name="常规 19 2 2 10 3" xfId="12688"/>
    <cellStyle name="常规 19 2 2 10 4" xfId="13262"/>
    <cellStyle name="常规 19 2 2 10 5" xfId="13263"/>
    <cellStyle name="常规 19 2 2 10 6" xfId="13264"/>
    <cellStyle name="常规 19 2 2 10 7" xfId="10789"/>
    <cellStyle name="常规 19 2 2 10 8" xfId="10791"/>
    <cellStyle name="常规 19 2 2 11" xfId="12691"/>
    <cellStyle name="常规 19 2 2 11 2" xfId="13265"/>
    <cellStyle name="常规 19 2 2 11 3" xfId="13266"/>
    <cellStyle name="常规 19 2 2 11 4" xfId="13267"/>
    <cellStyle name="常规 19 2 2 11 5" xfId="13268"/>
    <cellStyle name="常规 19 2 2 11 6" xfId="13269"/>
    <cellStyle name="常规 19 2 2 11 7" xfId="13270"/>
    <cellStyle name="常规 19 2 2 11 8" xfId="13272"/>
    <cellStyle name="常规 19 2 2 12" xfId="7503"/>
    <cellStyle name="常规 19 2 2 12 2" xfId="10606"/>
    <cellStyle name="常规 19 2 2 12 3" xfId="10617"/>
    <cellStyle name="常规 19 2 2 12 4" xfId="13274"/>
    <cellStyle name="常规 19 2 2 12 5" xfId="11618"/>
    <cellStyle name="常规 19 2 2 12 6" xfId="11623"/>
    <cellStyle name="常规 19 2 2 12 7" xfId="11629"/>
    <cellStyle name="常规 19 2 2 12 8" xfId="13276"/>
    <cellStyle name="常规 19 2 2 13" xfId="10620"/>
    <cellStyle name="常规 19 2 2 13 2" xfId="10623"/>
    <cellStyle name="常规 19 2 2 13 3" xfId="10625"/>
    <cellStyle name="常规 19 2 2 13 4" xfId="13278"/>
    <cellStyle name="常规 19 2 2 13 5" xfId="11633"/>
    <cellStyle name="常规 19 2 2 13 6" xfId="11640"/>
    <cellStyle name="常规 19 2 2 13 7" xfId="13280"/>
    <cellStyle name="常规 19 2 2 13 8" xfId="13282"/>
    <cellStyle name="常规 19 2 2 14" xfId="10629"/>
    <cellStyle name="常规 19 2 2 14 2" xfId="6675"/>
    <cellStyle name="常规 19 2 2 14 3" xfId="6683"/>
    <cellStyle name="常规 19 2 2 14 4" xfId="6975"/>
    <cellStyle name="常规 19 2 2 14 5" xfId="7170"/>
    <cellStyle name="常规 19 2 2 14 6" xfId="7714"/>
    <cellStyle name="常规 19 2 2 14 7" xfId="7725"/>
    <cellStyle name="常规 19 2 2 14 8" xfId="8262"/>
    <cellStyle name="常规 19 2 2 15" xfId="13284"/>
    <cellStyle name="常规 19 2 2 15 2" xfId="6715"/>
    <cellStyle name="常规 19 2 2 15 3" xfId="7000"/>
    <cellStyle name="常规 19 2 2 15 4" xfId="7175"/>
    <cellStyle name="常规 19 2 2 15 5" xfId="7736"/>
    <cellStyle name="常规 19 2 2 15 6" xfId="7755"/>
    <cellStyle name="常规 19 2 2 15 7" xfId="186"/>
    <cellStyle name="常规 19 2 2 15 8" xfId="1208"/>
    <cellStyle name="常规 19 2 2 16" xfId="10957"/>
    <cellStyle name="常规 19 2 2 16 2" xfId="6724"/>
    <cellStyle name="常规 19 2 2 16 3" xfId="7039"/>
    <cellStyle name="常规 19 2 2 16 4" xfId="7185"/>
    <cellStyle name="常规 19 2 2 16 5" xfId="7769"/>
    <cellStyle name="常规 19 2 2 16 6" xfId="7777"/>
    <cellStyle name="常规 19 2 2 16 7" xfId="13168"/>
    <cellStyle name="常规 19 2 2 17" xfId="10961"/>
    <cellStyle name="常规 19 2 2 18" xfId="13286"/>
    <cellStyle name="常规 19 2 2 19" xfId="11686"/>
    <cellStyle name="常规 19 2 2 2" xfId="3838"/>
    <cellStyle name="常规 19 2 2 2 10" xfId="13289"/>
    <cellStyle name="常规 19 2 2 2 10 2" xfId="13294"/>
    <cellStyle name="常规 19 2 2 2 10 3" xfId="13299"/>
    <cellStyle name="常规 19 2 2 2 10 4" xfId="13303"/>
    <cellStyle name="常规 19 2 2 2 10 5" xfId="2316"/>
    <cellStyle name="常规 19 2 2 2 10 6" xfId="8398"/>
    <cellStyle name="常规 19 2 2 2 10 7" xfId="13305"/>
    <cellStyle name="常规 19 2 2 2 10 8" xfId="4305"/>
    <cellStyle name="常规 19 2 2 2 11" xfId="13308"/>
    <cellStyle name="常规 19 2 2 2 11 2" xfId="13314"/>
    <cellStyle name="常规 19 2 2 2 11 3" xfId="13319"/>
    <cellStyle name="常规 19 2 2 2 11 4" xfId="993"/>
    <cellStyle name="常规 19 2 2 2 11 5" xfId="5929"/>
    <cellStyle name="常规 19 2 2 2 11 6" xfId="13320"/>
    <cellStyle name="常规 19 2 2 2 11 7" xfId="13321"/>
    <cellStyle name="常规 19 2 2 2 11 8" xfId="13322"/>
    <cellStyle name="常规 19 2 2 2 12" xfId="13325"/>
    <cellStyle name="常规 19 2 2 2 12 2" xfId="4970"/>
    <cellStyle name="常规 19 2 2 2 12 3" xfId="4986"/>
    <cellStyle name="常规 19 2 2 2 12 4" xfId="5002"/>
    <cellStyle name="常规 19 2 2 2 12 5" xfId="13328"/>
    <cellStyle name="常规 19 2 2 2 12 6" xfId="13329"/>
    <cellStyle name="常规 19 2 2 2 12 7" xfId="13330"/>
    <cellStyle name="常规 19 2 2 2 12 8" xfId="2536"/>
    <cellStyle name="常规 19 2 2 2 13" xfId="13333"/>
    <cellStyle name="常规 19 2 2 2 13 2" xfId="1440"/>
    <cellStyle name="常规 19 2 2 2 13 3" xfId="5039"/>
    <cellStyle name="常规 19 2 2 2 13 4" xfId="6440"/>
    <cellStyle name="常规 19 2 2 2 13 5" xfId="6446"/>
    <cellStyle name="常规 19 2 2 2 13 6" xfId="13334"/>
    <cellStyle name="常规 19 2 2 2 13 7" xfId="13337"/>
    <cellStyle name="常规 19 2 2 2 13 8" xfId="13340"/>
    <cellStyle name="常规 19 2 2 2 14" xfId="6083"/>
    <cellStyle name="常规 19 2 2 2 14 2" xfId="5095"/>
    <cellStyle name="常规 19 2 2 2 14 3" xfId="5121"/>
    <cellStyle name="常规 19 2 2 2 14 4" xfId="8061"/>
    <cellStyle name="常规 19 2 2 2 14 5" xfId="8080"/>
    <cellStyle name="常规 19 2 2 2 14 6" xfId="297"/>
    <cellStyle name="常规 19 2 2 2 14 7" xfId="409"/>
    <cellStyle name="常规 19 2 2 2 14 8" xfId="3368"/>
    <cellStyle name="常规 19 2 2 2 15" xfId="6094"/>
    <cellStyle name="常规 19 2 2 2 15 2" xfId="5134"/>
    <cellStyle name="常规 19 2 2 2 15 3" xfId="7445"/>
    <cellStyle name="常规 19 2 2 2 15 4" xfId="8088"/>
    <cellStyle name="常规 19 2 2 2 15 5" xfId="8096"/>
    <cellStyle name="常规 19 2 2 2 15 6" xfId="2236"/>
    <cellStyle name="常规 19 2 2 2 15 7" xfId="2248"/>
    <cellStyle name="常规 19 2 2 2 16" xfId="7449"/>
    <cellStyle name="常规 19 2 2 2 17" xfId="10441"/>
    <cellStyle name="常规 19 2 2 2 18" xfId="10449"/>
    <cellStyle name="常规 19 2 2 2 19" xfId="10456"/>
    <cellStyle name="常规 19 2 2 2 2" xfId="11415"/>
    <cellStyle name="常规 19 2 2 2 2 10" xfId="7746"/>
    <cellStyle name="常规 19 2 2 2 2 10 2" xfId="12386"/>
    <cellStyle name="常规 19 2 2 2 2 10 3" xfId="476"/>
    <cellStyle name="常规 19 2 2 2 2 10 4" xfId="507"/>
    <cellStyle name="常规 19 2 2 2 2 10 5" xfId="5461"/>
    <cellStyle name="常规 19 2 2 2 2 10 6" xfId="5467"/>
    <cellStyle name="常规 19 2 2 2 2 10 7" xfId="13341"/>
    <cellStyle name="常规 19 2 2 2 2 10 8" xfId="13344"/>
    <cellStyle name="常规 19 2 2 2 2 11" xfId="7750"/>
    <cellStyle name="常规 19 2 2 2 2 11 2" xfId="1339"/>
    <cellStyle name="常规 19 2 2 2 2 11 3" xfId="201"/>
    <cellStyle name="常规 19 2 2 2 2 11 4" xfId="10289"/>
    <cellStyle name="常规 19 2 2 2 2 11 5" xfId="10294"/>
    <cellStyle name="常规 19 2 2 2 2 11 6" xfId="13347"/>
    <cellStyle name="常规 19 2 2 2 2 11 7" xfId="13349"/>
    <cellStyle name="常规 19 2 2 2 2 11 8" xfId="13353"/>
    <cellStyle name="常规 19 2 2 2 2 12" xfId="13359"/>
    <cellStyle name="常规 19 2 2 2 2 12 2" xfId="12549"/>
    <cellStyle name="常规 19 2 2 2 2 12 3" xfId="10305"/>
    <cellStyle name="常规 19 2 2 2 2 12 4" xfId="10314"/>
    <cellStyle name="常规 19 2 2 2 2 12 5" xfId="10317"/>
    <cellStyle name="常规 19 2 2 2 2 12 6" xfId="13361"/>
    <cellStyle name="常规 19 2 2 2 2 12 7" xfId="10924"/>
    <cellStyle name="常规 19 2 2 2 2 12 8" xfId="10932"/>
    <cellStyle name="常规 19 2 2 2 2 13" xfId="13363"/>
    <cellStyle name="常规 19 2 2 2 2 13 2" xfId="12564"/>
    <cellStyle name="常规 19 2 2 2 2 13 3" xfId="10322"/>
    <cellStyle name="常规 19 2 2 2 2 13 4" xfId="10327"/>
    <cellStyle name="常规 19 2 2 2 2 13 5" xfId="13366"/>
    <cellStyle name="常规 19 2 2 2 2 13 6" xfId="13368"/>
    <cellStyle name="常规 19 2 2 2 2 13 7" xfId="10939"/>
    <cellStyle name="常规 19 2 2 2 2 14" xfId="8974"/>
    <cellStyle name="常规 19 2 2 2 2 15" xfId="8986"/>
    <cellStyle name="常规 19 2 2 2 2 16" xfId="13371"/>
    <cellStyle name="常规 19 2 2 2 2 17" xfId="13375"/>
    <cellStyle name="常规 19 2 2 2 2 18" xfId="13378"/>
    <cellStyle name="常规 19 2 2 2 2 19" xfId="13379"/>
    <cellStyle name="常规 19 2 2 2 2 2" xfId="13380"/>
    <cellStyle name="常规 19 2 2 2 2 2 10" xfId="13388"/>
    <cellStyle name="常规 19 2 2 2 2 2 10 2" xfId="13390"/>
    <cellStyle name="常规 19 2 2 2 2 2 10 3" xfId="12164"/>
    <cellStyle name="常规 19 2 2 2 2 2 10 4" xfId="12168"/>
    <cellStyle name="常规 19 2 2 2 2 2 10 5" xfId="12178"/>
    <cellStyle name="常规 19 2 2 2 2 2 10 6" xfId="13392"/>
    <cellStyle name="常规 19 2 2 2 2 2 10 7" xfId="13393"/>
    <cellStyle name="常规 19 2 2 2 2 2 10 8" xfId="13394"/>
    <cellStyle name="常规 19 2 2 2 2 2 11" xfId="13401"/>
    <cellStyle name="常规 19 2 2 2 2 2 11 2" xfId="13403"/>
    <cellStyle name="常规 19 2 2 2 2 2 11 3" xfId="12181"/>
    <cellStyle name="常规 19 2 2 2 2 2 11 4" xfId="12190"/>
    <cellStyle name="常规 19 2 2 2 2 2 11 5" xfId="8662"/>
    <cellStyle name="常规 19 2 2 2 2 2 11 6" xfId="8676"/>
    <cellStyle name="常规 19 2 2 2 2 2 11 7" xfId="8695"/>
    <cellStyle name="常规 19 2 2 2 2 2 11 8" xfId="8704"/>
    <cellStyle name="常规 19 2 2 2 2 2 12" xfId="941"/>
    <cellStyle name="常规 19 2 2 2 2 2 12 2" xfId="947"/>
    <cellStyle name="常规 19 2 2 2 2 2 12 3" xfId="1012"/>
    <cellStyle name="常规 19 2 2 2 2 2 12 4" xfId="343"/>
    <cellStyle name="常规 19 2 2 2 2 2 12 5" xfId="563"/>
    <cellStyle name="常规 19 2 2 2 2 2 12 6" xfId="1550"/>
    <cellStyle name="常规 19 2 2 2 2 2 12 7" xfId="3696"/>
    <cellStyle name="常规 19 2 2 2 2 2 13" xfId="1029"/>
    <cellStyle name="常规 19 2 2 2 2 2 14" xfId="1061"/>
    <cellStyle name="常规 19 2 2 2 2 2 15" xfId="1080"/>
    <cellStyle name="常规 19 2 2 2 2 2 16" xfId="2878"/>
    <cellStyle name="常规 19 2 2 2 2 2 17" xfId="13404"/>
    <cellStyle name="常规 19 2 2 2 2 2 18" xfId="13407"/>
    <cellStyle name="常规 19 2 2 2 2 2 19" xfId="13410"/>
    <cellStyle name="常规 19 2 2 2 2 2 2" xfId="13414"/>
    <cellStyle name="常规 19 2 2 2 2 2 2 10" xfId="13415"/>
    <cellStyle name="常规 19 2 2 2 2 2 2 10 2" xfId="13419"/>
    <cellStyle name="常规 19 2 2 2 2 2 2 10 3" xfId="13420"/>
    <cellStyle name="常规 19 2 2 2 2 2 2 10 4" xfId="4800"/>
    <cellStyle name="常规 19 2 2 2 2 2 2 10 5" xfId="4845"/>
    <cellStyle name="常规 19 2 2 2 2 2 2 10 6" xfId="1690"/>
    <cellStyle name="常规 19 2 2 2 2 2 2 10 7" xfId="2100"/>
    <cellStyle name="常规 19 2 2 2 2 2 2 11" xfId="32"/>
    <cellStyle name="常规 19 2 2 2 2 2 2 12" xfId="431"/>
    <cellStyle name="常规 19 2 2 2 2 2 2 13" xfId="7666"/>
    <cellStyle name="常规 19 2 2 2 2 2 2 14" xfId="7672"/>
    <cellStyle name="常规 19 2 2 2 2 2 2 15" xfId="8238"/>
    <cellStyle name="常规 19 2 2 2 2 2 2 16" xfId="8242"/>
    <cellStyle name="常规 19 2 2 2 2 2 2 17" xfId="13423"/>
    <cellStyle name="常规 19 2 2 2 2 2 2 2" xfId="13424"/>
    <cellStyle name="常规 19 2 2 2 2 2 2 2 2" xfId="13425"/>
    <cellStyle name="常规 19 2 2 2 2 2 2 2 3" xfId="13426"/>
    <cellStyle name="常规 19 2 2 2 2 2 2 2 4" xfId="13427"/>
    <cellStyle name="常规 19 2 2 2 2 2 2 2 5" xfId="13428"/>
    <cellStyle name="常规 19 2 2 2 2 2 2 2 6" xfId="13429"/>
    <cellStyle name="常规 19 2 2 2 2 2 2 2 7" xfId="12171"/>
    <cellStyle name="常规 19 2 2 2 2 2 2 2 8" xfId="12173"/>
    <cellStyle name="常规 19 2 2 2 2 2 2 3" xfId="13430"/>
    <cellStyle name="常规 19 2 2 2 2 2 2 3 2" xfId="13431"/>
    <cellStyle name="常规 19 2 2 2 2 2 2 3 3" xfId="13432"/>
    <cellStyle name="常规 19 2 2 2 2 2 2 3 4" xfId="13433"/>
    <cellStyle name="常规 19 2 2 2 2 2 2 3 5" xfId="13434"/>
    <cellStyle name="常规 19 2 2 2 2 2 2 3 6" xfId="13435"/>
    <cellStyle name="常规 19 2 2 2 2 2 2 3 7" xfId="13436"/>
    <cellStyle name="常规 19 2 2 2 2 2 2 3 8" xfId="13437"/>
    <cellStyle name="常规 19 2 2 2 2 2 2 4" xfId="13439"/>
    <cellStyle name="常规 19 2 2 2 2 2 2 4 2" xfId="13441"/>
    <cellStyle name="常规 19 2 2 2 2 2 2 4 3" xfId="13443"/>
    <cellStyle name="常规 19 2 2 2 2 2 2 4 4" xfId="13444"/>
    <cellStyle name="常规 19 2 2 2 2 2 2 4 5" xfId="13445"/>
    <cellStyle name="常规 19 2 2 2 2 2 2 4 6" xfId="13446"/>
    <cellStyle name="常规 19 2 2 2 2 2 2 4 7" xfId="13447"/>
    <cellStyle name="常规 19 2 2 2 2 2 2 4 8" xfId="13448"/>
    <cellStyle name="常规 19 2 2 2 2 2 2 5" xfId="13450"/>
    <cellStyle name="常规 19 2 2 2 2 2 2 5 2" xfId="13451"/>
    <cellStyle name="常规 19 2 2 2 2 2 2 5 3" xfId="13452"/>
    <cellStyle name="常规 19 2 2 2 2 2 2 5 4" xfId="13453"/>
    <cellStyle name="常规 19 2 2 2 2 2 2 5 5" xfId="13455"/>
    <cellStyle name="常规 19 2 2 2 2 2 2 5 6" xfId="13457"/>
    <cellStyle name="常规 19 2 2 2 2 2 2 5 7" xfId="13458"/>
    <cellStyle name="常规 19 2 2 2 2 2 2 5 8" xfId="13459"/>
    <cellStyle name="常规 19 2 2 2 2 2 2 6" xfId="12440"/>
    <cellStyle name="常规 19 2 2 2 2 2 2 6 2" xfId="13460"/>
    <cellStyle name="常规 19 2 2 2 2 2 2 6 3" xfId="13462"/>
    <cellStyle name="常规 19 2 2 2 2 2 2 6 4" xfId="13464"/>
    <cellStyle name="常规 19 2 2 2 2 2 2 6 5" xfId="13467"/>
    <cellStyle name="常规 19 2 2 2 2 2 2 6 6" xfId="13470"/>
    <cellStyle name="常规 19 2 2 2 2 2 2 6 7" xfId="13472"/>
    <cellStyle name="常规 19 2 2 2 2 2 2 6 8" xfId="13474"/>
    <cellStyle name="常规 19 2 2 2 2 2 2 7" xfId="7319"/>
    <cellStyle name="常规 19 2 2 2 2 2 2 7 2" xfId="13476"/>
    <cellStyle name="常规 19 2 2 2 2 2 2 7 3" xfId="13478"/>
    <cellStyle name="常规 19 2 2 2 2 2 2 7 4" xfId="1464"/>
    <cellStyle name="常规 19 2 2 2 2 2 2 7 5" xfId="3056"/>
    <cellStyle name="常规 19 2 2 2 2 2 2 7 6" xfId="11081"/>
    <cellStyle name="常规 19 2 2 2 2 2 2 7 7" xfId="13481"/>
    <cellStyle name="常规 19 2 2 2 2 2 2 7 8" xfId="13484"/>
    <cellStyle name="常规 19 2 2 2 2 2 2 8" xfId="7323"/>
    <cellStyle name="常规 19 2 2 2 2 2 2 8 2" xfId="13487"/>
    <cellStyle name="常规 19 2 2 2 2 2 2 8 3" xfId="13488"/>
    <cellStyle name="常规 19 2 2 2 2 2 2 8 4" xfId="12112"/>
    <cellStyle name="常规 19 2 2 2 2 2 2 8 5" xfId="11088"/>
    <cellStyle name="常规 19 2 2 2 2 2 2 8 6" xfId="11096"/>
    <cellStyle name="常规 19 2 2 2 2 2 2 8 7" xfId="13494"/>
    <cellStyle name="常规 19 2 2 2 2 2 2 8 8" xfId="13500"/>
    <cellStyle name="常规 19 2 2 2 2 2 2 9" xfId="13503"/>
    <cellStyle name="常规 19 2 2 2 2 2 2 9 2" xfId="13507"/>
    <cellStyle name="常规 19 2 2 2 2 2 2 9 3" xfId="13510"/>
    <cellStyle name="常规 19 2 2 2 2 2 2 9 4" xfId="4186"/>
    <cellStyle name="常规 19 2 2 2 2 2 2 9 5" xfId="4193"/>
    <cellStyle name="常规 19 2 2 2 2 2 2 9 6" xfId="13514"/>
    <cellStyle name="常规 19 2 2 2 2 2 2 9 7" xfId="13519"/>
    <cellStyle name="常规 19 2 2 2 2 2 2 9 8" xfId="13524"/>
    <cellStyle name="常规 19 2 2 2 2 2 3" xfId="13528"/>
    <cellStyle name="常规 19 2 2 2 2 2 3 2" xfId="13532"/>
    <cellStyle name="常规 19 2 2 2 2 2 3 3" xfId="13537"/>
    <cellStyle name="常规 19 2 2 2 2 2 3 4" xfId="13541"/>
    <cellStyle name="常规 19 2 2 2 2 2 3 5" xfId="13545"/>
    <cellStyle name="常规 19 2 2 2 2 2 3 6" xfId="13549"/>
    <cellStyle name="常规 19 2 2 2 2 2 3 7" xfId="13553"/>
    <cellStyle name="常规 19 2 2 2 2 2 3 8" xfId="13558"/>
    <cellStyle name="常规 19 2 2 2 2 2 4" xfId="4032"/>
    <cellStyle name="常规 19 2 2 2 2 2 4 2" xfId="4038"/>
    <cellStyle name="常规 19 2 2 2 2 2 4 3" xfId="4045"/>
    <cellStyle name="常规 19 2 2 2 2 2 4 4" xfId="4907"/>
    <cellStyle name="常规 19 2 2 2 2 2 4 5" xfId="4324"/>
    <cellStyle name="常规 19 2 2 2 2 2 4 6" xfId="4336"/>
    <cellStyle name="常规 19 2 2 2 2 2 4 7" xfId="5604"/>
    <cellStyle name="常规 19 2 2 2 2 2 4 8" xfId="13561"/>
    <cellStyle name="常规 19 2 2 2 2 2 5" xfId="1862"/>
    <cellStyle name="常规 19 2 2 2 2 2 5 2" xfId="13565"/>
    <cellStyle name="常规 19 2 2 2 2 2 5 3" xfId="13571"/>
    <cellStyle name="常规 19 2 2 2 2 2 5 4" xfId="13576"/>
    <cellStyle name="常规 19 2 2 2 2 2 5 5" xfId="13581"/>
    <cellStyle name="常规 19 2 2 2 2 2 5 6" xfId="13586"/>
    <cellStyle name="常规 19 2 2 2 2 2 5 7" xfId="13591"/>
    <cellStyle name="常规 19 2 2 2 2 2 5 8" xfId="13596"/>
    <cellStyle name="常规 19 2 2 2 2 2 6" xfId="13603"/>
    <cellStyle name="常规 19 2 2 2 2 2 6 2" xfId="13609"/>
    <cellStyle name="常规 19 2 2 2 2 2 6 3" xfId="13615"/>
    <cellStyle name="常规 19 2 2 2 2 2 6 4" xfId="13621"/>
    <cellStyle name="常规 19 2 2 2 2 2 6 5" xfId="13626"/>
    <cellStyle name="常规 19 2 2 2 2 2 6 6" xfId="13631"/>
    <cellStyle name="常规 19 2 2 2 2 2 6 7" xfId="13636"/>
    <cellStyle name="常规 19 2 2 2 2 2 6 8" xfId="13640"/>
    <cellStyle name="常规 19 2 2 2 2 2 7" xfId="13645"/>
    <cellStyle name="常规 19 2 2 2 2 2 7 2" xfId="13651"/>
    <cellStyle name="常规 19 2 2 2 2 2 7 3" xfId="13657"/>
    <cellStyle name="常规 19 2 2 2 2 2 7 4" xfId="9344"/>
    <cellStyle name="常规 19 2 2 2 2 2 7 5" xfId="9352"/>
    <cellStyle name="常规 19 2 2 2 2 2 7 6" xfId="13662"/>
    <cellStyle name="常规 19 2 2 2 2 2 7 7" xfId="13667"/>
    <cellStyle name="常规 19 2 2 2 2 2 7 8" xfId="11277"/>
    <cellStyle name="常规 19 2 2 2 2 2 8" xfId="13672"/>
    <cellStyle name="常规 19 2 2 2 2 2 8 2" xfId="13678"/>
    <cellStyle name="常规 19 2 2 2 2 2 8 3" xfId="13684"/>
    <cellStyle name="常规 19 2 2 2 2 2 8 4" xfId="13689"/>
    <cellStyle name="常规 19 2 2 2 2 2 8 5" xfId="13694"/>
    <cellStyle name="常规 19 2 2 2 2 2 8 6" xfId="13699"/>
    <cellStyle name="常规 19 2 2 2 2 2 8 7" xfId="11530"/>
    <cellStyle name="常规 19 2 2 2 2 2 8 8" xfId="11535"/>
    <cellStyle name="常规 19 2 2 2 2 2 9" xfId="13706"/>
    <cellStyle name="常规 19 2 2 2 2 2 9 2" xfId="13712"/>
    <cellStyle name="常规 19 2 2 2 2 2 9 3" xfId="5314"/>
    <cellStyle name="常规 19 2 2 2 2 2 9 4" xfId="5349"/>
    <cellStyle name="常规 19 2 2 2 2 2 9 5" xfId="5363"/>
    <cellStyle name="常规 19 2 2 2 2 2 9 6" xfId="6394"/>
    <cellStyle name="常规 19 2 2 2 2 2 9 7" xfId="7012"/>
    <cellStyle name="常规 19 2 2 2 2 2 9 8" xfId="7027"/>
    <cellStyle name="常规 19 2 2 2 2 20" xfId="8985"/>
    <cellStyle name="常规 19 2 2 2 2 3" xfId="13719"/>
    <cellStyle name="常规 19 2 2 2 2 3 10" xfId="13720"/>
    <cellStyle name="常规 19 2 2 2 2 3 10 2" xfId="13723"/>
    <cellStyle name="常规 19 2 2 2 2 3 10 3" xfId="13730"/>
    <cellStyle name="常规 19 2 2 2 2 3 10 4" xfId="13732"/>
    <cellStyle name="常规 19 2 2 2 2 3 10 5" xfId="13734"/>
    <cellStyle name="常规 19 2 2 2 2 3 10 6" xfId="13736"/>
    <cellStyle name="常规 19 2 2 2 2 3 10 7" xfId="13738"/>
    <cellStyle name="常规 19 2 2 2 2 3 11" xfId="13740"/>
    <cellStyle name="常规 19 2 2 2 2 3 12" xfId="13741"/>
    <cellStyle name="常规 19 2 2 2 2 3 13" xfId="13743"/>
    <cellStyle name="常规 19 2 2 2 2 3 14" xfId="13745"/>
    <cellStyle name="常规 19 2 2 2 2 3 15" xfId="7094"/>
    <cellStyle name="常规 19 2 2 2 2 3 16" xfId="4818"/>
    <cellStyle name="常规 19 2 2 2 2 3 17" xfId="11983"/>
    <cellStyle name="常规 19 2 2 2 2 3 2" xfId="13746"/>
    <cellStyle name="常规 19 2 2 2 2 3 2 2" xfId="13747"/>
    <cellStyle name="常规 19 2 2 2 2 3 2 3" xfId="13205"/>
    <cellStyle name="常规 19 2 2 2 2 3 2 4" xfId="13208"/>
    <cellStyle name="常规 19 2 2 2 2 3 2 5" xfId="13210"/>
    <cellStyle name="常规 19 2 2 2 2 3 2 6" xfId="13213"/>
    <cellStyle name="常规 19 2 2 2 2 3 2 7" xfId="13216"/>
    <cellStyle name="常规 19 2 2 2 2 3 2 8" xfId="12022"/>
    <cellStyle name="常规 19 2 2 2 2 3 3" xfId="13749"/>
    <cellStyle name="常规 19 2 2 2 2 3 3 2" xfId="13752"/>
    <cellStyle name="常规 19 2 2 2 2 3 3 3" xfId="13222"/>
    <cellStyle name="常规 19 2 2 2 2 3 3 4" xfId="13227"/>
    <cellStyle name="常规 19 2 2 2 2 3 3 5" xfId="13230"/>
    <cellStyle name="常规 19 2 2 2 2 3 3 6" xfId="13233"/>
    <cellStyle name="常规 19 2 2 2 2 3 3 7" xfId="13237"/>
    <cellStyle name="常规 19 2 2 2 2 3 3 8" xfId="13239"/>
    <cellStyle name="常规 19 2 2 2 2 3 4" xfId="492"/>
    <cellStyle name="常规 19 2 2 2 2 3 4 2" xfId="13756"/>
    <cellStyle name="常规 19 2 2 2 2 3 4 3" xfId="13243"/>
    <cellStyle name="常规 19 2 2 2 2 3 4 4" xfId="13248"/>
    <cellStyle name="常规 19 2 2 2 2 3 4 5" xfId="13253"/>
    <cellStyle name="常规 19 2 2 2 2 3 4 6" xfId="13257"/>
    <cellStyle name="常规 19 2 2 2 2 3 4 7" xfId="1322"/>
    <cellStyle name="常规 19 2 2 2 2 3 4 8" xfId="1348"/>
    <cellStyle name="常规 19 2 2 2 2 3 5" xfId="3158"/>
    <cellStyle name="常规 19 2 2 2 2 3 5 2" xfId="13760"/>
    <cellStyle name="常规 19 2 2 2 2 3 5 3" xfId="13763"/>
    <cellStyle name="常规 19 2 2 2 2 3 5 4" xfId="13766"/>
    <cellStyle name="常规 19 2 2 2 2 3 5 5" xfId="13769"/>
    <cellStyle name="常规 19 2 2 2 2 3 5 6" xfId="13773"/>
    <cellStyle name="常规 19 2 2 2 2 3 5 7" xfId="1363"/>
    <cellStyle name="常规 19 2 2 2 2 3 5 8" xfId="1374"/>
    <cellStyle name="常规 19 2 2 2 2 3 6" xfId="4276"/>
    <cellStyle name="常规 19 2 2 2 2 3 6 2" xfId="13777"/>
    <cellStyle name="常规 19 2 2 2 2 3 6 3" xfId="13782"/>
    <cellStyle name="常规 19 2 2 2 2 3 6 4" xfId="13785"/>
    <cellStyle name="常规 19 2 2 2 2 3 6 5" xfId="13788"/>
    <cellStyle name="常规 19 2 2 2 2 3 6 6" xfId="13790"/>
    <cellStyle name="常规 19 2 2 2 2 3 6 7" xfId="1204"/>
    <cellStyle name="常规 19 2 2 2 2 3 6 8" xfId="2828"/>
    <cellStyle name="常规 19 2 2 2 2 3 7" xfId="4064"/>
    <cellStyle name="常规 19 2 2 2 2 3 7 2" xfId="13793"/>
    <cellStyle name="常规 19 2 2 2 2 3 7 3" xfId="13796"/>
    <cellStyle name="常规 19 2 2 2 2 3 7 4" xfId="13799"/>
    <cellStyle name="常规 19 2 2 2 2 3 7 5" xfId="13801"/>
    <cellStyle name="常规 19 2 2 2 2 3 7 6" xfId="13803"/>
    <cellStyle name="常规 19 2 2 2 2 3 7 7" xfId="13804"/>
    <cellStyle name="常规 19 2 2 2 2 3 7 8" xfId="13806"/>
    <cellStyle name="常规 19 2 2 2 2 3 8" xfId="4078"/>
    <cellStyle name="常规 19 2 2 2 2 3 8 2" xfId="13809"/>
    <cellStyle name="常规 19 2 2 2 2 3 8 3" xfId="13811"/>
    <cellStyle name="常规 19 2 2 2 2 3 8 4" xfId="13813"/>
    <cellStyle name="常规 19 2 2 2 2 3 8 5" xfId="11484"/>
    <cellStyle name="常规 19 2 2 2 2 3 8 6" xfId="11487"/>
    <cellStyle name="常规 19 2 2 2 2 3 8 7" xfId="13814"/>
    <cellStyle name="常规 19 2 2 2 2 3 8 8" xfId="13815"/>
    <cellStyle name="常规 19 2 2 2 2 3 9" xfId="2938"/>
    <cellStyle name="常规 19 2 2 2 2 3 9 2" xfId="13816"/>
    <cellStyle name="常规 19 2 2 2 2 3 9 3" xfId="1852"/>
    <cellStyle name="常规 19 2 2 2 2 3 9 4" xfId="3274"/>
    <cellStyle name="常规 19 2 2 2 2 3 9 5" xfId="3668"/>
    <cellStyle name="常规 19 2 2 2 2 3 9 6" xfId="3754"/>
    <cellStyle name="常规 19 2 2 2 2 3 9 7" xfId="6546"/>
    <cellStyle name="常规 19 2 2 2 2 3 9 8" xfId="7043"/>
    <cellStyle name="常规 19 2 2 2 2 4" xfId="9669"/>
    <cellStyle name="常规 19 2 2 2 2 4 2" xfId="7904"/>
    <cellStyle name="常规 19 2 2 2 2 4 3" xfId="13819"/>
    <cellStyle name="常规 19 2 2 2 2 4 4" xfId="13822"/>
    <cellStyle name="常规 19 2 2 2 2 4 5" xfId="13826"/>
    <cellStyle name="常规 19 2 2 2 2 4 6" xfId="13831"/>
    <cellStyle name="常规 19 2 2 2 2 4 7" xfId="13838"/>
    <cellStyle name="常规 19 2 2 2 2 4 8" xfId="8582"/>
    <cellStyle name="常规 19 2 2 2 2 5" xfId="9671"/>
    <cellStyle name="常规 19 2 2 2 2 5 2" xfId="11822"/>
    <cellStyle name="常规 19 2 2 2 2 5 3" xfId="13844"/>
    <cellStyle name="常规 19 2 2 2 2 5 4" xfId="13847"/>
    <cellStyle name="常规 19 2 2 2 2 5 5" xfId="13852"/>
    <cellStyle name="常规 19 2 2 2 2 5 6" xfId="13858"/>
    <cellStyle name="常规 19 2 2 2 2 5 7" xfId="13866"/>
    <cellStyle name="常规 19 2 2 2 2 5 8" xfId="10390"/>
    <cellStyle name="常规 19 2 2 2 2 6" xfId="13872"/>
    <cellStyle name="常规 19 2 2 2 2 6 2" xfId="13873"/>
    <cellStyle name="常规 19 2 2 2 2 6 3" xfId="13874"/>
    <cellStyle name="常规 19 2 2 2 2 6 4" xfId="13877"/>
    <cellStyle name="常规 19 2 2 2 2 6 5" xfId="13883"/>
    <cellStyle name="常规 19 2 2 2 2 6 6" xfId="6939"/>
    <cellStyle name="常规 19 2 2 2 2 6 7" xfId="6948"/>
    <cellStyle name="常规 19 2 2 2 2 6 8" xfId="10405"/>
    <cellStyle name="常规 19 2 2 2 2 7" xfId="13889"/>
    <cellStyle name="常规 19 2 2 2 2 7 2" xfId="13890"/>
    <cellStyle name="常规 19 2 2 2 2 7 3" xfId="13892"/>
    <cellStyle name="常规 19 2 2 2 2 7 4" xfId="13895"/>
    <cellStyle name="常规 19 2 2 2 2 7 5" xfId="13901"/>
    <cellStyle name="常规 19 2 2 2 2 7 6" xfId="13908"/>
    <cellStyle name="常规 19 2 2 2 2 7 7" xfId="13915"/>
    <cellStyle name="常规 19 2 2 2 2 7 8" xfId="13382"/>
    <cellStyle name="常规 19 2 2 2 2 8" xfId="13921"/>
    <cellStyle name="常规 19 2 2 2 2 8 2" xfId="13922"/>
    <cellStyle name="常规 19 2 2 2 2 8 3" xfId="13923"/>
    <cellStyle name="常规 19 2 2 2 2 8 4" xfId="13926"/>
    <cellStyle name="常规 19 2 2 2 2 8 5" xfId="13932"/>
    <cellStyle name="常规 19 2 2 2 2 8 6" xfId="13938"/>
    <cellStyle name="常规 19 2 2 2 2 8 7" xfId="5970"/>
    <cellStyle name="常规 19 2 2 2 2 8 8" xfId="5982"/>
    <cellStyle name="常规 19 2 2 2 2 9" xfId="13944"/>
    <cellStyle name="常规 19 2 2 2 2 9 2" xfId="13945"/>
    <cellStyle name="常规 19 2 2 2 2 9 3" xfId="13946"/>
    <cellStyle name="常规 19 2 2 2 2 9 4" xfId="13949"/>
    <cellStyle name="常规 19 2 2 2 2 9 5" xfId="13954"/>
    <cellStyle name="常规 19 2 2 2 2 9 6" xfId="13958"/>
    <cellStyle name="常规 19 2 2 2 2 9 7" xfId="5991"/>
    <cellStyle name="常规 19 2 2 2 2 9 8" xfId="5998"/>
    <cellStyle name="常规 19 2 2 2 20" xfId="6093"/>
    <cellStyle name="常规 19 2 2 2 21" xfId="7448"/>
    <cellStyle name="常规 19 2 2 2 22" xfId="10440"/>
    <cellStyle name="常规 19 2 2 2 3" xfId="7480"/>
    <cellStyle name="常规 19 2 2 2 3 10" xfId="3766"/>
    <cellStyle name="常规 19 2 2 2 3 10 2" xfId="3776"/>
    <cellStyle name="常规 19 2 2 2 3 10 3" xfId="3821"/>
    <cellStyle name="常规 19 2 2 2 3 10 4" xfId="3839"/>
    <cellStyle name="常规 19 2 2 2 3 10 5" xfId="11419"/>
    <cellStyle name="常规 19 2 2 2 3 10 6" xfId="13964"/>
    <cellStyle name="常规 19 2 2 2 3 10 7" xfId="13966"/>
    <cellStyle name="常规 19 2 2 2 3 10 8" xfId="13970"/>
    <cellStyle name="常规 19 2 2 2 3 11" xfId="3846"/>
    <cellStyle name="常规 19 2 2 2 3 11 2" xfId="3855"/>
    <cellStyle name="常规 19 2 2 2 3 11 3" xfId="3878"/>
    <cellStyle name="常规 19 2 2 2 3 11 4" xfId="3901"/>
    <cellStyle name="常规 19 2 2 2 3 11 5" xfId="13974"/>
    <cellStyle name="常规 19 2 2 2 3 11 6" xfId="13977"/>
    <cellStyle name="常规 19 2 2 2 3 11 7" xfId="13980"/>
    <cellStyle name="常规 19 2 2 2 3 11 8" xfId="13985"/>
    <cellStyle name="常规 19 2 2 2 3 12" xfId="3092"/>
    <cellStyle name="常规 19 2 2 2 3 12 2" xfId="995"/>
    <cellStyle name="常规 19 2 2 2 3 12 3" xfId="3125"/>
    <cellStyle name="常规 19 2 2 2 3 12 4" xfId="11435"/>
    <cellStyle name="常规 19 2 2 2 3 12 5" xfId="13991"/>
    <cellStyle name="常规 19 2 2 2 3 12 6" xfId="13993"/>
    <cellStyle name="常规 19 2 2 2 3 12 7" xfId="13994"/>
    <cellStyle name="常规 19 2 2 2 3 13" xfId="3139"/>
    <cellStyle name="常规 19 2 2 2 3 14" xfId="12355"/>
    <cellStyle name="常规 19 2 2 2 3 15" xfId="13036"/>
    <cellStyle name="常规 19 2 2 2 3 16" xfId="13043"/>
    <cellStyle name="常规 19 2 2 2 3 17" xfId="13049"/>
    <cellStyle name="常规 19 2 2 2 3 18" xfId="11150"/>
    <cellStyle name="常规 19 2 2 2 3 19" xfId="11155"/>
    <cellStyle name="常规 19 2 2 2 3 2" xfId="5253"/>
    <cellStyle name="常规 19 2 2 2 3 2 10" xfId="13998"/>
    <cellStyle name="常规 19 2 2 2 3 2 10 2" xfId="13999"/>
    <cellStyle name="常规 19 2 2 2 3 2 10 3" xfId="14000"/>
    <cellStyle name="常规 19 2 2 2 3 2 10 4" xfId="14001"/>
    <cellStyle name="常规 19 2 2 2 3 2 10 5" xfId="14002"/>
    <cellStyle name="常规 19 2 2 2 3 2 10 6" xfId="14004"/>
    <cellStyle name="常规 19 2 2 2 3 2 10 7" xfId="14006"/>
    <cellStyle name="常规 19 2 2 2 3 2 11" xfId="14007"/>
    <cellStyle name="常规 19 2 2 2 3 2 12" xfId="1908"/>
    <cellStyle name="常规 19 2 2 2 3 2 13" xfId="1917"/>
    <cellStyle name="常规 19 2 2 2 3 2 14" xfId="6711"/>
    <cellStyle name="常规 19 2 2 2 3 2 15" xfId="7008"/>
    <cellStyle name="常规 19 2 2 2 3 2 16" xfId="14009"/>
    <cellStyle name="常规 19 2 2 2 3 2 17" xfId="14013"/>
    <cellStyle name="常规 19 2 2 2 3 2 2" xfId="12986"/>
    <cellStyle name="常规 19 2 2 2 3 2 2 2" xfId="4023"/>
    <cellStyle name="常规 19 2 2 2 3 2 2 3" xfId="14017"/>
    <cellStyle name="常规 19 2 2 2 3 2 2 4" xfId="14019"/>
    <cellStyle name="常规 19 2 2 2 3 2 2 5" xfId="14021"/>
    <cellStyle name="常规 19 2 2 2 3 2 2 6" xfId="14024"/>
    <cellStyle name="常规 19 2 2 2 3 2 2 7" xfId="14026"/>
    <cellStyle name="常规 19 2 2 2 3 2 2 8" xfId="14027"/>
    <cellStyle name="常规 19 2 2 2 3 2 3" xfId="12992"/>
    <cellStyle name="常规 19 2 2 2 3 2 3 2" xfId="13602"/>
    <cellStyle name="常规 19 2 2 2 3 2 3 3" xfId="13644"/>
    <cellStyle name="常规 19 2 2 2 3 2 3 4" xfId="13671"/>
    <cellStyle name="常规 19 2 2 2 3 2 3 5" xfId="13705"/>
    <cellStyle name="常规 19 2 2 2 3 2 3 6" xfId="14029"/>
    <cellStyle name="常规 19 2 2 2 3 2 3 7" xfId="14035"/>
    <cellStyle name="常规 19 2 2 2 3 2 3 8" xfId="14039"/>
    <cellStyle name="常规 19 2 2 2 3 2 4" xfId="4267"/>
    <cellStyle name="常规 19 2 2 2 3 2 4 2" xfId="4275"/>
    <cellStyle name="常规 19 2 2 2 3 2 4 3" xfId="4063"/>
    <cellStyle name="常规 19 2 2 2 3 2 4 4" xfId="4077"/>
    <cellStyle name="常规 19 2 2 2 3 2 4 5" xfId="2937"/>
    <cellStyle name="常规 19 2 2 2 3 2 4 6" xfId="14042"/>
    <cellStyle name="常规 19 2 2 2 3 2 4 7" xfId="14046"/>
    <cellStyle name="常规 19 2 2 2 3 2 4 8" xfId="14049"/>
    <cellStyle name="常规 19 2 2 2 3 2 5" xfId="4283"/>
    <cellStyle name="常规 19 2 2 2 3 2 5 2" xfId="13830"/>
    <cellStyle name="常规 19 2 2 2 3 2 5 3" xfId="13837"/>
    <cellStyle name="常规 19 2 2 2 3 2 5 4" xfId="8581"/>
    <cellStyle name="常规 19 2 2 2 3 2 5 5" xfId="8602"/>
    <cellStyle name="常规 19 2 2 2 3 2 5 6" xfId="8640"/>
    <cellStyle name="常规 19 2 2 2 3 2 5 7" xfId="14052"/>
    <cellStyle name="常规 19 2 2 2 3 2 5 8" xfId="10348"/>
    <cellStyle name="常规 19 2 2 2 3 2 6" xfId="12999"/>
    <cellStyle name="常规 19 2 2 2 3 2 6 2" xfId="13857"/>
    <cellStyle name="常规 19 2 2 2 3 2 6 3" xfId="13865"/>
    <cellStyle name="常规 19 2 2 2 3 2 6 4" xfId="10389"/>
    <cellStyle name="常规 19 2 2 2 3 2 6 5" xfId="10397"/>
    <cellStyle name="常规 19 2 2 2 3 2 6 6" xfId="14055"/>
    <cellStyle name="常规 19 2 2 2 3 2 6 7" xfId="14060"/>
    <cellStyle name="常规 19 2 2 2 3 2 6 8" xfId="14063"/>
    <cellStyle name="常规 19 2 2 2 3 2 7" xfId="6649"/>
    <cellStyle name="常规 19 2 2 2 3 2 7 2" xfId="6938"/>
    <cellStyle name="常规 19 2 2 2 3 2 7 3" xfId="6947"/>
    <cellStyle name="常规 19 2 2 2 3 2 7 4" xfId="10404"/>
    <cellStyle name="常规 19 2 2 2 3 2 7 5" xfId="10413"/>
    <cellStyle name="常规 19 2 2 2 3 2 7 6" xfId="14067"/>
    <cellStyle name="常规 19 2 2 2 3 2 7 7" xfId="9441"/>
    <cellStyle name="常规 19 2 2 2 3 2 7 8" xfId="9468"/>
    <cellStyle name="常规 19 2 2 2 3 2 8" xfId="6662"/>
    <cellStyle name="常规 19 2 2 2 3 2 8 2" xfId="13907"/>
    <cellStyle name="常规 19 2 2 2 3 2 8 3" xfId="13914"/>
    <cellStyle name="常规 19 2 2 2 3 2 8 4" xfId="13381"/>
    <cellStyle name="常规 19 2 2 2 3 2 8 5" xfId="13395"/>
    <cellStyle name="常规 19 2 2 2 3 2 8 6" xfId="934"/>
    <cellStyle name="常规 19 2 2 2 3 2 8 7" xfId="1021"/>
    <cellStyle name="常规 19 2 2 2 3 2 8 8" xfId="1054"/>
    <cellStyle name="常规 19 2 2 2 3 2 9" xfId="14072"/>
    <cellStyle name="常规 19 2 2 2 3 2 9 2" xfId="13937"/>
    <cellStyle name="常规 19 2 2 2 3 2 9 3" xfId="5969"/>
    <cellStyle name="常规 19 2 2 2 3 2 9 4" xfId="5981"/>
    <cellStyle name="常规 19 2 2 2 3 2 9 5" xfId="6500"/>
    <cellStyle name="常规 19 2 2 2 3 2 9 6" xfId="1105"/>
    <cellStyle name="常规 19 2 2 2 3 2 9 7" xfId="1125"/>
    <cellStyle name="常规 19 2 2 2 3 2 9 8" xfId="1159"/>
    <cellStyle name="常规 19 2 2 2 3 3" xfId="7486"/>
    <cellStyle name="常规 19 2 2 2 3 3 2" xfId="14077"/>
    <cellStyle name="常规 19 2 2 2 3 3 3" xfId="14079"/>
    <cellStyle name="常规 19 2 2 2 3 3 4" xfId="4293"/>
    <cellStyle name="常规 19 2 2 2 3 3 5" xfId="2949"/>
    <cellStyle name="常规 19 2 2 2 3 3 6" xfId="14083"/>
    <cellStyle name="常规 19 2 2 2 3 3 7" xfId="6956"/>
    <cellStyle name="常规 19 2 2 2 3 3 8" xfId="6962"/>
    <cellStyle name="常规 19 2 2 2 3 4" xfId="8162"/>
    <cellStyle name="常规 19 2 2 2 3 4 2" xfId="14088"/>
    <cellStyle name="常规 19 2 2 2 3 4 3" xfId="14089"/>
    <cellStyle name="常规 19 2 2 2 3 4 4" xfId="14094"/>
    <cellStyle name="常规 19 2 2 2 3 4 5" xfId="14100"/>
    <cellStyle name="常规 19 2 2 2 3 4 6" xfId="14105"/>
    <cellStyle name="常规 19 2 2 2 3 4 7" xfId="7336"/>
    <cellStyle name="常规 19 2 2 2 3 4 8" xfId="7342"/>
    <cellStyle name="常规 19 2 2 2 3 5" xfId="8166"/>
    <cellStyle name="常规 19 2 2 2 3 5 2" xfId="14111"/>
    <cellStyle name="常规 19 2 2 2 3 5 3" xfId="14113"/>
    <cellStyle name="常规 19 2 2 2 3 5 4" xfId="14117"/>
    <cellStyle name="常规 19 2 2 2 3 5 5" xfId="14123"/>
    <cellStyle name="常规 19 2 2 2 3 5 6" xfId="14129"/>
    <cellStyle name="常规 19 2 2 2 3 5 7" xfId="14136"/>
    <cellStyle name="常规 19 2 2 2 3 5 8" xfId="10424"/>
    <cellStyle name="常规 19 2 2 2 3 6" xfId="10608"/>
    <cellStyle name="常规 19 2 2 2 3 6 2" xfId="14141"/>
    <cellStyle name="常规 19 2 2 2 3 6 3" xfId="14142"/>
    <cellStyle name="常规 19 2 2 2 3 6 4" xfId="14145"/>
    <cellStyle name="常规 19 2 2 2 3 6 5" xfId="14151"/>
    <cellStyle name="常规 19 2 2 2 3 6 6" xfId="14157"/>
    <cellStyle name="常规 19 2 2 2 3 6 7" xfId="14162"/>
    <cellStyle name="常规 19 2 2 2 3 6 8" xfId="14167"/>
    <cellStyle name="常规 19 2 2 2 3 7" xfId="10613"/>
    <cellStyle name="常规 19 2 2 2 3 7 2" xfId="14172"/>
    <cellStyle name="常规 19 2 2 2 3 7 3" xfId="14173"/>
    <cellStyle name="常规 19 2 2 2 3 7 4" xfId="14176"/>
    <cellStyle name="常规 19 2 2 2 3 7 5" xfId="14182"/>
    <cellStyle name="常规 19 2 2 2 3 7 6" xfId="14188"/>
    <cellStyle name="常规 19 2 2 2 3 7 7" xfId="14192"/>
    <cellStyle name="常规 19 2 2 2 3 7 8" xfId="14196"/>
    <cellStyle name="常规 19 2 2 2 3 8" xfId="12200"/>
    <cellStyle name="常规 19 2 2 2 3 8 2" xfId="12204"/>
    <cellStyle name="常规 19 2 2 2 3 8 3" xfId="12206"/>
    <cellStyle name="常规 19 2 2 2 3 8 4" xfId="14201"/>
    <cellStyle name="常规 19 2 2 2 3 8 5" xfId="14208"/>
    <cellStyle name="常规 19 2 2 2 3 8 6" xfId="14214"/>
    <cellStyle name="常规 19 2 2 2 3 8 7" xfId="3538"/>
    <cellStyle name="常规 19 2 2 2 3 8 8" xfId="3554"/>
    <cellStyle name="常规 19 2 2 2 3 9" xfId="12212"/>
    <cellStyle name="常规 19 2 2 2 3 9 2" xfId="14218"/>
    <cellStyle name="常规 19 2 2 2 3 9 3" xfId="14221"/>
    <cellStyle name="常规 19 2 2 2 3 9 4" xfId="14227"/>
    <cellStyle name="常规 19 2 2 2 3 9 5" xfId="14234"/>
    <cellStyle name="常规 19 2 2 2 3 9 6" xfId="14241"/>
    <cellStyle name="常规 19 2 2 2 3 9 7" xfId="4633"/>
    <cellStyle name="常规 19 2 2 2 3 9 8" xfId="4606"/>
    <cellStyle name="常规 19 2 2 2 4" xfId="7493"/>
    <cellStyle name="常规 19 2 2 2 4 10" xfId="14246"/>
    <cellStyle name="常规 19 2 2 2 4 10 2" xfId="14247"/>
    <cellStyle name="常规 19 2 2 2 4 10 3" xfId="14248"/>
    <cellStyle name="常规 19 2 2 2 4 10 4" xfId="14249"/>
    <cellStyle name="常规 19 2 2 2 4 10 5" xfId="14250"/>
    <cellStyle name="常规 19 2 2 2 4 10 6" xfId="14251"/>
    <cellStyle name="常规 19 2 2 2 4 10 7" xfId="14252"/>
    <cellStyle name="常规 19 2 2 2 4 10 8" xfId="14255"/>
    <cellStyle name="常规 19 2 2 2 4 11" xfId="14258"/>
    <cellStyle name="常规 19 2 2 2 4 11 2" xfId="14259"/>
    <cellStyle name="常规 19 2 2 2 4 11 3" xfId="14260"/>
    <cellStyle name="常规 19 2 2 2 4 11 4" xfId="326"/>
    <cellStyle name="常规 19 2 2 2 4 11 5" xfId="556"/>
    <cellStyle name="常规 19 2 2 2 4 11 6" xfId="14261"/>
    <cellStyle name="常规 19 2 2 2 4 11 7" xfId="14263"/>
    <cellStyle name="常规 19 2 2 2 4 11 8" xfId="14265"/>
    <cellStyle name="常规 19 2 2 2 4 12" xfId="13089"/>
    <cellStyle name="常规 19 2 2 2 4 12 2" xfId="14268"/>
    <cellStyle name="常规 19 2 2 2 4 12 3" xfId="14269"/>
    <cellStyle name="常规 19 2 2 2 4 12 4" xfId="352"/>
    <cellStyle name="常规 19 2 2 2 4 12 5" xfId="572"/>
    <cellStyle name="常规 19 2 2 2 4 12 6" xfId="14270"/>
    <cellStyle name="常规 19 2 2 2 4 12 7" xfId="14271"/>
    <cellStyle name="常规 19 2 2 2 4 13" xfId="9530"/>
    <cellStyle name="常规 19 2 2 2 4 14" xfId="13092"/>
    <cellStyle name="常规 19 2 2 2 4 15" xfId="13097"/>
    <cellStyle name="常规 19 2 2 2 4 16" xfId="13101"/>
    <cellStyle name="常规 19 2 2 2 4 17" xfId="13104"/>
    <cellStyle name="常规 19 2 2 2 4 18" xfId="10863"/>
    <cellStyle name="常规 19 2 2 2 4 19" xfId="10868"/>
    <cellStyle name="常规 19 2 2 2 4 2" xfId="14272"/>
    <cellStyle name="常规 19 2 2 2 4 2 10" xfId="3803"/>
    <cellStyle name="常规 19 2 2 2 4 2 10 2" xfId="3850"/>
    <cellStyle name="常规 19 2 2 2 4 2 10 3" xfId="3098"/>
    <cellStyle name="常规 19 2 2 2 4 2 10 4" xfId="9052"/>
    <cellStyle name="常规 19 2 2 2 4 2 10 5" xfId="9066"/>
    <cellStyle name="常规 19 2 2 2 4 2 10 6" xfId="9095"/>
    <cellStyle name="常规 19 2 2 2 4 2 10 7" xfId="9099"/>
    <cellStyle name="常规 19 2 2 2 4 2 11" xfId="4570"/>
    <cellStyle name="常规 19 2 2 2 4 2 12" xfId="14274"/>
    <cellStyle name="常规 19 2 2 2 4 2 13" xfId="358"/>
    <cellStyle name="常规 19 2 2 2 4 2 14" xfId="284"/>
    <cellStyle name="常规 19 2 2 2 4 2 15" xfId="2411"/>
    <cellStyle name="常规 19 2 2 2 4 2 16" xfId="14277"/>
    <cellStyle name="常规 19 2 2 2 4 2 17" xfId="6021"/>
    <cellStyle name="常规 19 2 2 2 4 2 2" xfId="14278"/>
    <cellStyle name="常规 19 2 2 2 4 2 2 2" xfId="14282"/>
    <cellStyle name="常规 19 2 2 2 4 2 2 3" xfId="12228"/>
    <cellStyle name="常规 19 2 2 2 4 2 2 4" xfId="12237"/>
    <cellStyle name="常规 19 2 2 2 4 2 2 5" xfId="12242"/>
    <cellStyle name="常规 19 2 2 2 4 2 2 6" xfId="12249"/>
    <cellStyle name="常规 19 2 2 2 4 2 2 7" xfId="12258"/>
    <cellStyle name="常规 19 2 2 2 4 2 2 8" xfId="12080"/>
    <cellStyle name="常规 19 2 2 2 4 2 3" xfId="14284"/>
    <cellStyle name="常规 19 2 2 2 4 2 3 2" xfId="14290"/>
    <cellStyle name="常规 19 2 2 2 4 2 3 3" xfId="14296"/>
    <cellStyle name="常规 19 2 2 2 4 2 3 4" xfId="14303"/>
    <cellStyle name="常规 19 2 2 2 4 2 3 5" xfId="14310"/>
    <cellStyle name="常规 19 2 2 2 4 2 3 6" xfId="14315"/>
    <cellStyle name="常规 19 2 2 2 4 2 3 7" xfId="14321"/>
    <cellStyle name="常规 19 2 2 2 4 2 3 8" xfId="14324"/>
    <cellStyle name="常规 19 2 2 2 4 2 4" xfId="2696"/>
    <cellStyle name="常规 19 2 2 2 4 2 4 2" xfId="1886"/>
    <cellStyle name="常规 19 2 2 2 4 2 4 3" xfId="1927"/>
    <cellStyle name="常规 19 2 2 2 4 2 4 4" xfId="14326"/>
    <cellStyle name="常规 19 2 2 2 4 2 4 5" xfId="14332"/>
    <cellStyle name="常规 19 2 2 2 4 2 4 6" xfId="14341"/>
    <cellStyle name="常规 19 2 2 2 4 2 4 7" xfId="14344"/>
    <cellStyle name="常规 19 2 2 2 4 2 4 8" xfId="14345"/>
    <cellStyle name="常规 19 2 2 2 4 2 5" xfId="2716"/>
    <cellStyle name="常规 19 2 2 2 4 2 5 2" xfId="14348"/>
    <cellStyle name="常规 19 2 2 2 4 2 5 3" xfId="14354"/>
    <cellStyle name="常规 19 2 2 2 4 2 5 4" xfId="10519"/>
    <cellStyle name="常规 19 2 2 2 4 2 5 5" xfId="10536"/>
    <cellStyle name="常规 19 2 2 2 4 2 5 6" xfId="14362"/>
    <cellStyle name="常规 19 2 2 2 4 2 5 7" xfId="11702"/>
    <cellStyle name="常规 19 2 2 2 4 2 5 8" xfId="11708"/>
    <cellStyle name="常规 19 2 2 2 4 2 6" xfId="14363"/>
    <cellStyle name="常规 19 2 2 2 4 2 6 2" xfId="14370"/>
    <cellStyle name="常规 19 2 2 2 4 2 6 3" xfId="14376"/>
    <cellStyle name="常规 19 2 2 2 4 2 6 4" xfId="10551"/>
    <cellStyle name="常规 19 2 2 2 4 2 6 5" xfId="10559"/>
    <cellStyle name="常规 19 2 2 2 4 2 6 6" xfId="14382"/>
    <cellStyle name="常规 19 2 2 2 4 2 6 7" xfId="11712"/>
    <cellStyle name="常规 19 2 2 2 4 2 6 8" xfId="11714"/>
    <cellStyle name="常规 19 2 2 2 4 2 7" xfId="6968"/>
    <cellStyle name="常规 19 2 2 2 4 2 7 2" xfId="14384"/>
    <cellStyle name="常规 19 2 2 2 4 2 7 3" xfId="14390"/>
    <cellStyle name="常规 19 2 2 2 4 2 7 4" xfId="14397"/>
    <cellStyle name="常规 19 2 2 2 4 2 7 5" xfId="14404"/>
    <cellStyle name="常规 19 2 2 2 4 2 7 6" xfId="14410"/>
    <cellStyle name="常规 19 2 2 2 4 2 7 7" xfId="14411"/>
    <cellStyle name="常规 19 2 2 2 4 2 7 8" xfId="14412"/>
    <cellStyle name="常规 19 2 2 2 4 2 8" xfId="1316"/>
    <cellStyle name="常规 19 2 2 2 4 2 8 2" xfId="14414"/>
    <cellStyle name="常规 19 2 2 2 4 2 8 3" xfId="14420"/>
    <cellStyle name="常规 19 2 2 2 4 2 8 4" xfId="14426"/>
    <cellStyle name="常规 19 2 2 2 4 2 8 5" xfId="14431"/>
    <cellStyle name="常规 19 2 2 2 4 2 8 6" xfId="14438"/>
    <cellStyle name="常规 19 2 2 2 4 2 8 7" xfId="14439"/>
    <cellStyle name="常规 19 2 2 2 4 2 8 8" xfId="14444"/>
    <cellStyle name="常规 19 2 2 2 4 2 9" xfId="14446"/>
    <cellStyle name="常规 19 2 2 2 4 2 9 2" xfId="1356"/>
    <cellStyle name="常规 19 2 2 2 4 2 9 3" xfId="1366"/>
    <cellStyle name="常规 19 2 2 2 4 2 9 4" xfId="6042"/>
    <cellStyle name="常规 19 2 2 2 4 2 9 5" xfId="257"/>
    <cellStyle name="常规 19 2 2 2 4 2 9 6" xfId="7934"/>
    <cellStyle name="常规 19 2 2 2 4 2 9 7" xfId="10141"/>
    <cellStyle name="常规 19 2 2 2 4 2 9 8" xfId="10154"/>
    <cellStyle name="常规 19 2 2 2 4 3" xfId="14449"/>
    <cellStyle name="常规 19 2 2 2 4 3 2" xfId="14452"/>
    <cellStyle name="常规 19 2 2 2 4 3 3" xfId="14455"/>
    <cellStyle name="常规 19 2 2 2 4 3 4" xfId="4155"/>
    <cellStyle name="常规 19 2 2 2 4 3 5" xfId="4503"/>
    <cellStyle name="常规 19 2 2 2 4 3 6" xfId="14461"/>
    <cellStyle name="常规 19 2 2 2 4 3 7" xfId="14464"/>
    <cellStyle name="常规 19 2 2 2 4 3 8" xfId="14467"/>
    <cellStyle name="常规 19 2 2 2 4 4" xfId="14470"/>
    <cellStyle name="常规 19 2 2 2 4 4 2" xfId="14471"/>
    <cellStyle name="常规 19 2 2 2 4 4 3" xfId="14473"/>
    <cellStyle name="常规 19 2 2 2 4 4 4" xfId="14477"/>
    <cellStyle name="常规 19 2 2 2 4 4 5" xfId="14481"/>
    <cellStyle name="常规 19 2 2 2 4 4 6" xfId="14484"/>
    <cellStyle name="常规 19 2 2 2 4 4 7" xfId="14487"/>
    <cellStyle name="常规 19 2 2 2 4 4 8" xfId="8836"/>
    <cellStyle name="常规 19 2 2 2 4 5" xfId="14490"/>
    <cellStyle name="常规 19 2 2 2 4 5 2" xfId="14491"/>
    <cellStyle name="常规 19 2 2 2 4 5 3" xfId="14494"/>
    <cellStyle name="常规 19 2 2 2 4 5 4" xfId="14499"/>
    <cellStyle name="常规 19 2 2 2 4 5 5" xfId="14503"/>
    <cellStyle name="常规 19 2 2 2 4 5 6" xfId="14506"/>
    <cellStyle name="常规 19 2 2 2 4 5 7" xfId="12262"/>
    <cellStyle name="常规 19 2 2 2 4 5 8" xfId="8895"/>
    <cellStyle name="常规 19 2 2 2 4 6" xfId="14509"/>
    <cellStyle name="常规 19 2 2 2 4 6 2" xfId="14510"/>
    <cellStyle name="常规 19 2 2 2 4 6 3" xfId="14513"/>
    <cellStyle name="常规 19 2 2 2 4 6 4" xfId="14518"/>
    <cellStyle name="常规 19 2 2 2 4 6 5" xfId="14522"/>
    <cellStyle name="常规 19 2 2 2 4 6 6" xfId="14525"/>
    <cellStyle name="常规 19 2 2 2 4 6 7" xfId="12273"/>
    <cellStyle name="常规 19 2 2 2 4 6 8" xfId="12283"/>
    <cellStyle name="常规 19 2 2 2 4 7" xfId="3671"/>
    <cellStyle name="常规 19 2 2 2 4 7 2" xfId="14529"/>
    <cellStyle name="常规 19 2 2 2 4 7 3" xfId="14530"/>
    <cellStyle name="常规 19 2 2 2 4 7 4" xfId="680"/>
    <cellStyle name="常规 19 2 2 2 4 7 5" xfId="2503"/>
    <cellStyle name="常规 19 2 2 2 4 7 6" xfId="2522"/>
    <cellStyle name="常规 19 2 2 2 4 7 7" xfId="3587"/>
    <cellStyle name="常规 19 2 2 2 4 7 8" xfId="10728"/>
    <cellStyle name="常规 19 2 2 2 4 8" xfId="3759"/>
    <cellStyle name="常规 19 2 2 2 4 8 2" xfId="14536"/>
    <cellStyle name="常规 19 2 2 2 4 8 3" xfId="14539"/>
    <cellStyle name="常规 19 2 2 2 4 8 4" xfId="9420"/>
    <cellStyle name="常规 19 2 2 2 4 8 5" xfId="9804"/>
    <cellStyle name="常规 19 2 2 2 4 8 6" xfId="14543"/>
    <cellStyle name="常规 19 2 2 2 4 8 7" xfId="4648"/>
    <cellStyle name="常规 19 2 2 2 4 8 8" xfId="4660"/>
    <cellStyle name="常规 19 2 2 2 4 9" xfId="3852"/>
    <cellStyle name="常规 19 2 2 2 4 9 2" xfId="14547"/>
    <cellStyle name="常规 19 2 2 2 4 9 3" xfId="10333"/>
    <cellStyle name="常规 19 2 2 2 4 9 4" xfId="10338"/>
    <cellStyle name="常规 19 2 2 2 4 9 5" xfId="14548"/>
    <cellStyle name="常规 19 2 2 2 4 9 6" xfId="14551"/>
    <cellStyle name="常规 19 2 2 2 4 9 7" xfId="14554"/>
    <cellStyle name="常规 19 2 2 2 4 9 8" xfId="14557"/>
    <cellStyle name="常规 19 2 2 2 5" xfId="14560"/>
    <cellStyle name="常规 19 2 2 2 5 10" xfId="14564"/>
    <cellStyle name="常规 19 2 2 2 5 10 2" xfId="14567"/>
    <cellStyle name="常规 19 2 2 2 5 10 3" xfId="14571"/>
    <cellStyle name="常规 19 2 2 2 5 10 4" xfId="14572"/>
    <cellStyle name="常规 19 2 2 2 5 10 5" xfId="14573"/>
    <cellStyle name="常规 19 2 2 2 5 10 6" xfId="14575"/>
    <cellStyle name="常规 19 2 2 2 5 10 7" xfId="14579"/>
    <cellStyle name="常规 19 2 2 2 5 11" xfId="14583"/>
    <cellStyle name="常规 19 2 2 2 5 12" xfId="10505"/>
    <cellStyle name="常规 19 2 2 2 5 13" xfId="10511"/>
    <cellStyle name="常规 19 2 2 2 5 14" xfId="14584"/>
    <cellStyle name="常规 19 2 2 2 5 15" xfId="11691"/>
    <cellStyle name="常规 19 2 2 2 5 16" xfId="11693"/>
    <cellStyle name="常规 19 2 2 2 5 17" xfId="7870"/>
    <cellStyle name="常规 19 2 2 2 5 2" xfId="458"/>
    <cellStyle name="常规 19 2 2 2 5 2 2" xfId="7073"/>
    <cellStyle name="常规 19 2 2 2 5 2 3" xfId="14587"/>
    <cellStyle name="常规 19 2 2 2 5 2 4" xfId="14592"/>
    <cellStyle name="常规 19 2 2 2 5 2 5" xfId="14597"/>
    <cellStyle name="常规 19 2 2 2 5 2 6" xfId="14603"/>
    <cellStyle name="常规 19 2 2 2 5 2 7" xfId="4938"/>
    <cellStyle name="常规 19 2 2 2 5 2 8" xfId="1424"/>
    <cellStyle name="常规 19 2 2 2 5 3" xfId="472"/>
    <cellStyle name="常规 19 2 2 2 5 3 2" xfId="7411"/>
    <cellStyle name="常规 19 2 2 2 5 3 3" xfId="11563"/>
    <cellStyle name="常规 19 2 2 2 5 3 4" xfId="14607"/>
    <cellStyle name="常规 19 2 2 2 5 3 5" xfId="5389"/>
    <cellStyle name="常规 19 2 2 2 5 3 6" xfId="5396"/>
    <cellStyle name="常规 19 2 2 2 5 3 7" xfId="5171"/>
    <cellStyle name="常规 19 2 2 2 5 3 8" xfId="1454"/>
    <cellStyle name="常规 19 2 2 2 5 4" xfId="498"/>
    <cellStyle name="常规 19 2 2 2 5 4 2" xfId="7880"/>
    <cellStyle name="常规 19 2 2 2 5 4 3" xfId="14608"/>
    <cellStyle name="常规 19 2 2 2 5 4 4" xfId="14609"/>
    <cellStyle name="常规 19 2 2 2 5 4 5" xfId="14610"/>
    <cellStyle name="常规 19 2 2 2 5 4 6" xfId="14611"/>
    <cellStyle name="常规 19 2 2 2 5 4 7" xfId="5196"/>
    <cellStyle name="常规 19 2 2 2 5 4 8" xfId="5198"/>
    <cellStyle name="常规 19 2 2 2 5 5" xfId="14613"/>
    <cellStyle name="常规 19 2 2 2 5 5 2" xfId="7544"/>
    <cellStyle name="常规 19 2 2 2 5 5 3" xfId="7558"/>
    <cellStyle name="常规 19 2 2 2 5 5 4" xfId="8192"/>
    <cellStyle name="常规 19 2 2 2 5 5 5" xfId="8208"/>
    <cellStyle name="常规 19 2 2 2 5 5 6" xfId="12752"/>
    <cellStyle name="常规 19 2 2 2 5 5 7" xfId="5225"/>
    <cellStyle name="常规 19 2 2 2 5 5 8" xfId="5244"/>
    <cellStyle name="常规 19 2 2 2 5 6" xfId="14615"/>
    <cellStyle name="常规 19 2 2 2 5 6 2" xfId="7597"/>
    <cellStyle name="常规 19 2 2 2 5 6 3" xfId="734"/>
    <cellStyle name="常规 19 2 2 2 5 6 4" xfId="776"/>
    <cellStyle name="常规 19 2 2 2 5 6 5" xfId="14616"/>
    <cellStyle name="常规 19 2 2 2 5 6 6" xfId="14618"/>
    <cellStyle name="常规 19 2 2 2 5 6 7" xfId="3632"/>
    <cellStyle name="常规 19 2 2 2 5 6 8" xfId="3641"/>
    <cellStyle name="常规 19 2 2 2 5 7" xfId="14619"/>
    <cellStyle name="常规 19 2 2 2 5 7 2" xfId="7620"/>
    <cellStyle name="常规 19 2 2 2 5 7 3" xfId="813"/>
    <cellStyle name="常规 19 2 2 2 5 7 4" xfId="833"/>
    <cellStyle name="常规 19 2 2 2 5 7 5" xfId="2591"/>
    <cellStyle name="常规 19 2 2 2 5 7 6" xfId="14620"/>
    <cellStyle name="常规 19 2 2 2 5 7 7" xfId="3656"/>
    <cellStyle name="常规 19 2 2 2 5 7 8" xfId="14621"/>
    <cellStyle name="常规 19 2 2 2 5 8" xfId="14622"/>
    <cellStyle name="常规 19 2 2 2 5 8 2" xfId="10106"/>
    <cellStyle name="常规 19 2 2 2 5 8 3" xfId="14625"/>
    <cellStyle name="常规 19 2 2 2 5 8 4" xfId="14629"/>
    <cellStyle name="常规 19 2 2 2 5 8 5" xfId="14634"/>
    <cellStyle name="常规 19 2 2 2 5 8 6" xfId="14638"/>
    <cellStyle name="常规 19 2 2 2 5 8 7" xfId="14641"/>
    <cellStyle name="常规 19 2 2 2 5 8 8" xfId="14643"/>
    <cellStyle name="常规 19 2 2 2 5 9" xfId="14644"/>
    <cellStyle name="常规 19 2 2 2 5 9 2" xfId="14646"/>
    <cellStyle name="常规 19 2 2 2 5 9 3" xfId="14648"/>
    <cellStyle name="常规 19 2 2 2 5 9 4" xfId="14651"/>
    <cellStyle name="常规 19 2 2 2 5 9 5" xfId="14654"/>
    <cellStyle name="常规 19 2 2 2 5 9 6" xfId="14657"/>
    <cellStyle name="常规 19 2 2 2 5 9 7" xfId="14658"/>
    <cellStyle name="常规 19 2 2 2 5 9 8" xfId="14659"/>
    <cellStyle name="常规 19 2 2 2 6" xfId="14660"/>
    <cellStyle name="常规 19 2 2 2 6 2" xfId="14661"/>
    <cellStyle name="常规 19 2 2 2 6 3" xfId="14662"/>
    <cellStyle name="常规 19 2 2 2 6 4" xfId="14663"/>
    <cellStyle name="常规 19 2 2 2 6 5" xfId="14664"/>
    <cellStyle name="常规 19 2 2 2 6 6" xfId="11620"/>
    <cellStyle name="常规 19 2 2 2 6 7" xfId="4167"/>
    <cellStyle name="常规 19 2 2 2 6 8" xfId="4211"/>
    <cellStyle name="常规 19 2 2 2 7" xfId="14665"/>
    <cellStyle name="常规 19 2 2 2 7 2" xfId="14666"/>
    <cellStyle name="常规 19 2 2 2 7 3" xfId="2322"/>
    <cellStyle name="常规 19 2 2 2 7 4" xfId="2327"/>
    <cellStyle name="常规 19 2 2 2 7 5" xfId="14668"/>
    <cellStyle name="常规 19 2 2 2 7 6" xfId="11625"/>
    <cellStyle name="常规 19 2 2 2 7 7" xfId="61"/>
    <cellStyle name="常规 19 2 2 2 7 8" xfId="1113"/>
    <cellStyle name="常规 19 2 2 2 8" xfId="9954"/>
    <cellStyle name="常规 19 2 2 2 8 2" xfId="9956"/>
    <cellStyle name="常规 19 2 2 2 8 3" xfId="8714"/>
    <cellStyle name="常规 19 2 2 2 8 4" xfId="8722"/>
    <cellStyle name="常规 19 2 2 2 8 5" xfId="9174"/>
    <cellStyle name="常规 19 2 2 2 8 6" xfId="9176"/>
    <cellStyle name="常规 19 2 2 2 8 7" xfId="1131"/>
    <cellStyle name="常规 19 2 2 2 8 8" xfId="1146"/>
    <cellStyle name="常规 19 2 2 2 9" xfId="9958"/>
    <cellStyle name="常规 19 2 2 2 9 2" xfId="14670"/>
    <cellStyle name="常规 19 2 2 2 9 3" xfId="8724"/>
    <cellStyle name="常规 19 2 2 2 9 4" xfId="8729"/>
    <cellStyle name="常规 19 2 2 2 9 5" xfId="9183"/>
    <cellStyle name="常规 19 2 2 2 9 6" xfId="9187"/>
    <cellStyle name="常规 19 2 2 2 9 7" xfId="9495"/>
    <cellStyle name="常规 19 2 2 2 9 8" xfId="3004"/>
    <cellStyle name="常规 19 2 2 20" xfId="13283"/>
    <cellStyle name="常规 19 2 2 21" xfId="10956"/>
    <cellStyle name="常规 19 2 2 22" xfId="10960"/>
    <cellStyle name="常规 19 2 2 23" xfId="13285"/>
    <cellStyle name="常规 19 2 2 3" xfId="11420"/>
    <cellStyle name="常规 19 2 2 3 10" xfId="14675"/>
    <cellStyle name="常规 19 2 2 3 10 2" xfId="14676"/>
    <cellStyle name="常规 19 2 2 3 10 3" xfId="14677"/>
    <cellStyle name="常规 19 2 2 3 10 4" xfId="14678"/>
    <cellStyle name="常规 19 2 2 3 10 5" xfId="14679"/>
    <cellStyle name="常规 19 2 2 3 10 6" xfId="14680"/>
    <cellStyle name="常规 19 2 2 3 10 7" xfId="14681"/>
    <cellStyle name="常规 19 2 2 3 10 8" xfId="14682"/>
    <cellStyle name="常规 19 2 2 3 11" xfId="12698"/>
    <cellStyle name="常规 19 2 2 3 11 2" xfId="12700"/>
    <cellStyle name="常规 19 2 2 3 11 3" xfId="12702"/>
    <cellStyle name="常规 19 2 2 3 11 4" xfId="14684"/>
    <cellStyle name="常规 19 2 2 3 11 5" xfId="14686"/>
    <cellStyle name="常规 19 2 2 3 11 6" xfId="14688"/>
    <cellStyle name="常规 19 2 2 3 11 7" xfId="10796"/>
    <cellStyle name="常规 19 2 2 3 11 8" xfId="10799"/>
    <cellStyle name="常规 19 2 2 3 12" xfId="12707"/>
    <cellStyle name="常规 19 2 2 3 12 2" xfId="12709"/>
    <cellStyle name="常规 19 2 2 3 12 3" xfId="12713"/>
    <cellStyle name="常规 19 2 2 3 12 4" xfId="12716"/>
    <cellStyle name="常规 19 2 2 3 12 5" xfId="14691"/>
    <cellStyle name="常规 19 2 2 3 12 6" xfId="14694"/>
    <cellStyle name="常规 19 2 2 3 12 7" xfId="14696"/>
    <cellStyle name="常规 19 2 2 3 12 8" xfId="14698"/>
    <cellStyle name="常规 19 2 2 3 13" xfId="12720"/>
    <cellStyle name="常规 19 2 2 3 13 2" xfId="14699"/>
    <cellStyle name="常规 19 2 2 3 13 3" xfId="14700"/>
    <cellStyle name="常规 19 2 2 3 13 4" xfId="14702"/>
    <cellStyle name="常规 19 2 2 3 13 5" xfId="14704"/>
    <cellStyle name="常规 19 2 2 3 13 6" xfId="14707"/>
    <cellStyle name="常规 19 2 2 3 13 7" xfId="14710"/>
    <cellStyle name="常规 19 2 2 3 14" xfId="10631"/>
    <cellStyle name="常规 19 2 2 3 15" xfId="10637"/>
    <cellStyle name="常规 19 2 2 3 16" xfId="14711"/>
    <cellStyle name="常规 19 2 2 3 17" xfId="1870"/>
    <cellStyle name="常规 19 2 2 3 18" xfId="1873"/>
    <cellStyle name="常规 19 2 2 3 19" xfId="14713"/>
    <cellStyle name="常规 19 2 2 3 2" xfId="11553"/>
    <cellStyle name="常规 19 2 2 3 2 10" xfId="14715"/>
    <cellStyle name="常规 19 2 2 3 2 10 2" xfId="7992"/>
    <cellStyle name="常规 19 2 2 3 2 10 3" xfId="12661"/>
    <cellStyle name="常规 19 2 2 3 2 10 4" xfId="12664"/>
    <cellStyle name="常规 19 2 2 3 2 10 5" xfId="12451"/>
    <cellStyle name="常规 19 2 2 3 2 10 6" xfId="12458"/>
    <cellStyle name="常规 19 2 2 3 2 10 7" xfId="12462"/>
    <cellStyle name="常规 19 2 2 3 2 10 8" xfId="14716"/>
    <cellStyle name="常规 19 2 2 3 2 11" xfId="14719"/>
    <cellStyle name="常规 19 2 2 3 2 11 2" xfId="6302"/>
    <cellStyle name="常规 19 2 2 3 2 11 3" xfId="6311"/>
    <cellStyle name="常规 19 2 2 3 2 11 4" xfId="14721"/>
    <cellStyle name="常规 19 2 2 3 2 11 5" xfId="14725"/>
    <cellStyle name="常规 19 2 2 3 2 11 6" xfId="14728"/>
    <cellStyle name="常规 19 2 2 3 2 11 7" xfId="14731"/>
    <cellStyle name="常规 19 2 2 3 2 11 8" xfId="14735"/>
    <cellStyle name="常规 19 2 2 3 2 12" xfId="14740"/>
    <cellStyle name="常规 19 2 2 3 2 12 2" xfId="6406"/>
    <cellStyle name="常规 19 2 2 3 2 12 3" xfId="6410"/>
    <cellStyle name="常规 19 2 2 3 2 12 4" xfId="10385"/>
    <cellStyle name="常规 19 2 2 3 2 12 5" xfId="8656"/>
    <cellStyle name="常规 19 2 2 3 2 12 6" xfId="8747"/>
    <cellStyle name="常规 19 2 2 3 2 12 7" xfId="8879"/>
    <cellStyle name="常规 19 2 2 3 2 13" xfId="14742"/>
    <cellStyle name="常规 19 2 2 3 2 14" xfId="6107"/>
    <cellStyle name="常规 19 2 2 3 2 15" xfId="236"/>
    <cellStyle name="常规 19 2 2 3 2 16" xfId="3150"/>
    <cellStyle name="常规 19 2 2 3 2 17" xfId="3974"/>
    <cellStyle name="常规 19 2 2 3 2 18" xfId="14743"/>
    <cellStyle name="常规 19 2 2 3 2 19" xfId="14744"/>
    <cellStyle name="常规 19 2 2 3 2 2" xfId="2730"/>
    <cellStyle name="常规 19 2 2 3 2 2 10" xfId="14746"/>
    <cellStyle name="常规 19 2 2 3 2 2 10 2" xfId="14320"/>
    <cellStyle name="常规 19 2 2 3 2 2 10 3" xfId="14323"/>
    <cellStyle name="常规 19 2 2 3 2 2 10 4" xfId="13006"/>
    <cellStyle name="常规 19 2 2 3 2 2 10 5" xfId="13019"/>
    <cellStyle name="常规 19 2 2 3 2 2 10 6" xfId="12350"/>
    <cellStyle name="常规 19 2 2 3 2 2 10 7" xfId="12358"/>
    <cellStyle name="常规 19 2 2 3 2 2 11" xfId="11754"/>
    <cellStyle name="常规 19 2 2 3 2 2 12" xfId="11699"/>
    <cellStyle name="常规 19 2 2 3 2 2 13" xfId="11710"/>
    <cellStyle name="常规 19 2 2 3 2 2 14" xfId="11716"/>
    <cellStyle name="常规 19 2 2 3 2 2 15" xfId="11544"/>
    <cellStyle name="常规 19 2 2 3 2 2 16" xfId="8706"/>
    <cellStyle name="常规 19 2 2 3 2 2 17" xfId="8710"/>
    <cellStyle name="常规 19 2 2 3 2 2 2" xfId="14747"/>
    <cellStyle name="常规 19 2 2 3 2 2 2 2" xfId="6008"/>
    <cellStyle name="常规 19 2 2 3 2 2 2 3" xfId="6012"/>
    <cellStyle name="常规 19 2 2 3 2 2 2 4" xfId="6553"/>
    <cellStyle name="常规 19 2 2 3 2 2 2 5" xfId="53"/>
    <cellStyle name="常规 19 2 2 3 2 2 2 6" xfId="6783"/>
    <cellStyle name="常规 19 2 2 3 2 2 2 7" xfId="2975"/>
    <cellStyle name="常规 19 2 2 3 2 2 2 8" xfId="2995"/>
    <cellStyle name="常规 19 2 2 3 2 2 3" xfId="14749"/>
    <cellStyle name="常规 19 2 2 3 2 2 3 2" xfId="2763"/>
    <cellStyle name="常规 19 2 2 3 2 2 3 3" xfId="6556"/>
    <cellStyle name="常规 19 2 2 3 2 2 3 4" xfId="6562"/>
    <cellStyle name="常规 19 2 2 3 2 2 3 5" xfId="9589"/>
    <cellStyle name="常规 19 2 2 3 2 2 3 6" xfId="5066"/>
    <cellStyle name="常规 19 2 2 3 2 2 3 7" xfId="3021"/>
    <cellStyle name="常规 19 2 2 3 2 2 3 8" xfId="3034"/>
    <cellStyle name="常规 19 2 2 3 2 2 4" xfId="14753"/>
    <cellStyle name="常规 19 2 2 3 2 2 4 2" xfId="6023"/>
    <cellStyle name="常规 19 2 2 3 2 2 4 3" xfId="14758"/>
    <cellStyle name="常规 19 2 2 3 2 2 4 4" xfId="14763"/>
    <cellStyle name="常规 19 2 2 3 2 2 4 5" xfId="9606"/>
    <cellStyle name="常规 19 2 2 3 2 2 4 6" xfId="9612"/>
    <cellStyle name="常规 19 2 2 3 2 2 4 7" xfId="1795"/>
    <cellStyle name="常规 19 2 2 3 2 2 4 8" xfId="1804"/>
    <cellStyle name="常规 19 2 2 3 2 2 5" xfId="14767"/>
    <cellStyle name="常规 19 2 2 3 2 2 5 2" xfId="14772"/>
    <cellStyle name="常规 19 2 2 3 2 2 5 3" xfId="14776"/>
    <cellStyle name="常规 19 2 2 3 2 2 5 4" xfId="9071"/>
    <cellStyle name="常规 19 2 2 3 2 2 5 5" xfId="154"/>
    <cellStyle name="常规 19 2 2 3 2 2 5 6" xfId="14780"/>
    <cellStyle name="常规 19 2 2 3 2 2 5 7" xfId="14786"/>
    <cellStyle name="常规 19 2 2 3 2 2 5 8" xfId="14791"/>
    <cellStyle name="常规 19 2 2 3 2 2 6" xfId="14289"/>
    <cellStyle name="常规 19 2 2 3 2 2 6 2" xfId="14796"/>
    <cellStyle name="常规 19 2 2 3 2 2 6 3" xfId="14801"/>
    <cellStyle name="常规 19 2 2 3 2 2 6 4" xfId="14805"/>
    <cellStyle name="常规 19 2 2 3 2 2 6 5" xfId="14809"/>
    <cellStyle name="常规 19 2 2 3 2 2 6 6" xfId="14814"/>
    <cellStyle name="常规 19 2 2 3 2 2 6 7" xfId="14820"/>
    <cellStyle name="常规 19 2 2 3 2 2 6 8" xfId="14824"/>
    <cellStyle name="常规 19 2 2 3 2 2 7" xfId="14295"/>
    <cellStyle name="常规 19 2 2 3 2 2 7 2" xfId="218"/>
    <cellStyle name="常规 19 2 2 3 2 2 7 3" xfId="176"/>
    <cellStyle name="常规 19 2 2 3 2 2 7 4" xfId="107"/>
    <cellStyle name="常规 19 2 2 3 2 2 7 5" xfId="226"/>
    <cellStyle name="常规 19 2 2 3 2 2 7 6" xfId="481"/>
    <cellStyle name="常规 19 2 2 3 2 2 7 7" xfId="514"/>
    <cellStyle name="常规 19 2 2 3 2 2 7 8" xfId="14828"/>
    <cellStyle name="常规 19 2 2 3 2 2 8" xfId="14302"/>
    <cellStyle name="常规 19 2 2 3 2 2 8 2" xfId="14834"/>
    <cellStyle name="常规 19 2 2 3 2 2 8 3" xfId="14837"/>
    <cellStyle name="常规 19 2 2 3 2 2 8 4" xfId="14840"/>
    <cellStyle name="常规 19 2 2 3 2 2 8 5" xfId="14843"/>
    <cellStyle name="常规 19 2 2 3 2 2 8 6" xfId="14847"/>
    <cellStyle name="常规 19 2 2 3 2 2 8 7" xfId="11576"/>
    <cellStyle name="常规 19 2 2 3 2 2 8 8" xfId="11581"/>
    <cellStyle name="常规 19 2 2 3 2 2 9" xfId="14309"/>
    <cellStyle name="常规 19 2 2 3 2 2 9 2" xfId="14853"/>
    <cellStyle name="常规 19 2 2 3 2 2 9 3" xfId="14856"/>
    <cellStyle name="常规 19 2 2 3 2 2 9 4" xfId="9794"/>
    <cellStyle name="常规 19 2 2 3 2 2 9 5" xfId="9798"/>
    <cellStyle name="常规 19 2 2 3 2 2 9 6" xfId="14859"/>
    <cellStyle name="常规 19 2 2 3 2 2 9 7" xfId="14863"/>
    <cellStyle name="常规 19 2 2 3 2 2 9 8" xfId="14865"/>
    <cellStyle name="常规 19 2 2 3 2 3" xfId="2127"/>
    <cellStyle name="常规 19 2 2 3 2 3 2" xfId="1294"/>
    <cellStyle name="常规 19 2 2 3 2 3 3" xfId="1625"/>
    <cellStyle name="常规 19 2 2 3 2 3 4" xfId="1785"/>
    <cellStyle name="常规 19 2 2 3 2 3 5" xfId="1836"/>
    <cellStyle name="常规 19 2 2 3 2 3 6" xfId="1885"/>
    <cellStyle name="常规 19 2 2 3 2 3 7" xfId="1926"/>
    <cellStyle name="常规 19 2 2 3 2 3 8" xfId="14325"/>
    <cellStyle name="常规 19 2 2 3 2 4" xfId="2133"/>
    <cellStyle name="常规 19 2 2 3 2 4 2" xfId="14867"/>
    <cellStyle name="常规 19 2 2 3 2 4 3" xfId="14868"/>
    <cellStyle name="常规 19 2 2 3 2 4 4" xfId="14872"/>
    <cellStyle name="常规 19 2 2 3 2 4 5" xfId="14877"/>
    <cellStyle name="常规 19 2 2 3 2 4 6" xfId="14347"/>
    <cellStyle name="常规 19 2 2 3 2 4 7" xfId="14353"/>
    <cellStyle name="常规 19 2 2 3 2 4 8" xfId="10518"/>
    <cellStyle name="常规 19 2 2 3 2 5" xfId="9740"/>
    <cellStyle name="常规 19 2 2 3 2 5 2" xfId="14882"/>
    <cellStyle name="常规 19 2 2 3 2 5 3" xfId="14883"/>
    <cellStyle name="常规 19 2 2 3 2 5 4" xfId="14886"/>
    <cellStyle name="常规 19 2 2 3 2 5 5" xfId="14891"/>
    <cellStyle name="常规 19 2 2 3 2 5 6" xfId="14369"/>
    <cellStyle name="常规 19 2 2 3 2 5 7" xfId="14375"/>
    <cellStyle name="常规 19 2 2 3 2 5 8" xfId="10550"/>
    <cellStyle name="常规 19 2 2 3 2 6" xfId="14896"/>
    <cellStyle name="常规 19 2 2 3 2 6 2" xfId="10758"/>
    <cellStyle name="常规 19 2 2 3 2 6 3" xfId="14897"/>
    <cellStyle name="常规 19 2 2 3 2 6 4" xfId="6815"/>
    <cellStyle name="常规 19 2 2 3 2 6 5" xfId="6822"/>
    <cellStyle name="常规 19 2 2 3 2 6 6" xfId="14383"/>
    <cellStyle name="常规 19 2 2 3 2 6 7" xfId="14389"/>
    <cellStyle name="常规 19 2 2 3 2 6 8" xfId="14396"/>
    <cellStyle name="常规 19 2 2 3 2 7" xfId="14900"/>
    <cellStyle name="常规 19 2 2 3 2 7 2" xfId="14902"/>
    <cellStyle name="常规 19 2 2 3 2 7 3" xfId="14903"/>
    <cellStyle name="常规 19 2 2 3 2 7 4" xfId="14908"/>
    <cellStyle name="常规 19 2 2 3 2 7 5" xfId="14915"/>
    <cellStyle name="常规 19 2 2 3 2 7 6" xfId="14413"/>
    <cellStyle name="常规 19 2 2 3 2 7 7" xfId="14419"/>
    <cellStyle name="常规 19 2 2 3 2 7 8" xfId="14425"/>
    <cellStyle name="常规 19 2 2 3 2 8" xfId="14922"/>
    <cellStyle name="常规 19 2 2 3 2 8 2" xfId="14925"/>
    <cellStyle name="常规 19 2 2 3 2 8 3" xfId="14926"/>
    <cellStyle name="常规 19 2 2 3 2 8 4" xfId="7081"/>
    <cellStyle name="常规 19 2 2 3 2 8 5" xfId="7105"/>
    <cellStyle name="常规 19 2 2 3 2 8 6" xfId="1355"/>
    <cellStyle name="常规 19 2 2 3 2 8 7" xfId="1365"/>
    <cellStyle name="常规 19 2 2 3 2 8 8" xfId="6041"/>
    <cellStyle name="常规 19 2 2 3 2 9" xfId="14931"/>
    <cellStyle name="常规 19 2 2 3 2 9 2" xfId="14933"/>
    <cellStyle name="常规 19 2 2 3 2 9 3" xfId="764"/>
    <cellStyle name="常规 19 2 2 3 2 9 4" xfId="2552"/>
    <cellStyle name="常规 19 2 2 3 2 9 5" xfId="7148"/>
    <cellStyle name="常规 19 2 2 3 2 9 6" xfId="1197"/>
    <cellStyle name="常规 19 2 2 3 2 9 7" xfId="2821"/>
    <cellStyle name="常规 19 2 2 3 2 9 8" xfId="6054"/>
    <cellStyle name="常规 19 2 2 3 20" xfId="10636"/>
    <cellStyle name="常规 19 2 2 3 3" xfId="7497"/>
    <cellStyle name="常规 19 2 2 3 3 10" xfId="14934"/>
    <cellStyle name="常规 19 2 2 3 3 10 2" xfId="14935"/>
    <cellStyle name="常规 19 2 2 3 3 10 3" xfId="14936"/>
    <cellStyle name="常规 19 2 2 3 3 10 4" xfId="14937"/>
    <cellStyle name="常规 19 2 2 3 3 10 5" xfId="14938"/>
    <cellStyle name="常规 19 2 2 3 3 10 6" xfId="14940"/>
    <cellStyle name="常规 19 2 2 3 3 10 7" xfId="14942"/>
    <cellStyle name="常规 19 2 2 3 3 11" xfId="12737"/>
    <cellStyle name="常规 19 2 2 3 3 12" xfId="12134"/>
    <cellStyle name="常规 19 2 2 3 3 13" xfId="14944"/>
    <cellStyle name="常规 19 2 2 3 3 14" xfId="10894"/>
    <cellStyle name="常规 19 2 2 3 3 15" xfId="10908"/>
    <cellStyle name="常规 19 2 2 3 3 16" xfId="10920"/>
    <cellStyle name="常规 19 2 2 3 3 17" xfId="14951"/>
    <cellStyle name="常规 19 2 2 3 3 2" xfId="14954"/>
    <cellStyle name="常规 19 2 2 3 3 2 2" xfId="14957"/>
    <cellStyle name="常规 19 2 2 3 3 2 3" xfId="9755"/>
    <cellStyle name="常规 19 2 2 3 3 2 4" xfId="9760"/>
    <cellStyle name="常规 19 2 2 3 3 2 5" xfId="14959"/>
    <cellStyle name="常规 19 2 2 3 3 2 6" xfId="14962"/>
    <cellStyle name="常规 19 2 2 3 3 2 7" xfId="6991"/>
    <cellStyle name="常规 19 2 2 3 3 2 8" xfId="6995"/>
    <cellStyle name="常规 19 2 2 3 3 3" xfId="2152"/>
    <cellStyle name="常规 19 2 2 3 3 3 2" xfId="14965"/>
    <cellStyle name="常规 19 2 2 3 3 3 3" xfId="10047"/>
    <cellStyle name="常规 19 2 2 3 3 3 4" xfId="10050"/>
    <cellStyle name="常规 19 2 2 3 3 3 5" xfId="14966"/>
    <cellStyle name="常规 19 2 2 3 3 3 6" xfId="14968"/>
    <cellStyle name="常规 19 2 2 3 3 3 7" xfId="14970"/>
    <cellStyle name="常规 19 2 2 3 3 3 8" xfId="14972"/>
    <cellStyle name="常规 19 2 2 3 3 4" xfId="2165"/>
    <cellStyle name="常规 19 2 2 3 3 4 2" xfId="14975"/>
    <cellStyle name="常规 19 2 2 3 3 4 3" xfId="14976"/>
    <cellStyle name="常规 19 2 2 3 3 4 4" xfId="14978"/>
    <cellStyle name="常规 19 2 2 3 3 4 5" xfId="14980"/>
    <cellStyle name="常规 19 2 2 3 3 4 6" xfId="14982"/>
    <cellStyle name="常规 19 2 2 3 3 4 7" xfId="14984"/>
    <cellStyle name="常规 19 2 2 3 3 4 8" xfId="10571"/>
    <cellStyle name="常规 19 2 2 3 3 5" xfId="14986"/>
    <cellStyle name="常规 19 2 2 3 3 5 2" xfId="14990"/>
    <cellStyle name="常规 19 2 2 3 3 5 3" xfId="14992"/>
    <cellStyle name="常规 19 2 2 3 3 5 4" xfId="14995"/>
    <cellStyle name="常规 19 2 2 3 3 5 5" xfId="14998"/>
    <cellStyle name="常规 19 2 2 3 3 5 6" xfId="15000"/>
    <cellStyle name="常规 19 2 2 3 3 5 7" xfId="15002"/>
    <cellStyle name="常规 19 2 2 3 3 5 8" xfId="8690"/>
    <cellStyle name="常规 19 2 2 3 3 6" xfId="15004"/>
    <cellStyle name="常规 19 2 2 3 3 6 2" xfId="15007"/>
    <cellStyle name="常规 19 2 2 3 3 6 3" xfId="15008"/>
    <cellStyle name="常规 19 2 2 3 3 6 4" xfId="15010"/>
    <cellStyle name="常规 19 2 2 3 3 6 5" xfId="15012"/>
    <cellStyle name="常规 19 2 2 3 3 6 6" xfId="15014"/>
    <cellStyle name="常规 19 2 2 3 3 6 7" xfId="15016"/>
    <cellStyle name="常规 19 2 2 3 3 6 8" xfId="15018"/>
    <cellStyle name="常规 19 2 2 3 3 7" xfId="15020"/>
    <cellStyle name="常规 19 2 2 3 3 7 2" xfId="15021"/>
    <cellStyle name="常规 19 2 2 3 3 7 3" xfId="15022"/>
    <cellStyle name="常规 19 2 2 3 3 7 4" xfId="15024"/>
    <cellStyle name="常规 19 2 2 3 3 7 5" xfId="15026"/>
    <cellStyle name="常规 19 2 2 3 3 7 6" xfId="15028"/>
    <cellStyle name="常规 19 2 2 3 3 7 7" xfId="15030"/>
    <cellStyle name="常规 19 2 2 3 3 7 8" xfId="15032"/>
    <cellStyle name="常规 19 2 2 3 3 8" xfId="12221"/>
    <cellStyle name="常规 19 2 2 3 3 8 2" xfId="15034"/>
    <cellStyle name="常规 19 2 2 3 3 8 3" xfId="15036"/>
    <cellStyle name="常规 19 2 2 3 3 8 4" xfId="1068"/>
    <cellStyle name="常规 19 2 2 3 3 8 5" xfId="2348"/>
    <cellStyle name="常规 19 2 2 3 3 8 6" xfId="531"/>
    <cellStyle name="常规 19 2 2 3 3 8 7" xfId="4685"/>
    <cellStyle name="常规 19 2 2 3 3 8 8" xfId="4695"/>
    <cellStyle name="常规 19 2 2 3 3 9" xfId="12223"/>
    <cellStyle name="常规 19 2 2 3 3 9 2" xfId="15038"/>
    <cellStyle name="常规 19 2 2 3 3 9 3" xfId="135"/>
    <cellStyle name="常规 19 2 2 3 3 9 4" xfId="2193"/>
    <cellStyle name="常规 19 2 2 3 3 9 5" xfId="7194"/>
    <cellStyle name="常规 19 2 2 3 3 9 6" xfId="7202"/>
    <cellStyle name="常规 19 2 2 3 3 9 7" xfId="8738"/>
    <cellStyle name="常规 19 2 2 3 3 9 8" xfId="10249"/>
    <cellStyle name="常规 19 2 2 3 4" xfId="7504"/>
    <cellStyle name="常规 19 2 2 3 4 2" xfId="15040"/>
    <cellStyle name="常规 19 2 2 3 4 3" xfId="15042"/>
    <cellStyle name="常规 19 2 2 3 4 4" xfId="15045"/>
    <cellStyle name="常规 19 2 2 3 4 5" xfId="15047"/>
    <cellStyle name="常规 19 2 2 3 4 6" xfId="15049"/>
    <cellStyle name="常规 19 2 2 3 4 7" xfId="15050"/>
    <cellStyle name="常规 19 2 2 3 4 8" xfId="15051"/>
    <cellStyle name="常规 19 2 2 3 5" xfId="15052"/>
    <cellStyle name="常规 19 2 2 3 5 2" xfId="15053"/>
    <cellStyle name="常规 19 2 2 3 5 3" xfId="15054"/>
    <cellStyle name="常规 19 2 2 3 5 4" xfId="15055"/>
    <cellStyle name="常规 19 2 2 3 5 5" xfId="15056"/>
    <cellStyle name="常规 19 2 2 3 5 6" xfId="15057"/>
    <cellStyle name="常规 19 2 2 3 5 7" xfId="15058"/>
    <cellStyle name="常规 19 2 2 3 5 8" xfId="15060"/>
    <cellStyle name="常规 19 2 2 3 6" xfId="15062"/>
    <cellStyle name="常规 19 2 2 3 6 2" xfId="15064"/>
    <cellStyle name="常规 19 2 2 3 6 3" xfId="15066"/>
    <cellStyle name="常规 19 2 2 3 6 4" xfId="15068"/>
    <cellStyle name="常规 19 2 2 3 6 5" xfId="15069"/>
    <cellStyle name="常规 19 2 2 3 6 6" xfId="11635"/>
    <cellStyle name="常规 19 2 2 3 6 7" xfId="11637"/>
    <cellStyle name="常规 19 2 2 3 6 8" xfId="15071"/>
    <cellStyle name="常规 19 2 2 3 7" xfId="15073"/>
    <cellStyle name="常规 19 2 2 3 7 2" xfId="15074"/>
    <cellStyle name="常规 19 2 2 3 7 3" xfId="15075"/>
    <cellStyle name="常规 19 2 2 3 7 4" xfId="15076"/>
    <cellStyle name="常规 19 2 2 3 7 5" xfId="10974"/>
    <cellStyle name="常规 19 2 2 3 7 6" xfId="10980"/>
    <cellStyle name="常规 19 2 2 3 7 7" xfId="190"/>
    <cellStyle name="常规 19 2 2 3 7 8" xfId="1212"/>
    <cellStyle name="常规 19 2 2 3 8" xfId="9963"/>
    <cellStyle name="常规 19 2 2 3 8 2" xfId="15077"/>
    <cellStyle name="常规 19 2 2 3 8 3" xfId="7035"/>
    <cellStyle name="常规 19 2 2 3 8 4" xfId="7180"/>
    <cellStyle name="常规 19 2 2 3 8 5" xfId="7764"/>
    <cellStyle name="常规 19 2 2 3 8 6" xfId="7772"/>
    <cellStyle name="常规 19 2 2 3 8 7" xfId="1222"/>
    <cellStyle name="常规 19 2 2 3 8 8" xfId="1234"/>
    <cellStyle name="常规 19 2 2 3 9" xfId="9965"/>
    <cellStyle name="常规 19 2 2 3 9 2" xfId="15081"/>
    <cellStyle name="常规 19 2 2 3 9 3" xfId="15083"/>
    <cellStyle name="常规 19 2 2 3 9 4" xfId="15085"/>
    <cellStyle name="常规 19 2 2 3 9 5" xfId="11000"/>
    <cellStyle name="常规 19 2 2 3 9 6" xfId="11009"/>
    <cellStyle name="常规 19 2 2 3 9 7" xfId="11015"/>
    <cellStyle name="常规 19 2 2 3 9 8" xfId="15086"/>
    <cellStyle name="常规 19 2 2 4" xfId="13965"/>
    <cellStyle name="常规 19 2 2 4 10" xfId="15088"/>
    <cellStyle name="常规 19 2 2 4 10 2" xfId="15090"/>
    <cellStyle name="常规 19 2 2 4 10 3" xfId="15091"/>
    <cellStyle name="常规 19 2 2 4 10 4" xfId="15092"/>
    <cellStyle name="常规 19 2 2 4 10 5" xfId="15093"/>
    <cellStyle name="常规 19 2 2 4 10 6" xfId="6413"/>
    <cellStyle name="常规 19 2 2 4 10 7" xfId="6468"/>
    <cellStyle name="常规 19 2 2 4 10 8" xfId="6496"/>
    <cellStyle name="常规 19 2 2 4 11" xfId="3393"/>
    <cellStyle name="常规 19 2 2 4 11 2" xfId="3406"/>
    <cellStyle name="常规 19 2 2 4 11 3" xfId="3420"/>
    <cellStyle name="常规 19 2 2 4 11 4" xfId="4008"/>
    <cellStyle name="常规 19 2 2 4 11 5" xfId="15096"/>
    <cellStyle name="常规 19 2 2 4 11 6" xfId="6542"/>
    <cellStyle name="常规 19 2 2 4 11 7" xfId="6570"/>
    <cellStyle name="常规 19 2 2 4 11 8" xfId="6579"/>
    <cellStyle name="常规 19 2 2 4 12" xfId="3429"/>
    <cellStyle name="常规 19 2 2 4 12 2" xfId="5648"/>
    <cellStyle name="常规 19 2 2 4 12 3" xfId="5654"/>
    <cellStyle name="常规 19 2 2 4 12 4" xfId="11207"/>
    <cellStyle name="常规 19 2 2 4 12 5" xfId="15098"/>
    <cellStyle name="常规 19 2 2 4 12 6" xfId="6595"/>
    <cellStyle name="常规 19 2 2 4 12 7" xfId="6611"/>
    <cellStyle name="常规 19 2 2 4 13" xfId="5661"/>
    <cellStyle name="常规 19 2 2 4 14" xfId="3110"/>
    <cellStyle name="常规 19 2 2 4 15" xfId="4347"/>
    <cellStyle name="常规 19 2 2 4 16" xfId="15099"/>
    <cellStyle name="常规 19 2 2 4 17" xfId="15101"/>
    <cellStyle name="常规 19 2 2 4 18" xfId="15103"/>
    <cellStyle name="常规 19 2 2 4 19" xfId="15104"/>
    <cellStyle name="常规 19 2 2 4 2" xfId="15105"/>
    <cellStyle name="常规 19 2 2 4 2 10" xfId="15106"/>
    <cellStyle name="常规 19 2 2 4 2 10 2" xfId="1514"/>
    <cellStyle name="常规 19 2 2 4 2 10 3" xfId="5473"/>
    <cellStyle name="常规 19 2 2 4 2 10 4" xfId="5489"/>
    <cellStyle name="常规 19 2 2 4 2 10 5" xfId="9546"/>
    <cellStyle name="常规 19 2 2 4 2 10 6" xfId="9559"/>
    <cellStyle name="常规 19 2 2 4 2 10 7" xfId="15110"/>
    <cellStyle name="常规 19 2 2 4 2 11" xfId="15113"/>
    <cellStyle name="常规 19 2 2 4 2 12" xfId="15117"/>
    <cellStyle name="常规 19 2 2 4 2 13" xfId="15120"/>
    <cellStyle name="常规 19 2 2 4 2 14" xfId="15123"/>
    <cellStyle name="常规 19 2 2 4 2 15" xfId="6247"/>
    <cellStyle name="常规 19 2 2 4 2 16" xfId="6263"/>
    <cellStyle name="常规 19 2 2 4 2 17" xfId="2294"/>
    <cellStyle name="常规 19 2 2 4 2 2" xfId="15126"/>
    <cellStyle name="常规 19 2 2 4 2 2 2" xfId="15128"/>
    <cellStyle name="常规 19 2 2 4 2 2 3" xfId="2364"/>
    <cellStyle name="常规 19 2 2 4 2 2 4" xfId="540"/>
    <cellStyle name="常规 19 2 2 4 2 2 5" xfId="15131"/>
    <cellStyle name="常规 19 2 2 4 2 2 6" xfId="15134"/>
    <cellStyle name="常规 19 2 2 4 2 2 7" xfId="15138"/>
    <cellStyle name="常规 19 2 2 4 2 2 8" xfId="15142"/>
    <cellStyle name="常规 19 2 2 4 2 3" xfId="305"/>
    <cellStyle name="常规 19 2 2 4 2 3 2" xfId="2204"/>
    <cellStyle name="常规 19 2 2 4 2 3 3" xfId="2215"/>
    <cellStyle name="常规 19 2 2 4 2 3 4" xfId="622"/>
    <cellStyle name="常规 19 2 2 4 2 3 5" xfId="659"/>
    <cellStyle name="常规 19 2 2 4 2 3 6" xfId="15145"/>
    <cellStyle name="常规 19 2 2 4 2 3 7" xfId="15148"/>
    <cellStyle name="常规 19 2 2 4 2 3 8" xfId="15151"/>
    <cellStyle name="常规 19 2 2 4 2 4" xfId="419"/>
    <cellStyle name="常规 19 2 2 4 2 4 2" xfId="15152"/>
    <cellStyle name="常规 19 2 2 4 2 4 3" xfId="3504"/>
    <cellStyle name="常规 19 2 2 4 2 4 4" xfId="721"/>
    <cellStyle name="常规 19 2 2 4 2 4 5" xfId="15155"/>
    <cellStyle name="常规 19 2 2 4 2 4 6" xfId="15158"/>
    <cellStyle name="常规 19 2 2 4 2 4 7" xfId="13293"/>
    <cellStyle name="常规 19 2 2 4 2 4 8" xfId="13298"/>
    <cellStyle name="常规 19 2 2 4 2 5" xfId="9816"/>
    <cellStyle name="常规 19 2 2 4 2 5 2" xfId="15159"/>
    <cellStyle name="常规 19 2 2 4 2 5 3" xfId="3383"/>
    <cellStyle name="常规 19 2 2 4 2 5 4" xfId="863"/>
    <cellStyle name="常规 19 2 2 4 2 5 5" xfId="15163"/>
    <cellStyle name="常规 19 2 2 4 2 5 6" xfId="15168"/>
    <cellStyle name="常规 19 2 2 4 2 5 7" xfId="13313"/>
    <cellStyle name="常规 19 2 2 4 2 5 8" xfId="13318"/>
    <cellStyle name="常规 19 2 2 4 2 6" xfId="6341"/>
    <cellStyle name="常规 19 2 2 4 2 6 2" xfId="6661"/>
    <cellStyle name="常规 19 2 2 4 2 6 3" xfId="6670"/>
    <cellStyle name="常规 19 2 2 4 2 6 4" xfId="15172"/>
    <cellStyle name="常规 19 2 2 4 2 6 5" xfId="15176"/>
    <cellStyle name="常规 19 2 2 4 2 6 6" xfId="4950"/>
    <cellStyle name="常规 19 2 2 4 2 6 7" xfId="4969"/>
    <cellStyle name="常规 19 2 2 4 2 6 8" xfId="4985"/>
    <cellStyle name="常规 19 2 2 4 2 7" xfId="4111"/>
    <cellStyle name="常规 19 2 2 4 2 7 2" xfId="15177"/>
    <cellStyle name="常规 19 2 2 4 2 7 3" xfId="15178"/>
    <cellStyle name="常规 19 2 2 4 2 7 4" xfId="15182"/>
    <cellStyle name="常规 19 2 2 4 2 7 5" xfId="15187"/>
    <cellStyle name="常规 19 2 2 4 2 7 6" xfId="1431"/>
    <cellStyle name="常规 19 2 2 4 2 7 7" xfId="1439"/>
    <cellStyle name="常规 19 2 2 4 2 7 8" xfId="5038"/>
    <cellStyle name="常规 19 2 2 4 2 8" xfId="15188"/>
    <cellStyle name="常规 19 2 2 4 2 8 2" xfId="15189"/>
    <cellStyle name="常规 19 2 2 4 2 8 3" xfId="15190"/>
    <cellStyle name="常规 19 2 2 4 2 8 4" xfId="15194"/>
    <cellStyle name="常规 19 2 2 4 2 8 5" xfId="15198"/>
    <cellStyle name="常规 19 2 2 4 2 8 6" xfId="5051"/>
    <cellStyle name="常规 19 2 2 4 2 8 7" xfId="5094"/>
    <cellStyle name="常规 19 2 2 4 2 8 8" xfId="5120"/>
    <cellStyle name="常规 19 2 2 4 2 9" xfId="15199"/>
    <cellStyle name="常规 19 2 2 4 2 9 2" xfId="15200"/>
    <cellStyle name="常规 19 2 2 4 2 9 3" xfId="15201"/>
    <cellStyle name="常规 19 2 2 4 2 9 4" xfId="15204"/>
    <cellStyle name="常规 19 2 2 4 2 9 5" xfId="15207"/>
    <cellStyle name="常规 19 2 2 4 2 9 6" xfId="5129"/>
    <cellStyle name="常规 19 2 2 4 2 9 7" xfId="5133"/>
    <cellStyle name="常规 19 2 2 4 2 9 8" xfId="7444"/>
    <cellStyle name="常规 19 2 2 4 3" xfId="15208"/>
    <cellStyle name="常规 19 2 2 4 3 2" xfId="15209"/>
    <cellStyle name="常规 19 2 2 4 3 3" xfId="2244"/>
    <cellStyle name="常规 19 2 2 4 3 4" xfId="2256"/>
    <cellStyle name="常规 19 2 2 4 3 5" xfId="15210"/>
    <cellStyle name="常规 19 2 2 4 3 6" xfId="6681"/>
    <cellStyle name="常规 19 2 2 4 3 7" xfId="4004"/>
    <cellStyle name="常规 19 2 2 4 3 8" xfId="12231"/>
    <cellStyle name="常规 19 2 2 4 4" xfId="15211"/>
    <cellStyle name="常规 19 2 2 4 4 2" xfId="15212"/>
    <cellStyle name="常规 19 2 2 4 4 3" xfId="15213"/>
    <cellStyle name="常规 19 2 2 4 4 4" xfId="15214"/>
    <cellStyle name="常规 19 2 2 4 4 5" xfId="15215"/>
    <cellStyle name="常规 19 2 2 4 4 6" xfId="4927"/>
    <cellStyle name="常规 19 2 2 4 4 7" xfId="4953"/>
    <cellStyle name="常规 19 2 2 4 4 8" xfId="15216"/>
    <cellStyle name="常规 19 2 2 4 5" xfId="15218"/>
    <cellStyle name="常规 19 2 2 4 5 2" xfId="15220"/>
    <cellStyle name="常规 19 2 2 4 5 3" xfId="2873"/>
    <cellStyle name="常规 19 2 2 4 5 4" xfId="15221"/>
    <cellStyle name="常规 19 2 2 4 5 5" xfId="15222"/>
    <cellStyle name="常规 19 2 2 4 5 6" xfId="7164"/>
    <cellStyle name="常规 19 2 2 4 5 7" xfId="5622"/>
    <cellStyle name="常规 19 2 2 4 5 8" xfId="12245"/>
    <cellStyle name="常规 19 2 2 4 6" xfId="15224"/>
    <cellStyle name="常规 19 2 2 4 6 2" xfId="15226"/>
    <cellStyle name="常规 19 2 2 4 6 3" xfId="15228"/>
    <cellStyle name="常规 19 2 2 4 6 4" xfId="15229"/>
    <cellStyle name="常规 19 2 2 4 6 5" xfId="11172"/>
    <cellStyle name="常规 19 2 2 4 6 6" xfId="7705"/>
    <cellStyle name="常规 19 2 2 4 6 7" xfId="7709"/>
    <cellStyle name="常规 19 2 2 4 6 8" xfId="12252"/>
    <cellStyle name="常规 19 2 2 4 7" xfId="15231"/>
    <cellStyle name="常规 19 2 2 4 7 2" xfId="15233"/>
    <cellStyle name="常规 19 2 2 4 7 3" xfId="45"/>
    <cellStyle name="常规 19 2 2 4 7 4" xfId="15235"/>
    <cellStyle name="常规 19 2 2 4 7 5" xfId="11045"/>
    <cellStyle name="常规 19 2 2 4 7 6" xfId="7721"/>
    <cellStyle name="常规 19 2 2 4 7 7" xfId="1259"/>
    <cellStyle name="常规 19 2 2 4 7 8" xfId="1264"/>
    <cellStyle name="常规 19 2 2 4 8" xfId="15238"/>
    <cellStyle name="常规 19 2 2 4 8 2" xfId="15240"/>
    <cellStyle name="常规 19 2 2 4 8 3" xfId="15242"/>
    <cellStyle name="常规 19 2 2 4 8 4" xfId="15243"/>
    <cellStyle name="常规 19 2 2 4 8 5" xfId="11059"/>
    <cellStyle name="常规 19 2 2 4 8 6" xfId="8254"/>
    <cellStyle name="常规 19 2 2 4 8 7" xfId="8257"/>
    <cellStyle name="常规 19 2 2 4 8 8" xfId="15244"/>
    <cellStyle name="常规 19 2 2 4 9" xfId="15246"/>
    <cellStyle name="常规 19 2 2 4 9 2" xfId="15248"/>
    <cellStyle name="常规 19 2 2 4 9 3" xfId="15250"/>
    <cellStyle name="常规 19 2 2 4 9 4" xfId="15252"/>
    <cellStyle name="常规 19 2 2 4 9 5" xfId="11078"/>
    <cellStyle name="常规 19 2 2 4 9 6" xfId="11085"/>
    <cellStyle name="常规 19 2 2 4 9 7" xfId="11099"/>
    <cellStyle name="常规 19 2 2 4 9 8" xfId="12794"/>
    <cellStyle name="常规 19 2 2 5" xfId="13969"/>
    <cellStyle name="常规 19 2 2 5 10" xfId="7365"/>
    <cellStyle name="常规 19 2 2 5 10 2" xfId="4963"/>
    <cellStyle name="常规 19 2 2 5 10 3" xfId="5219"/>
    <cellStyle name="常规 19 2 2 5 10 4" xfId="3618"/>
    <cellStyle name="常规 19 2 2 5 10 5" xfId="3646"/>
    <cellStyle name="常规 19 2 2 5 10 6" xfId="378"/>
    <cellStyle name="常规 19 2 2 5 10 7" xfId="392"/>
    <cellStyle name="常规 19 2 2 5 10 8" xfId="30"/>
    <cellStyle name="常规 19 2 2 5 11" xfId="8926"/>
    <cellStyle name="常规 19 2 2 5 11 2" xfId="5629"/>
    <cellStyle name="常规 19 2 2 5 11 3" xfId="10282"/>
    <cellStyle name="常规 19 2 2 5 11 4" xfId="12296"/>
    <cellStyle name="常规 19 2 2 5 11 5" xfId="12305"/>
    <cellStyle name="常规 19 2 2 5 11 6" xfId="15254"/>
    <cellStyle name="常规 19 2 2 5 11 7" xfId="15256"/>
    <cellStyle name="常规 19 2 2 5 11 8" xfId="15258"/>
    <cellStyle name="常规 19 2 2 5 12" xfId="9119"/>
    <cellStyle name="常规 19 2 2 5 12 2" xfId="12501"/>
    <cellStyle name="常规 19 2 2 5 12 3" xfId="5850"/>
    <cellStyle name="常规 19 2 2 5 12 4" xfId="1093"/>
    <cellStyle name="常规 19 2 2 5 12 5" xfId="15260"/>
    <cellStyle name="常规 19 2 2 5 12 6" xfId="15262"/>
    <cellStyle name="常规 19 2 2 5 12 7" xfId="15264"/>
    <cellStyle name="常规 19 2 2 5 13" xfId="12511"/>
    <cellStyle name="常规 19 2 2 5 14" xfId="11501"/>
    <cellStyle name="常规 19 2 2 5 15" xfId="14451"/>
    <cellStyle name="常规 19 2 2 5 16" xfId="14454"/>
    <cellStyle name="常规 19 2 2 5 17" xfId="4154"/>
    <cellStyle name="常规 19 2 2 5 18" xfId="4502"/>
    <cellStyle name="常规 19 2 2 5 19" xfId="14460"/>
    <cellStyle name="常规 19 2 2 5 2" xfId="11876"/>
    <cellStyle name="常规 19 2 2 5 2 10" xfId="15265"/>
    <cellStyle name="常规 19 2 2 5 2 10 2" xfId="15266"/>
    <cellStyle name="常规 19 2 2 5 2 10 3" xfId="12470"/>
    <cellStyle name="常规 19 2 2 5 2 10 4" xfId="12472"/>
    <cellStyle name="常规 19 2 2 5 2 10 5" xfId="15268"/>
    <cellStyle name="常规 19 2 2 5 2 10 6" xfId="15269"/>
    <cellStyle name="常规 19 2 2 5 2 10 7" xfId="15270"/>
    <cellStyle name="常规 19 2 2 5 2 11" xfId="15271"/>
    <cellStyle name="常规 19 2 2 5 2 12" xfId="5946"/>
    <cellStyle name="常规 19 2 2 5 2 13" xfId="2209"/>
    <cellStyle name="常规 19 2 2 5 2 14" xfId="2219"/>
    <cellStyle name="常规 19 2 2 5 2 15" xfId="626"/>
    <cellStyle name="常规 19 2 2 5 2 16" xfId="663"/>
    <cellStyle name="常规 19 2 2 5 2 17" xfId="699"/>
    <cellStyle name="常规 19 2 2 5 2 2" xfId="15273"/>
    <cellStyle name="常规 19 2 2 5 2 2 2" xfId="12254"/>
    <cellStyle name="常规 19 2 2 5 2 2 3" xfId="8945"/>
    <cellStyle name="常规 19 2 2 5 2 2 4" xfId="8956"/>
    <cellStyle name="常规 19 2 2 5 2 2 5" xfId="8680"/>
    <cellStyle name="常规 19 2 2 5 2 2 6" xfId="8684"/>
    <cellStyle name="常规 19 2 2 5 2 2 7" xfId="15274"/>
    <cellStyle name="常规 19 2 2 5 2 2 8" xfId="15275"/>
    <cellStyle name="常规 19 2 2 5 2 3" xfId="1299"/>
    <cellStyle name="常规 19 2 2 5 2 3 2" xfId="1309"/>
    <cellStyle name="常规 19 2 2 5 2 3 3" xfId="1401"/>
    <cellStyle name="常规 19 2 2 5 2 3 4" xfId="1467"/>
    <cellStyle name="常规 19 2 2 5 2 3 5" xfId="15276"/>
    <cellStyle name="常规 19 2 2 5 2 3 6" xfId="15277"/>
    <cellStyle name="常规 19 2 2 5 2 3 7" xfId="15278"/>
    <cellStyle name="常规 19 2 2 5 2 3 8" xfId="15279"/>
    <cellStyle name="常规 19 2 2 5 2 4" xfId="1638"/>
    <cellStyle name="常规 19 2 2 5 2 4 2" xfId="15280"/>
    <cellStyle name="常规 19 2 2 5 2 4 3" xfId="8965"/>
    <cellStyle name="常规 19 2 2 5 2 4 4" xfId="8969"/>
    <cellStyle name="常规 19 2 2 5 2 4 5" xfId="9139"/>
    <cellStyle name="常规 19 2 2 5 2 4 6" xfId="9142"/>
    <cellStyle name="常规 19 2 2 5 2 4 7" xfId="15281"/>
    <cellStyle name="常规 19 2 2 5 2 4 8" xfId="15282"/>
    <cellStyle name="常规 19 2 2 5 2 5" xfId="15283"/>
    <cellStyle name="常规 19 2 2 5 2 5 2" xfId="12810"/>
    <cellStyle name="常规 19 2 2 5 2 5 3" xfId="12816"/>
    <cellStyle name="常规 19 2 2 5 2 5 4" xfId="12824"/>
    <cellStyle name="常规 19 2 2 5 2 5 5" xfId="12847"/>
    <cellStyle name="常规 19 2 2 5 2 5 6" xfId="12861"/>
    <cellStyle name="常规 19 2 2 5 2 5 7" xfId="12877"/>
    <cellStyle name="常规 19 2 2 5 2 5 8" xfId="12897"/>
    <cellStyle name="常规 19 2 2 5 2 6" xfId="6703"/>
    <cellStyle name="常规 19 2 2 5 2 6 2" xfId="6985"/>
    <cellStyle name="常规 19 2 2 5 2 6 3" xfId="9927"/>
    <cellStyle name="常规 19 2 2 5 2 6 4" xfId="12916"/>
    <cellStyle name="常规 19 2 2 5 2 6 5" xfId="9475"/>
    <cellStyle name="常规 19 2 2 5 2 6 6" xfId="9479"/>
    <cellStyle name="常规 19 2 2 5 2 6 7" xfId="12918"/>
    <cellStyle name="常规 19 2 2 5 2 6 8" xfId="15284"/>
    <cellStyle name="常规 19 2 2 5 2 7" xfId="6709"/>
    <cellStyle name="常规 19 2 2 5 2 7 2" xfId="1902"/>
    <cellStyle name="常规 19 2 2 5 2 7 3" xfId="12923"/>
    <cellStyle name="常规 19 2 2 5 2 7 4" xfId="12925"/>
    <cellStyle name="常规 19 2 2 5 2 7 5" xfId="12928"/>
    <cellStyle name="常规 19 2 2 5 2 7 6" xfId="12931"/>
    <cellStyle name="常规 19 2 2 5 2 7 7" xfId="12933"/>
    <cellStyle name="常规 19 2 2 5 2 7 8" xfId="15285"/>
    <cellStyle name="常规 19 2 2 5 2 8" xfId="14795"/>
    <cellStyle name="常规 19 2 2 5 2 8 2" xfId="12939"/>
    <cellStyle name="常规 19 2 2 5 2 8 3" xfId="12942"/>
    <cellStyle name="常规 19 2 2 5 2 8 4" xfId="12944"/>
    <cellStyle name="常规 19 2 2 5 2 8 5" xfId="12947"/>
    <cellStyle name="常规 19 2 2 5 2 8 6" xfId="12950"/>
    <cellStyle name="常规 19 2 2 5 2 8 7" xfId="7574"/>
    <cellStyle name="常规 19 2 2 5 2 8 8" xfId="7593"/>
    <cellStyle name="常规 19 2 2 5 2 9" xfId="14800"/>
    <cellStyle name="常规 19 2 2 5 2 9 2" xfId="12954"/>
    <cellStyle name="常规 19 2 2 5 2 9 3" xfId="12956"/>
    <cellStyle name="常规 19 2 2 5 2 9 4" xfId="12958"/>
    <cellStyle name="常规 19 2 2 5 2 9 5" xfId="11939"/>
    <cellStyle name="常规 19 2 2 5 2 9 6" xfId="12960"/>
    <cellStyle name="常规 19 2 2 5 2 9 7" xfId="7607"/>
    <cellStyle name="常规 19 2 2 5 2 9 8" xfId="7614"/>
    <cellStyle name="常规 19 2 2 5 3" xfId="15286"/>
    <cellStyle name="常规 19 2 2 5 3 2" xfId="15287"/>
    <cellStyle name="常规 19 2 2 5 3 3" xfId="2788"/>
    <cellStyle name="常规 19 2 2 5 3 4" xfId="2808"/>
    <cellStyle name="常规 19 2 2 5 3 5" xfId="15288"/>
    <cellStyle name="常规 19 2 2 5 3 6" xfId="15289"/>
    <cellStyle name="常规 19 2 2 5 3 7" xfId="15290"/>
    <cellStyle name="常规 19 2 2 5 3 8" xfId="217"/>
    <cellStyle name="常规 19 2 2 5 4" xfId="15291"/>
    <cellStyle name="常规 19 2 2 5 4 2" xfId="15292"/>
    <cellStyle name="常规 19 2 2 5 4 3" xfId="15293"/>
    <cellStyle name="常规 19 2 2 5 4 4" xfId="15294"/>
    <cellStyle name="常规 19 2 2 5 4 5" xfId="12030"/>
    <cellStyle name="常规 19 2 2 5 4 6" xfId="5523"/>
    <cellStyle name="常规 19 2 2 5 4 7" xfId="5617"/>
    <cellStyle name="常规 19 2 2 5 4 8" xfId="14833"/>
    <cellStyle name="常规 19 2 2 5 5" xfId="15295"/>
    <cellStyle name="常规 19 2 2 5 5 2" xfId="15296"/>
    <cellStyle name="常规 19 2 2 5 5 3" xfId="15297"/>
    <cellStyle name="常规 19 2 2 5 5 4" xfId="15298"/>
    <cellStyle name="常规 19 2 2 5 5 5" xfId="15300"/>
    <cellStyle name="常规 19 2 2 5 5 6" xfId="15301"/>
    <cellStyle name="常规 19 2 2 5 5 7" xfId="15302"/>
    <cellStyle name="常规 19 2 2 5 5 8" xfId="14852"/>
    <cellStyle name="常规 19 2 2 5 6" xfId="15304"/>
    <cellStyle name="常规 19 2 2 5 6 2" xfId="15306"/>
    <cellStyle name="常规 19 2 2 5 6 3" xfId="15308"/>
    <cellStyle name="常规 19 2 2 5 6 4" xfId="12509"/>
    <cellStyle name="常规 19 2 2 5 6 5" xfId="15309"/>
    <cellStyle name="常规 19 2 2 5 6 6" xfId="7745"/>
    <cellStyle name="常规 19 2 2 5 6 7" xfId="7749"/>
    <cellStyle name="常规 19 2 2 5 6 8" xfId="13357"/>
    <cellStyle name="常规 19 2 2 5 7" xfId="15311"/>
    <cellStyle name="常规 19 2 2 5 7 2" xfId="5907"/>
    <cellStyle name="常规 19 2 2 5 7 3" xfId="15312"/>
    <cellStyle name="常规 19 2 2 5 7 4" xfId="15313"/>
    <cellStyle name="常规 19 2 2 5 7 5" xfId="11118"/>
    <cellStyle name="常规 19 2 2 5 7 6" xfId="11124"/>
    <cellStyle name="常规 19 2 2 5 7 7" xfId="11131"/>
    <cellStyle name="常规 19 2 2 5 7 8" xfId="11137"/>
    <cellStyle name="常规 19 2 2 5 8" xfId="15315"/>
    <cellStyle name="常规 19 2 2 5 8 2" xfId="15316"/>
    <cellStyle name="常规 19 2 2 5 8 3" xfId="15317"/>
    <cellStyle name="常规 19 2 2 5 8 4" xfId="15318"/>
    <cellStyle name="常规 19 2 2 5 8 5" xfId="11142"/>
    <cellStyle name="常规 19 2 2 5 8 6" xfId="11158"/>
    <cellStyle name="常规 19 2 2 5 8 7" xfId="11163"/>
    <cellStyle name="常规 19 2 2 5 8 8" xfId="15319"/>
    <cellStyle name="常规 19 2 2 5 9" xfId="15320"/>
    <cellStyle name="常规 19 2 2 5 9 2" xfId="15322"/>
    <cellStyle name="常规 19 2 2 5 9 3" xfId="15323"/>
    <cellStyle name="常规 19 2 2 5 9 4" xfId="15324"/>
    <cellStyle name="常规 19 2 2 5 9 5" xfId="11169"/>
    <cellStyle name="常规 19 2 2 5 9 6" xfId="11173"/>
    <cellStyle name="常规 19 2 2 5 9 7" xfId="11178"/>
    <cellStyle name="常规 19 2 2 5 9 8" xfId="13012"/>
    <cellStyle name="常规 19 2 2 6" xfId="13973"/>
    <cellStyle name="常规 19 2 2 6 10" xfId="13241"/>
    <cellStyle name="常规 19 2 2 6 10 2" xfId="15327"/>
    <cellStyle name="常规 19 2 2 6 10 3" xfId="15329"/>
    <cellStyle name="常规 19 2 2 6 10 4" xfId="15331"/>
    <cellStyle name="常规 19 2 2 6 10 5" xfId="15332"/>
    <cellStyle name="常规 19 2 2 6 10 6" xfId="11375"/>
    <cellStyle name="常规 19 2 2 6 10 7" xfId="11384"/>
    <cellStyle name="常规 19 2 2 6 11" xfId="15333"/>
    <cellStyle name="常规 19 2 2 6 12" xfId="15334"/>
    <cellStyle name="常规 19 2 2 6 13" xfId="15335"/>
    <cellStyle name="常规 19 2 2 6 14" xfId="15336"/>
    <cellStyle name="常规 19 2 2 6 15" xfId="14535"/>
    <cellStyle name="常规 19 2 2 6 16" xfId="14537"/>
    <cellStyle name="常规 19 2 2 6 17" xfId="9418"/>
    <cellStyle name="常规 19 2 2 6 2" xfId="11886"/>
    <cellStyle name="常规 19 2 2 6 2 2" xfId="15338"/>
    <cellStyle name="常规 19 2 2 6 2 3" xfId="15339"/>
    <cellStyle name="常规 19 2 2 6 2 4" xfId="15341"/>
    <cellStyle name="常规 19 2 2 6 2 5" xfId="15342"/>
    <cellStyle name="常规 19 2 2 6 2 6" xfId="15343"/>
    <cellStyle name="常规 19 2 2 6 2 7" xfId="15344"/>
    <cellStyle name="常规 19 2 2 6 2 8" xfId="15345"/>
    <cellStyle name="常规 19 2 2 6 3" xfId="11888"/>
    <cellStyle name="常规 19 2 2 6 3 2" xfId="15346"/>
    <cellStyle name="常规 19 2 2 6 3 3" xfId="15347"/>
    <cellStyle name="常规 19 2 2 6 3 4" xfId="15348"/>
    <cellStyle name="常规 19 2 2 6 3 5" xfId="15349"/>
    <cellStyle name="常规 19 2 2 6 3 6" xfId="15350"/>
    <cellStyle name="常规 19 2 2 6 3 7" xfId="15351"/>
    <cellStyle name="常规 19 2 2 6 3 8" xfId="15352"/>
    <cellStyle name="常规 19 2 2 6 4" xfId="12559"/>
    <cellStyle name="常规 19 2 2 6 4 2" xfId="4807"/>
    <cellStyle name="常规 19 2 2 6 4 3" xfId="4835"/>
    <cellStyle name="常规 19 2 2 6 4 4" xfId="5537"/>
    <cellStyle name="常规 19 2 2 6 4 5" xfId="5542"/>
    <cellStyle name="常规 19 2 2 6 4 6" xfId="15353"/>
    <cellStyle name="常规 19 2 2 6 4 7" xfId="15355"/>
    <cellStyle name="常规 19 2 2 6 4 8" xfId="15358"/>
    <cellStyle name="常规 19 2 2 6 5" xfId="12404"/>
    <cellStyle name="常规 19 2 2 6 5 2" xfId="4853"/>
    <cellStyle name="常规 19 2 2 6 5 3" xfId="5423"/>
    <cellStyle name="常规 19 2 2 6 5 4" xfId="5547"/>
    <cellStyle name="常规 19 2 2 6 5 5" xfId="15359"/>
    <cellStyle name="常规 19 2 2 6 5 6" xfId="15360"/>
    <cellStyle name="常规 19 2 2 6 5 7" xfId="13722"/>
    <cellStyle name="常规 19 2 2 6 5 8" xfId="13729"/>
    <cellStyle name="常规 19 2 2 6 6" xfId="15361"/>
    <cellStyle name="常规 19 2 2 6 6 2" xfId="2023"/>
    <cellStyle name="常规 19 2 2 6 6 3" xfId="2066"/>
    <cellStyle name="常规 19 2 2 6 6 4" xfId="1037"/>
    <cellStyle name="常规 19 2 2 6 6 5" xfId="15363"/>
    <cellStyle name="常规 19 2 2 6 6 6" xfId="15365"/>
    <cellStyle name="常规 19 2 2 6 6 7" xfId="15366"/>
    <cellStyle name="常规 19 2 2 6 6 8" xfId="15368"/>
    <cellStyle name="常规 19 2 2 6 7" xfId="15369"/>
    <cellStyle name="常规 19 2 2 6 7 2" xfId="15370"/>
    <cellStyle name="常规 19 2 2 6 7 3" xfId="15371"/>
    <cellStyle name="常规 19 2 2 6 7 4" xfId="15372"/>
    <cellStyle name="常规 19 2 2 6 7 5" xfId="11203"/>
    <cellStyle name="常规 19 2 2 6 7 6" xfId="11208"/>
    <cellStyle name="常规 19 2 2 6 7 7" xfId="11210"/>
    <cellStyle name="常规 19 2 2 6 7 8" xfId="15373"/>
    <cellStyle name="常规 19 2 2 6 8" xfId="15374"/>
    <cellStyle name="常规 19 2 2 6 8 2" xfId="15375"/>
    <cellStyle name="常规 19 2 2 6 8 3" xfId="15376"/>
    <cellStyle name="常规 19 2 2 6 8 4" xfId="15378"/>
    <cellStyle name="常规 19 2 2 6 8 5" xfId="11217"/>
    <cellStyle name="常规 19 2 2 6 8 6" xfId="11219"/>
    <cellStyle name="常规 19 2 2 6 8 7" xfId="15379"/>
    <cellStyle name="常规 19 2 2 6 8 8" xfId="15381"/>
    <cellStyle name="常规 19 2 2 6 9" xfId="15382"/>
    <cellStyle name="常规 19 2 2 6 9 2" xfId="13193"/>
    <cellStyle name="常规 19 2 2 6 9 3" xfId="13204"/>
    <cellStyle name="常规 19 2 2 6 9 4" xfId="13221"/>
    <cellStyle name="常规 19 2 2 6 9 5" xfId="11225"/>
    <cellStyle name="常规 19 2 2 6 9 6" xfId="11229"/>
    <cellStyle name="常规 19 2 2 6 9 7" xfId="15383"/>
    <cellStyle name="常规 19 2 2 6 9 8" xfId="15386"/>
    <cellStyle name="常规 19 2 2 7" xfId="15389"/>
    <cellStyle name="常规 19 2 2 7 2" xfId="15390"/>
    <cellStyle name="常规 19 2 2 7 3" xfId="15391"/>
    <cellStyle name="常规 19 2 2 7 4" xfId="15392"/>
    <cellStyle name="常规 19 2 2 7 5" xfId="15393"/>
    <cellStyle name="常规 19 2 2 7 6" xfId="15394"/>
    <cellStyle name="常规 19 2 2 7 7" xfId="15396"/>
    <cellStyle name="常规 19 2 2 7 8" xfId="15398"/>
    <cellStyle name="常规 19 2 2 8" xfId="15402"/>
    <cellStyle name="常规 19 2 2 8 2" xfId="15403"/>
    <cellStyle name="常规 19 2 2 8 3" xfId="15404"/>
    <cellStyle name="常规 19 2 2 8 4" xfId="15405"/>
    <cellStyle name="常规 19 2 2 8 5" xfId="15406"/>
    <cellStyle name="常规 19 2 2 8 6" xfId="15407"/>
    <cellStyle name="常规 19 2 2 8 7" xfId="15408"/>
    <cellStyle name="常规 19 2 2 8 8" xfId="15409"/>
    <cellStyle name="常规 19 2 2 9" xfId="15413"/>
    <cellStyle name="常规 19 2 2 9 2" xfId="15414"/>
    <cellStyle name="常规 19 2 2 9 3" xfId="15415"/>
    <cellStyle name="常规 19 2 2 9 4" xfId="15416"/>
    <cellStyle name="常规 19 2 2 9 5" xfId="15418"/>
    <cellStyle name="常规 19 2 2 9 6" xfId="15420"/>
    <cellStyle name="常规 19 2 2 9 7" xfId="15421"/>
    <cellStyle name="常规 19 2 2 9 8" xfId="15422"/>
    <cellStyle name="常规 19 2 20" xfId="13183"/>
    <cellStyle name="常规 19 2 21" xfId="13191"/>
    <cellStyle name="常规 19 2 22" xfId="13202"/>
    <cellStyle name="常规 19 2 23" xfId="13218"/>
    <cellStyle name="常规 19 2 24" xfId="11227"/>
    <cellStyle name="常规 19 2 25" xfId="11231"/>
    <cellStyle name="常规 19 2 26" xfId="15385"/>
    <cellStyle name="常规 19 2 3" xfId="15423"/>
    <cellStyle name="常规 19 2 3 10" xfId="1740"/>
    <cellStyle name="常规 19 2 3 10 2" xfId="5551"/>
    <cellStyle name="常规 19 2 3 10 3" xfId="5561"/>
    <cellStyle name="常规 19 2 3 10 4" xfId="5565"/>
    <cellStyle name="常规 19 2 3 10 5" xfId="15424"/>
    <cellStyle name="常规 19 2 3 10 6" xfId="15425"/>
    <cellStyle name="常规 19 2 3 10 7" xfId="15426"/>
    <cellStyle name="常规 19 2 3 10 8" xfId="15427"/>
    <cellStyle name="常规 19 2 3 11" xfId="972"/>
    <cellStyle name="常规 19 2 3 11 2" xfId="5573"/>
    <cellStyle name="常规 19 2 3 11 3" xfId="5594"/>
    <cellStyle name="常规 19 2 3 11 4" xfId="5601"/>
    <cellStyle name="常规 19 2 3 11 5" xfId="15428"/>
    <cellStyle name="常规 19 2 3 11 6" xfId="15429"/>
    <cellStyle name="常规 19 2 3 11 7" xfId="15430"/>
    <cellStyle name="常规 19 2 3 11 8" xfId="15431"/>
    <cellStyle name="常规 19 2 3 12" xfId="982"/>
    <cellStyle name="常规 19 2 3 12 2" xfId="4890"/>
    <cellStyle name="常规 19 2 3 12 3" xfId="5581"/>
    <cellStyle name="常规 19 2 3 12 4" xfId="15433"/>
    <cellStyle name="常规 19 2 3 12 5" xfId="9597"/>
    <cellStyle name="常规 19 2 3 12 6" xfId="9604"/>
    <cellStyle name="常规 19 2 3 12 7" xfId="15437"/>
    <cellStyle name="常规 19 2 3 12 8" xfId="15441"/>
    <cellStyle name="常规 19 2 3 13" xfId="3212"/>
    <cellStyle name="常规 19 2 3 13 2" xfId="4900"/>
    <cellStyle name="常规 19 2 3 13 3" xfId="5599"/>
    <cellStyle name="常规 19 2 3 13 4" xfId="15442"/>
    <cellStyle name="常规 19 2 3 13 5" xfId="15443"/>
    <cellStyle name="常规 19 2 3 13 6" xfId="15444"/>
    <cellStyle name="常规 19 2 3 13 7" xfId="15445"/>
    <cellStyle name="常规 19 2 3 13 8" xfId="15446"/>
    <cellStyle name="常规 19 2 3 14" xfId="5612"/>
    <cellStyle name="常规 19 2 3 14 2" xfId="15448"/>
    <cellStyle name="常规 19 2 3 14 3" xfId="15450"/>
    <cellStyle name="常规 19 2 3 14 4" xfId="15452"/>
    <cellStyle name="常规 19 2 3 14 5" xfId="1239"/>
    <cellStyle name="常规 19 2 3 14 6" xfId="2772"/>
    <cellStyle name="常规 19 2 3 14 7" xfId="11024"/>
    <cellStyle name="常规 19 2 3 14 8" xfId="15453"/>
    <cellStyle name="常规 19 2 3 15" xfId="15456"/>
    <cellStyle name="常规 19 2 3 15 2" xfId="15460"/>
    <cellStyle name="常规 19 2 3 15 3" xfId="15464"/>
    <cellStyle name="常规 19 2 3 15 4" xfId="15469"/>
    <cellStyle name="常规 19 2 3 15 5" xfId="15473"/>
    <cellStyle name="常规 19 2 3 15 6" xfId="15476"/>
    <cellStyle name="常规 19 2 3 15 7" xfId="15477"/>
    <cellStyle name="常规 19 2 3 16" xfId="15480"/>
    <cellStyle name="常规 19 2 3 17" xfId="15483"/>
    <cellStyle name="常规 19 2 3 18" xfId="15485"/>
    <cellStyle name="常规 19 2 3 19" xfId="15486"/>
    <cellStyle name="常规 19 2 3 2" xfId="3903"/>
    <cellStyle name="常规 19 2 3 2 10" xfId="15487"/>
    <cellStyle name="常规 19 2 3 2 10 2" xfId="13480"/>
    <cellStyle name="常规 19 2 3 2 10 3" xfId="13483"/>
    <cellStyle name="常规 19 2 3 2 10 4" xfId="15488"/>
    <cellStyle name="常规 19 2 3 2 10 5" xfId="5271"/>
    <cellStyle name="常规 19 2 3 2 10 6" xfId="2847"/>
    <cellStyle name="常规 19 2 3 2 10 7" xfId="2851"/>
    <cellStyle name="常规 19 2 3 2 10 8" xfId="5306"/>
    <cellStyle name="常规 19 2 3 2 11" xfId="15489"/>
    <cellStyle name="常规 19 2 3 2 11 2" xfId="13493"/>
    <cellStyle name="常规 19 2 3 2 11 3" xfId="13499"/>
    <cellStyle name="常规 19 2 3 2 11 4" xfId="15491"/>
    <cellStyle name="常规 19 2 3 2 11 5" xfId="5321"/>
    <cellStyle name="常规 19 2 3 2 11 6" xfId="5357"/>
    <cellStyle name="常规 19 2 3 2 11 7" xfId="5372"/>
    <cellStyle name="常规 19 2 3 2 11 8" xfId="15493"/>
    <cellStyle name="常规 19 2 3 2 12" xfId="15494"/>
    <cellStyle name="常规 19 2 3 2 12 2" xfId="13516"/>
    <cellStyle name="常规 19 2 3 2 12 3" xfId="13521"/>
    <cellStyle name="常规 19 2 3 2 12 4" xfId="15495"/>
    <cellStyle name="常规 19 2 3 2 12 5" xfId="5384"/>
    <cellStyle name="常规 19 2 3 2 12 6" xfId="5406"/>
    <cellStyle name="常规 19 2 3 2 12 7" xfId="5416"/>
    <cellStyle name="常规 19 2 3 2 12 8" xfId="15497"/>
    <cellStyle name="常规 19 2 3 2 13" xfId="15499"/>
    <cellStyle name="常规 19 2 3 2 13 2" xfId="3934"/>
    <cellStyle name="常规 19 2 3 2 13 3" xfId="12801"/>
    <cellStyle name="常规 19 2 3 2 13 4" xfId="12807"/>
    <cellStyle name="常规 19 2 3 2 13 5" xfId="4811"/>
    <cellStyle name="常规 19 2 3 2 13 6" xfId="4839"/>
    <cellStyle name="常规 19 2 3 2 13 7" xfId="15500"/>
    <cellStyle name="常规 19 2 3 2 14" xfId="11443"/>
    <cellStyle name="常规 19 2 3 2 15" xfId="783"/>
    <cellStyle name="常规 19 2 3 2 16" xfId="2574"/>
    <cellStyle name="常规 19 2 3 2 17" xfId="15505"/>
    <cellStyle name="常规 19 2 3 2 18" xfId="15506"/>
    <cellStyle name="常规 19 2 3 2 19" xfId="15507"/>
    <cellStyle name="常规 19 2 3 2 2" xfId="11596"/>
    <cellStyle name="常规 19 2 3 2 2 10" xfId="15508"/>
    <cellStyle name="常规 19 2 3 2 2 10 2" xfId="15509"/>
    <cellStyle name="常规 19 2 3 2 2 10 3" xfId="7301"/>
    <cellStyle name="常规 19 2 3 2 2 10 4" xfId="8248"/>
    <cellStyle name="常规 19 2 3 2 2 10 5" xfId="15510"/>
    <cellStyle name="常规 19 2 3 2 2 10 6" xfId="15511"/>
    <cellStyle name="常规 19 2 3 2 2 10 7" xfId="15513"/>
    <cellStyle name="常规 19 2 3 2 2 10 8" xfId="15515"/>
    <cellStyle name="常规 19 2 3 2 2 11" xfId="15516"/>
    <cellStyle name="常规 19 2 3 2 2 11 2" xfId="15517"/>
    <cellStyle name="常规 19 2 3 2 2 11 3" xfId="3912"/>
    <cellStyle name="常规 19 2 3 2 2 11 4" xfId="15521"/>
    <cellStyle name="常规 19 2 3 2 2 11 5" xfId="15522"/>
    <cellStyle name="常规 19 2 3 2 2 11 6" xfId="15525"/>
    <cellStyle name="常规 19 2 3 2 2 11 7" xfId="15528"/>
    <cellStyle name="常规 19 2 3 2 2 11 8" xfId="15530"/>
    <cellStyle name="常规 19 2 3 2 2 12" xfId="15531"/>
    <cellStyle name="常规 19 2 3 2 2 12 2" xfId="15533"/>
    <cellStyle name="常规 19 2 3 2 2 12 3" xfId="15536"/>
    <cellStyle name="常规 19 2 3 2 2 12 4" xfId="15538"/>
    <cellStyle name="常规 19 2 3 2 2 12 5" xfId="15540"/>
    <cellStyle name="常规 19 2 3 2 2 12 6" xfId="15542"/>
    <cellStyle name="常规 19 2 3 2 2 12 7" xfId="15543"/>
    <cellStyle name="常规 19 2 3 2 2 13" xfId="15545"/>
    <cellStyle name="常规 19 2 3 2 2 14" xfId="15547"/>
    <cellStyle name="常规 19 2 3 2 2 15" xfId="15548"/>
    <cellStyle name="常规 19 2 3 2 2 16" xfId="8350"/>
    <cellStyle name="常规 19 2 3 2 2 17" xfId="8355"/>
    <cellStyle name="常规 19 2 3 2 2 18" xfId="8815"/>
    <cellStyle name="常规 19 2 3 2 2 19" xfId="8819"/>
    <cellStyle name="常规 19 2 3 2 2 2" xfId="15550"/>
    <cellStyle name="常规 19 2 3 2 2 2 10" xfId="15552"/>
    <cellStyle name="常规 19 2 3 2 2 2 10 2" xfId="2044"/>
    <cellStyle name="常规 19 2 3 2 2 2 10 3" xfId="15553"/>
    <cellStyle name="常规 19 2 3 2 2 2 10 4" xfId="15554"/>
    <cellStyle name="常规 19 2 3 2 2 2 10 5" xfId="15555"/>
    <cellStyle name="常规 19 2 3 2 2 2 10 6" xfId="15556"/>
    <cellStyle name="常规 19 2 3 2 2 2 10 7" xfId="4463"/>
    <cellStyle name="常规 19 2 3 2 2 2 11" xfId="15558"/>
    <cellStyle name="常规 19 2 3 2 2 2 12" xfId="3217"/>
    <cellStyle name="常规 19 2 3 2 2 2 13" xfId="3237"/>
    <cellStyle name="常规 19 2 3 2 2 2 14" xfId="4398"/>
    <cellStyle name="常规 19 2 3 2 2 2 15" xfId="2748"/>
    <cellStyle name="常规 19 2 3 2 2 2 16" xfId="13"/>
    <cellStyle name="常规 19 2 3 2 2 2 17" xfId="15562"/>
    <cellStyle name="常规 19 2 3 2 2 2 2" xfId="6113"/>
    <cellStyle name="常规 19 2 3 2 2 2 2 2" xfId="6116"/>
    <cellStyle name="常规 19 2 3 2 2 2 2 3" xfId="6120"/>
    <cellStyle name="常规 19 2 3 2 2 2 2 4" xfId="9081"/>
    <cellStyle name="常规 19 2 3 2 2 2 2 5" xfId="8315"/>
    <cellStyle name="常规 19 2 3 2 2 2 2 6" xfId="8324"/>
    <cellStyle name="常规 19 2 3 2 2 2 2 7" xfId="15563"/>
    <cellStyle name="常规 19 2 3 2 2 2 2 8" xfId="15567"/>
    <cellStyle name="常规 19 2 3 2 2 2 3" xfId="6127"/>
    <cellStyle name="常规 19 2 3 2 2 2 3 2" xfId="7567"/>
    <cellStyle name="常规 19 2 3 2 2 2 3 3" xfId="7604"/>
    <cellStyle name="常规 19 2 3 2 2 2 3 4" xfId="3867"/>
    <cellStyle name="常规 19 2 3 2 2 2 3 5" xfId="10722"/>
    <cellStyle name="常规 19 2 3 2 2 2 3 6" xfId="10750"/>
    <cellStyle name="常规 19 2 3 2 2 2 3 7" xfId="10768"/>
    <cellStyle name="常规 19 2 3 2 2 2 3 8" xfId="10778"/>
    <cellStyle name="常规 19 2 3 2 2 2 4" xfId="1555"/>
    <cellStyle name="常规 19 2 3 2 2 2 4 2" xfId="4765"/>
    <cellStyle name="常规 19 2 3 2 2 2 4 3" xfId="4773"/>
    <cellStyle name="常规 19 2 3 2 2 2 4 4" xfId="5506"/>
    <cellStyle name="常规 19 2 3 2 2 2 4 5" xfId="5512"/>
    <cellStyle name="常规 19 2 3 2 2 2 4 6" xfId="10861"/>
    <cellStyle name="常规 19 2 3 2 2 2 4 7" xfId="10873"/>
    <cellStyle name="常规 19 2 3 2 2 2 4 8" xfId="15570"/>
    <cellStyle name="常规 19 2 3 2 2 2 5" xfId="1565"/>
    <cellStyle name="常规 19 2 3 2 2 2 5 2" xfId="10877"/>
    <cellStyle name="常规 19 2 3 2 2 2 5 3" xfId="10885"/>
    <cellStyle name="常规 19 2 3 2 2 2 5 4" xfId="10893"/>
    <cellStyle name="常规 19 2 3 2 2 2 5 5" xfId="15574"/>
    <cellStyle name="常规 19 2 3 2 2 2 5 6" xfId="15578"/>
    <cellStyle name="常规 19 2 3 2 2 2 5 7" xfId="15579"/>
    <cellStyle name="常规 19 2 3 2 2 2 5 8" xfId="15580"/>
    <cellStyle name="常规 19 2 3 2 2 2 6" xfId="6069"/>
    <cellStyle name="常规 19 2 3 2 2 2 6 2" xfId="10898"/>
    <cellStyle name="常规 19 2 3 2 2 2 6 3" xfId="10905"/>
    <cellStyle name="常规 19 2 3 2 2 2 6 4" xfId="10916"/>
    <cellStyle name="常规 19 2 3 2 2 2 6 5" xfId="14947"/>
    <cellStyle name="常规 19 2 3 2 2 2 6 6" xfId="15581"/>
    <cellStyle name="常规 19 2 3 2 2 2 6 7" xfId="15586"/>
    <cellStyle name="常规 19 2 3 2 2 2 6 8" xfId="15589"/>
    <cellStyle name="常规 19 2 3 2 2 2 7" xfId="9310"/>
    <cellStyle name="常规 19 2 3 2 2 2 7 2" xfId="1947"/>
    <cellStyle name="常规 19 2 3 2 2 2 7 3" xfId="9316"/>
    <cellStyle name="常规 19 2 3 2 2 2 7 4" xfId="10943"/>
    <cellStyle name="常规 19 2 3 2 2 2 7 5" xfId="15593"/>
    <cellStyle name="常规 19 2 3 2 2 2 7 6" xfId="15602"/>
    <cellStyle name="常规 19 2 3 2 2 2 7 7" xfId="15610"/>
    <cellStyle name="常规 19 2 3 2 2 2 7 8" xfId="15616"/>
    <cellStyle name="常规 19 2 3 2 2 2 8" xfId="9327"/>
    <cellStyle name="常规 19 2 3 2 2 2 8 2" xfId="10955"/>
    <cellStyle name="常规 19 2 3 2 2 2 8 3" xfId="10963"/>
    <cellStyle name="常规 19 2 3 2 2 2 8 4" xfId="15622"/>
    <cellStyle name="常规 19 2 3 2 2 2 8 5" xfId="11513"/>
    <cellStyle name="常规 19 2 3 2 2 2 8 6" xfId="6278"/>
    <cellStyle name="常规 19 2 3 2 2 2 8 7" xfId="6286"/>
    <cellStyle name="常规 19 2 3 2 2 2 8 8" xfId="15629"/>
    <cellStyle name="常规 19 2 3 2 2 2 9" xfId="2035"/>
    <cellStyle name="常规 19 2 3 2 2 2 9 2" xfId="2049"/>
    <cellStyle name="常规 19 2 3 2 2 2 9 3" xfId="2054"/>
    <cellStyle name="常规 19 2 3 2 2 2 9 4" xfId="6294"/>
    <cellStyle name="常规 19 2 3 2 2 2 9 5" xfId="6902"/>
    <cellStyle name="常规 19 2 3 2 2 2 9 6" xfId="6923"/>
    <cellStyle name="常规 19 2 3 2 2 2 9 7" xfId="4457"/>
    <cellStyle name="常规 19 2 3 2 2 2 9 8" xfId="4469"/>
    <cellStyle name="常规 19 2 3 2 2 3" xfId="83"/>
    <cellStyle name="常规 19 2 3 2 2 3 2" xfId="6142"/>
    <cellStyle name="常规 19 2 3 2 2 3 3" xfId="6151"/>
    <cellStyle name="常规 19 2 3 2 2 3 4" xfId="4780"/>
    <cellStyle name="常规 19 2 3 2 2 3 5" xfId="4785"/>
    <cellStyle name="常规 19 2 3 2 2 3 6" xfId="11195"/>
    <cellStyle name="常规 19 2 3 2 2 3 7" xfId="9333"/>
    <cellStyle name="常规 19 2 3 2 2 3 8" xfId="9339"/>
    <cellStyle name="常规 19 2 3 2 2 4" xfId="15632"/>
    <cellStyle name="常规 19 2 3 2 2 4 2" xfId="6172"/>
    <cellStyle name="常规 19 2 3 2 2 4 3" xfId="11294"/>
    <cellStyle name="常规 19 2 3 2 2 4 4" xfId="11349"/>
    <cellStyle name="常规 19 2 3 2 2 4 5" xfId="11357"/>
    <cellStyle name="常规 19 2 3 2 2 4 6" xfId="11370"/>
    <cellStyle name="常规 19 2 3 2 2 4 7" xfId="11390"/>
    <cellStyle name="常规 19 2 3 2 2 4 8" xfId="10678"/>
    <cellStyle name="常规 19 2 3 2 2 5" xfId="15532"/>
    <cellStyle name="常规 19 2 3 2 2 5 2" xfId="15633"/>
    <cellStyle name="常规 19 2 3 2 2 5 3" xfId="11405"/>
    <cellStyle name="常规 19 2 3 2 2 5 4" xfId="11409"/>
    <cellStyle name="常规 19 2 3 2 2 5 5" xfId="11413"/>
    <cellStyle name="常规 19 2 3 2 2 5 6" xfId="11424"/>
    <cellStyle name="常规 19 2 3 2 2 5 7" xfId="11430"/>
    <cellStyle name="常规 19 2 3 2 2 5 8" xfId="10695"/>
    <cellStyle name="常规 19 2 3 2 2 6" xfId="15535"/>
    <cellStyle name="常规 19 2 3 2 2 6 2" xfId="15634"/>
    <cellStyle name="常规 19 2 3 2 2 6 3" xfId="11441"/>
    <cellStyle name="常规 19 2 3 2 2 6 4" xfId="11455"/>
    <cellStyle name="常规 19 2 3 2 2 6 5" xfId="11461"/>
    <cellStyle name="常规 19 2 3 2 2 6 6" xfId="15636"/>
    <cellStyle name="常规 19 2 3 2 2 6 7" xfId="15640"/>
    <cellStyle name="常规 19 2 3 2 2 6 8" xfId="10702"/>
    <cellStyle name="常规 19 2 3 2 2 7" xfId="15537"/>
    <cellStyle name="常规 19 2 3 2 2 7 2" xfId="15643"/>
    <cellStyle name="常规 19 2 3 2 2 7 3" xfId="11466"/>
    <cellStyle name="常规 19 2 3 2 2 7 4" xfId="11471"/>
    <cellStyle name="常规 19 2 3 2 2 7 5" xfId="11476"/>
    <cellStyle name="常规 19 2 3 2 2 7 6" xfId="15645"/>
    <cellStyle name="常规 19 2 3 2 2 7 7" xfId="15649"/>
    <cellStyle name="常规 19 2 3 2 2 7 8" xfId="15653"/>
    <cellStyle name="常规 19 2 3 2 2 8" xfId="15539"/>
    <cellStyle name="常规 19 2 3 2 2 8 2" xfId="15656"/>
    <cellStyle name="常规 19 2 3 2 2 8 3" xfId="11481"/>
    <cellStyle name="常规 19 2 3 2 2 8 4" xfId="11492"/>
    <cellStyle name="常规 19 2 3 2 2 8 5" xfId="11499"/>
    <cellStyle name="常规 19 2 3 2 2 8 6" xfId="15658"/>
    <cellStyle name="常规 19 2 3 2 2 8 7" xfId="15662"/>
    <cellStyle name="常规 19 2 3 2 2 8 8" xfId="15666"/>
    <cellStyle name="常规 19 2 3 2 2 9" xfId="15541"/>
    <cellStyle name="常规 19 2 3 2 2 9 2" xfId="15671"/>
    <cellStyle name="常规 19 2 3 2 2 9 3" xfId="15673"/>
    <cellStyle name="常规 19 2 3 2 2 9 4" xfId="15676"/>
    <cellStyle name="常规 19 2 3 2 2 9 5" xfId="15679"/>
    <cellStyle name="常规 19 2 3 2 2 9 6" xfId="15681"/>
    <cellStyle name="常规 19 2 3 2 2 9 7" xfId="15685"/>
    <cellStyle name="常规 19 2 3 2 2 9 8" xfId="15689"/>
    <cellStyle name="常规 19 2 3 2 20" xfId="782"/>
    <cellStyle name="常规 19 2 3 2 3" xfId="7660"/>
    <cellStyle name="常规 19 2 3 2 3 10" xfId="15694"/>
    <cellStyle name="常规 19 2 3 2 3 10 2" xfId="15695"/>
    <cellStyle name="常规 19 2 3 2 3 10 3" xfId="5139"/>
    <cellStyle name="常规 19 2 3 2 3 10 4" xfId="5149"/>
    <cellStyle name="常规 19 2 3 2 3 10 5" xfId="10420"/>
    <cellStyle name="常规 19 2 3 2 3 10 6" xfId="10434"/>
    <cellStyle name="常规 19 2 3 2 3 10 7" xfId="15696"/>
    <cellStyle name="常规 19 2 3 2 3 11" xfId="15698"/>
    <cellStyle name="常规 19 2 3 2 3 12" xfId="15701"/>
    <cellStyle name="常规 19 2 3 2 3 13" xfId="15704"/>
    <cellStyle name="常规 19 2 3 2 3 14" xfId="15707"/>
    <cellStyle name="常规 19 2 3 2 3 15" xfId="15710"/>
    <cellStyle name="常规 19 2 3 2 3 16" xfId="15712"/>
    <cellStyle name="常规 19 2 3 2 3 17" xfId="11395"/>
    <cellStyle name="常规 19 2 3 2 3 2" xfId="7665"/>
    <cellStyle name="常规 19 2 3 2 3 2 2" xfId="15714"/>
    <cellStyle name="常规 19 2 3 2 3 2 3" xfId="15718"/>
    <cellStyle name="常规 19 2 3 2 3 2 4" xfId="4904"/>
    <cellStyle name="常规 19 2 3 2 3 2 5" xfId="4916"/>
    <cellStyle name="常规 19 2 3 2 3 2 6" xfId="15721"/>
    <cellStyle name="常规 19 2 3 2 3 2 7" xfId="2838"/>
    <cellStyle name="常规 19 2 3 2 3 2 8" xfId="1943"/>
    <cellStyle name="常规 19 2 3 2 3 3" xfId="7671"/>
    <cellStyle name="常规 19 2 3 2 3 3 2" xfId="15723"/>
    <cellStyle name="常规 19 2 3 2 3 3 3" xfId="15724"/>
    <cellStyle name="常规 19 2 3 2 3 3 4" xfId="4922"/>
    <cellStyle name="常规 19 2 3 2 3 3 5" xfId="4924"/>
    <cellStyle name="常规 19 2 3 2 3 3 6" xfId="15725"/>
    <cellStyle name="常规 19 2 3 2 3 3 7" xfId="9359"/>
    <cellStyle name="常规 19 2 3 2 3 3 8" xfId="9369"/>
    <cellStyle name="常规 19 2 3 2 3 4" xfId="8237"/>
    <cellStyle name="常规 19 2 3 2 3 4 2" xfId="15726"/>
    <cellStyle name="常规 19 2 3 2 3 4 3" xfId="15728"/>
    <cellStyle name="常规 19 2 3 2 3 4 4" xfId="15730"/>
    <cellStyle name="常规 19 2 3 2 3 4 5" xfId="15732"/>
    <cellStyle name="常规 19 2 3 2 3 4 6" xfId="15734"/>
    <cellStyle name="常规 19 2 3 2 3 4 7" xfId="15735"/>
    <cellStyle name="常规 19 2 3 2 3 4 8" xfId="10080"/>
    <cellStyle name="常规 19 2 3 2 3 5" xfId="8241"/>
    <cellStyle name="常规 19 2 3 2 3 5 2" xfId="15736"/>
    <cellStyle name="常规 19 2 3 2 3 5 3" xfId="15739"/>
    <cellStyle name="常规 19 2 3 2 3 5 4" xfId="15742"/>
    <cellStyle name="常规 19 2 3 2 3 5 5" xfId="15745"/>
    <cellStyle name="常规 19 2 3 2 3 5 6" xfId="15746"/>
    <cellStyle name="常规 19 2 3 2 3 5 7" xfId="15748"/>
    <cellStyle name="常规 19 2 3 2 3 5 8" xfId="10708"/>
    <cellStyle name="常规 19 2 3 2 3 6" xfId="13421"/>
    <cellStyle name="常规 19 2 3 2 3 6 2" xfId="15749"/>
    <cellStyle name="常规 19 2 3 2 3 6 3" xfId="15750"/>
    <cellStyle name="常规 19 2 3 2 3 6 4" xfId="15751"/>
    <cellStyle name="常规 19 2 3 2 3 6 5" xfId="15752"/>
    <cellStyle name="常规 19 2 3 2 3 6 6" xfId="15753"/>
    <cellStyle name="常规 19 2 3 2 3 6 7" xfId="1911"/>
    <cellStyle name="常规 19 2 3 2 3 6 8" xfId="3942"/>
    <cellStyle name="常规 19 2 3 2 3 7" xfId="15754"/>
    <cellStyle name="常规 19 2 3 2 3 7 2" xfId="5641"/>
    <cellStyle name="常规 19 2 3 2 3 7 3" xfId="15755"/>
    <cellStyle name="常规 19 2 3 2 3 7 4" xfId="15756"/>
    <cellStyle name="常规 19 2 3 2 3 7 5" xfId="15757"/>
    <cellStyle name="常规 19 2 3 2 3 7 6" xfId="15758"/>
    <cellStyle name="常规 19 2 3 2 3 7 7" xfId="3948"/>
    <cellStyle name="常规 19 2 3 2 3 7 8" xfId="3951"/>
    <cellStyle name="常规 19 2 3 2 3 8" xfId="15759"/>
    <cellStyle name="常规 19 2 3 2 3 8 2" xfId="5646"/>
    <cellStyle name="常规 19 2 3 2 3 8 3" xfId="15760"/>
    <cellStyle name="常规 19 2 3 2 3 8 4" xfId="15761"/>
    <cellStyle name="常规 19 2 3 2 3 8 5" xfId="15762"/>
    <cellStyle name="常规 19 2 3 2 3 8 6" xfId="15763"/>
    <cellStyle name="常规 19 2 3 2 3 8 7" xfId="3804"/>
    <cellStyle name="常规 19 2 3 2 3 8 8" xfId="4571"/>
    <cellStyle name="常规 19 2 3 2 3 9" xfId="15764"/>
    <cellStyle name="常规 19 2 3 2 3 9 2" xfId="15765"/>
    <cellStyle name="常规 19 2 3 2 3 9 3" xfId="15766"/>
    <cellStyle name="常规 19 2 3 2 3 9 4" xfId="15767"/>
    <cellStyle name="常规 19 2 3 2 3 9 5" xfId="15768"/>
    <cellStyle name="常规 19 2 3 2 3 9 6" xfId="15769"/>
    <cellStyle name="常规 19 2 3 2 3 9 7" xfId="4822"/>
    <cellStyle name="常规 19 2 3 2 3 9 8" xfId="4828"/>
    <cellStyle name="常规 19 2 3 2 4" xfId="6618"/>
    <cellStyle name="常规 19 2 3 2 4 2" xfId="15772"/>
    <cellStyle name="常规 19 2 3 2 4 3" xfId="15773"/>
    <cellStyle name="常规 19 2 3 2 4 4" xfId="15774"/>
    <cellStyle name="常规 19 2 3 2 4 5" xfId="15775"/>
    <cellStyle name="常规 19 2 3 2 4 6" xfId="15776"/>
    <cellStyle name="常规 19 2 3 2 4 7" xfId="4630"/>
    <cellStyle name="常规 19 2 3 2 4 8" xfId="1413"/>
    <cellStyle name="常规 19 2 3 2 5" xfId="12756"/>
    <cellStyle name="常规 19 2 3 2 5 2" xfId="15777"/>
    <cellStyle name="常规 19 2 3 2 5 3" xfId="9485"/>
    <cellStyle name="常规 19 2 3 2 5 4" xfId="9487"/>
    <cellStyle name="常规 19 2 3 2 5 5" xfId="15779"/>
    <cellStyle name="常规 19 2 3 2 5 6" xfId="15781"/>
    <cellStyle name="常规 19 2 3 2 5 7" xfId="15782"/>
    <cellStyle name="常规 19 2 3 2 5 8" xfId="15783"/>
    <cellStyle name="常规 19 2 3 2 6" xfId="12759"/>
    <cellStyle name="常规 19 2 3 2 6 2" xfId="15784"/>
    <cellStyle name="常规 19 2 3 2 6 3" xfId="15785"/>
    <cellStyle name="常规 19 2 3 2 6 4" xfId="15786"/>
    <cellStyle name="常规 19 2 3 2 6 5" xfId="15787"/>
    <cellStyle name="常规 19 2 3 2 6 6" xfId="11647"/>
    <cellStyle name="常规 19 2 3 2 6 7" xfId="11649"/>
    <cellStyle name="常规 19 2 3 2 6 8" xfId="15788"/>
    <cellStyle name="常规 19 2 3 2 7" xfId="12763"/>
    <cellStyle name="常规 19 2 3 2 7 2" xfId="15790"/>
    <cellStyle name="常规 19 2 3 2 7 3" xfId="15792"/>
    <cellStyle name="常规 19 2 3 2 7 4" xfId="15793"/>
    <cellStyle name="常规 19 2 3 2 7 5" xfId="15794"/>
    <cellStyle name="常规 19 2 3 2 7 6" xfId="15795"/>
    <cellStyle name="常规 19 2 3 2 7 7" xfId="1418"/>
    <cellStyle name="常规 19 2 3 2 7 8" xfId="1442"/>
    <cellStyle name="常规 19 2 3 2 8" xfId="9977"/>
    <cellStyle name="常规 19 2 3 2 8 2" xfId="8375"/>
    <cellStyle name="常规 19 2 3 2 8 3" xfId="8848"/>
    <cellStyle name="常规 19 2 3 2 8 4" xfId="8856"/>
    <cellStyle name="常规 19 2 3 2 8 5" xfId="9231"/>
    <cellStyle name="常规 19 2 3 2 8 6" xfId="9239"/>
    <cellStyle name="常规 19 2 3 2 8 7" xfId="1449"/>
    <cellStyle name="常规 19 2 3 2 8 8" xfId="1459"/>
    <cellStyle name="常规 19 2 3 2 9" xfId="9980"/>
    <cellStyle name="常规 19 2 3 2 9 2" xfId="8387"/>
    <cellStyle name="常规 19 2 3 2 9 3" xfId="8868"/>
    <cellStyle name="常规 19 2 3 2 9 4" xfId="8874"/>
    <cellStyle name="常规 19 2 3 2 9 5" xfId="9244"/>
    <cellStyle name="常规 19 2 3 2 9 6" xfId="9248"/>
    <cellStyle name="常规 19 2 3 2 9 7" xfId="15797"/>
    <cellStyle name="常规 19 2 3 2 9 8" xfId="15799"/>
    <cellStyle name="常规 19 2 3 20" xfId="15455"/>
    <cellStyle name="常规 19 2 3 21" xfId="15479"/>
    <cellStyle name="常规 19 2 3 22" xfId="15482"/>
    <cellStyle name="常规 19 2 3 3" xfId="13976"/>
    <cellStyle name="常规 19 2 3 3 10" xfId="7895"/>
    <cellStyle name="常规 19 2 3 3 10 2" xfId="15800"/>
    <cellStyle name="常规 19 2 3 3 10 3" xfId="15802"/>
    <cellStyle name="常规 19 2 3 3 10 4" xfId="15804"/>
    <cellStyle name="常规 19 2 3 3 10 5" xfId="50"/>
    <cellStyle name="常规 19 2 3 3 10 6" xfId="5705"/>
    <cellStyle name="常规 19 2 3 3 10 7" xfId="12419"/>
    <cellStyle name="常规 19 2 3 3 10 8" xfId="12938"/>
    <cellStyle name="常规 19 2 3 3 11" xfId="15805"/>
    <cellStyle name="常规 19 2 3 3 11 2" xfId="15806"/>
    <cellStyle name="常规 19 2 3 3 11 3" xfId="15808"/>
    <cellStyle name="常规 19 2 3 3 11 4" xfId="15810"/>
    <cellStyle name="常规 19 2 3 3 11 5" xfId="5719"/>
    <cellStyle name="常规 19 2 3 3 11 6" xfId="5728"/>
    <cellStyle name="常规 19 2 3 3 11 7" xfId="12429"/>
    <cellStyle name="常规 19 2 3 3 11 8" xfId="12953"/>
    <cellStyle name="常规 19 2 3 3 12" xfId="10373"/>
    <cellStyle name="常规 19 2 3 3 12 2" xfId="10375"/>
    <cellStyle name="常规 19 2 3 3 12 3" xfId="10378"/>
    <cellStyle name="常规 19 2 3 3 12 4" xfId="15812"/>
    <cellStyle name="常规 19 2 3 3 12 5" xfId="15814"/>
    <cellStyle name="常规 19 2 3 3 12 6" xfId="15815"/>
    <cellStyle name="常规 19 2 3 3 12 7" xfId="12962"/>
    <cellStyle name="常规 19 2 3 3 13" xfId="8300"/>
    <cellStyle name="常规 19 2 3 3 14" xfId="8403"/>
    <cellStyle name="常规 19 2 3 3 15" xfId="8455"/>
    <cellStyle name="常规 19 2 3 3 16" xfId="8539"/>
    <cellStyle name="常规 19 2 3 3 17" xfId="8589"/>
    <cellStyle name="常规 19 2 3 3 18" xfId="8609"/>
    <cellStyle name="常规 19 2 3 3 19" xfId="8645"/>
    <cellStyle name="常规 19 2 3 3 2" xfId="11610"/>
    <cellStyle name="常规 19 2 3 3 2 10" xfId="15817"/>
    <cellStyle name="常规 19 2 3 3 2 10 2" xfId="15818"/>
    <cellStyle name="常规 19 2 3 3 2 10 3" xfId="15819"/>
    <cellStyle name="常规 19 2 3 3 2 10 4" xfId="15820"/>
    <cellStyle name="常规 19 2 3 3 2 10 5" xfId="15821"/>
    <cellStyle name="常规 19 2 3 3 2 10 6" xfId="15822"/>
    <cellStyle name="常规 19 2 3 3 2 10 7" xfId="15824"/>
    <cellStyle name="常规 19 2 3 3 2 11" xfId="15826"/>
    <cellStyle name="常规 19 2 3 3 2 12" xfId="15828"/>
    <cellStyle name="常规 19 2 3 3 2 13" xfId="15830"/>
    <cellStyle name="常规 19 2 3 3 2 14" xfId="15832"/>
    <cellStyle name="常规 19 2 3 3 2 15" xfId="15834"/>
    <cellStyle name="常规 19 2 3 3 2 16" xfId="15837"/>
    <cellStyle name="常规 19 2 3 3 2 17" xfId="15839"/>
    <cellStyle name="常规 19 2 3 3 2 2" xfId="15842"/>
    <cellStyle name="常规 19 2 3 3 2 2 2" xfId="6607"/>
    <cellStyle name="常规 19 2 3 3 2 2 3" xfId="6613"/>
    <cellStyle name="常规 19 2 3 3 2 2 4" xfId="15846"/>
    <cellStyle name="常规 19 2 3 3 2 2 5" xfId="9055"/>
    <cellStyle name="常规 19 2 3 3 2 2 6" xfId="9062"/>
    <cellStyle name="常规 19 2 3 3 2 2 7" xfId="441"/>
    <cellStyle name="常规 19 2 3 3 2 2 8" xfId="363"/>
    <cellStyle name="常规 19 2 3 3 2 3" xfId="15849"/>
    <cellStyle name="常规 19 2 3 3 2 3 2" xfId="614"/>
    <cellStyle name="常规 19 2 3 3 2 3 3" xfId="714"/>
    <cellStyle name="常规 19 2 3 3 2 3 4" xfId="856"/>
    <cellStyle name="常规 19 2 3 3 2 3 5" xfId="896"/>
    <cellStyle name="常规 19 2 3 3 2 3 6" xfId="911"/>
    <cellStyle name="常规 19 2 3 3 2 3 7" xfId="596"/>
    <cellStyle name="常规 19 2 3 3 2 3 8" xfId="603"/>
    <cellStyle name="常规 19 2 3 3 2 4" xfId="15852"/>
    <cellStyle name="常规 19 2 3 3 2 4 2" xfId="1099"/>
    <cellStyle name="常规 19 2 3 3 2 4 3" xfId="1167"/>
    <cellStyle name="常规 19 2 3 3 2 4 4" xfId="1252"/>
    <cellStyle name="常规 19 2 3 3 2 4 5" xfId="1270"/>
    <cellStyle name="常规 19 2 3 3 2 4 6" xfId="523"/>
    <cellStyle name="常规 19 2 3 3 2 4 7" xfId="15854"/>
    <cellStyle name="常规 19 2 3 3 2 4 8" xfId="10808"/>
    <cellStyle name="常规 19 2 3 3 2 5" xfId="15856"/>
    <cellStyle name="常规 19 2 3 3 2 5 2" xfId="1409"/>
    <cellStyle name="常规 19 2 3 3 2 5 3" xfId="1473"/>
    <cellStyle name="常规 19 2 3 3 2 5 4" xfId="1583"/>
    <cellStyle name="常规 19 2 3 3 2 5 5" xfId="1608"/>
    <cellStyle name="常规 19 2 3 3 2 5 6" xfId="1621"/>
    <cellStyle name="常规 19 2 3 3 2 5 7" xfId="15858"/>
    <cellStyle name="常规 19 2 3 3 2 5 8" xfId="10819"/>
    <cellStyle name="常规 19 2 3 3 2 6" xfId="15859"/>
    <cellStyle name="常规 19 2 3 3 2 6 2" xfId="1708"/>
    <cellStyle name="常规 19 2 3 3 2 6 3" xfId="1753"/>
    <cellStyle name="常规 19 2 3 3 2 6 4" xfId="1778"/>
    <cellStyle name="常规 19 2 3 3 2 6 5" xfId="15861"/>
    <cellStyle name="常规 19 2 3 3 2 6 6" xfId="15863"/>
    <cellStyle name="常规 19 2 3 3 2 6 7" xfId="15865"/>
    <cellStyle name="常规 19 2 3 3 2 6 8" xfId="15868"/>
    <cellStyle name="常规 19 2 3 3 2 7" xfId="15869"/>
    <cellStyle name="常规 19 2 3 3 2 7 2" xfId="330"/>
    <cellStyle name="常规 19 2 3 3 2 7 3" xfId="1668"/>
    <cellStyle name="常规 19 2 3 3 2 7 4" xfId="15871"/>
    <cellStyle name="常规 19 2 3 3 2 7 5" xfId="15873"/>
    <cellStyle name="常规 19 2 3 3 2 7 6" xfId="15875"/>
    <cellStyle name="常规 19 2 3 3 2 7 7" xfId="15877"/>
    <cellStyle name="常规 19 2 3 3 2 7 8" xfId="15880"/>
    <cellStyle name="常规 19 2 3 3 2 8" xfId="11510"/>
    <cellStyle name="常规 19 2 3 3 2 8 2" xfId="1712"/>
    <cellStyle name="常规 19 2 3 3 2 8 3" xfId="1741"/>
    <cellStyle name="常规 19 2 3 3 2 8 4" xfId="7427"/>
    <cellStyle name="常规 19 2 3 3 2 8 5" xfId="6088"/>
    <cellStyle name="常规 19 2 3 3 2 8 6" xfId="6098"/>
    <cellStyle name="常规 19 2 3 3 2 8 7" xfId="7454"/>
    <cellStyle name="常规 19 2 3 3 2 8 8" xfId="15882"/>
    <cellStyle name="常规 19 2 3 3 2 9" xfId="11527"/>
    <cellStyle name="常规 19 2 3 3 2 9 2" xfId="1758"/>
    <cellStyle name="常规 19 2 3 3 2 9 3" xfId="3780"/>
    <cellStyle name="常规 19 2 3 3 2 9 4" xfId="3809"/>
    <cellStyle name="常规 19 2 3 3 2 9 5" xfId="1503"/>
    <cellStyle name="常规 19 2 3 3 2 9 6" xfId="1519"/>
    <cellStyle name="常规 19 2 3 3 2 9 7" xfId="15884"/>
    <cellStyle name="常规 19 2 3 3 2 9 8" xfId="15887"/>
    <cellStyle name="常规 19 2 3 3 3" xfId="7678"/>
    <cellStyle name="常规 19 2 3 3 3 2" xfId="15891"/>
    <cellStyle name="常规 19 2 3 3 3 3" xfId="15897"/>
    <cellStyle name="常规 19 2 3 3 3 4" xfId="15903"/>
    <cellStyle name="常规 19 2 3 3 3 5" xfId="15905"/>
    <cellStyle name="常规 19 2 3 3 3 6" xfId="15906"/>
    <cellStyle name="常规 19 2 3 3 3 7" xfId="15907"/>
    <cellStyle name="常规 19 2 3 3 3 8" xfId="336"/>
    <cellStyle name="常规 19 2 3 3 4" xfId="1957"/>
    <cellStyle name="常规 19 2 3 3 4 2" xfId="15911"/>
    <cellStyle name="常规 19 2 3 3 4 3" xfId="15915"/>
    <cellStyle name="常规 19 2 3 3 4 4" xfId="15918"/>
    <cellStyle name="常规 19 2 3 3 4 5" xfId="15919"/>
    <cellStyle name="常规 19 2 3 3 4 6" xfId="15920"/>
    <cellStyle name="常规 19 2 3 3 4 7" xfId="15921"/>
    <cellStyle name="常规 19 2 3 3 4 8" xfId="11614"/>
    <cellStyle name="常规 19 2 3 3 5" xfId="12767"/>
    <cellStyle name="常规 19 2 3 3 5 2" xfId="15923"/>
    <cellStyle name="常规 19 2 3 3 5 3" xfId="15927"/>
    <cellStyle name="常规 19 2 3 3 5 4" xfId="15930"/>
    <cellStyle name="常规 19 2 3 3 5 5" xfId="15932"/>
    <cellStyle name="常规 19 2 3 3 5 6" xfId="15935"/>
    <cellStyle name="常规 19 2 3 3 5 7" xfId="15938"/>
    <cellStyle name="常规 19 2 3 3 5 8" xfId="11671"/>
    <cellStyle name="常规 19 2 3 3 6" xfId="12772"/>
    <cellStyle name="常规 19 2 3 3 6 2" xfId="15941"/>
    <cellStyle name="常规 19 2 3 3 6 3" xfId="15943"/>
    <cellStyle name="常规 19 2 3 3 6 4" xfId="15944"/>
    <cellStyle name="常规 19 2 3 3 6 5" xfId="15945"/>
    <cellStyle name="常规 19 2 3 3 6 6" xfId="14745"/>
    <cellStyle name="常规 19 2 3 3 6 7" xfId="11753"/>
    <cellStyle name="常规 19 2 3 3 6 8" xfId="11698"/>
    <cellStyle name="常规 19 2 3 3 7" xfId="12778"/>
    <cellStyle name="常规 19 2 3 3 7 2" xfId="15948"/>
    <cellStyle name="常规 19 2 3 3 7 3" xfId="15951"/>
    <cellStyle name="常规 19 2 3 3 7 4" xfId="15953"/>
    <cellStyle name="常规 19 2 3 3 7 5" xfId="11297"/>
    <cellStyle name="常规 19 2 3 3 7 6" xfId="11314"/>
    <cellStyle name="常规 19 2 3 3 7 7" xfId="1495"/>
    <cellStyle name="常规 19 2 3 3 7 8" xfId="1538"/>
    <cellStyle name="常规 19 2 3 3 8" xfId="15959"/>
    <cellStyle name="常规 19 2 3 3 8 2" xfId="6862"/>
    <cellStyle name="常规 19 2 3 3 8 3" xfId="6187"/>
    <cellStyle name="常规 19 2 3 3 8 4" xfId="6211"/>
    <cellStyle name="常规 19 2 3 3 8 5" xfId="345"/>
    <cellStyle name="常规 19 2 3 3 8 6" xfId="566"/>
    <cellStyle name="常规 19 2 3 3 8 7" xfId="1560"/>
    <cellStyle name="常规 19 2 3 3 8 8" xfId="1572"/>
    <cellStyle name="常规 19 2 3 3 9" xfId="15961"/>
    <cellStyle name="常规 19 2 3 3 9 2" xfId="15125"/>
    <cellStyle name="常规 19 2 3 3 9 3" xfId="6250"/>
    <cellStyle name="常规 19 2 3 3 9 4" xfId="6266"/>
    <cellStyle name="常规 19 2 3 3 9 5" xfId="2292"/>
    <cellStyle name="常规 19 2 3 3 9 6" xfId="11332"/>
    <cellStyle name="常规 19 2 3 3 9 7" xfId="11334"/>
    <cellStyle name="常规 19 2 3 3 9 8" xfId="11736"/>
    <cellStyle name="常规 19 2 3 4" xfId="13979"/>
    <cellStyle name="常规 19 2 3 4 10" xfId="9040"/>
    <cellStyle name="常规 19 2 3 4 10 2" xfId="15962"/>
    <cellStyle name="常规 19 2 3 4 10 3" xfId="15963"/>
    <cellStyle name="常规 19 2 3 4 10 4" xfId="15965"/>
    <cellStyle name="常规 19 2 3 4 10 5" xfId="15967"/>
    <cellStyle name="常规 19 2 3 4 10 6" xfId="12676"/>
    <cellStyle name="常规 19 2 3 4 10 7" xfId="12684"/>
    <cellStyle name="常规 19 2 3 4 10 8" xfId="12690"/>
    <cellStyle name="常规 19 2 3 4 11" xfId="9044"/>
    <cellStyle name="常规 19 2 3 4 11 2" xfId="15969"/>
    <cellStyle name="常规 19 2 3 4 11 3" xfId="15971"/>
    <cellStyle name="常规 19 2 3 4 11 4" xfId="15973"/>
    <cellStyle name="常规 19 2 3 4 11 5" xfId="14673"/>
    <cellStyle name="常规 19 2 3 4 11 6" xfId="12696"/>
    <cellStyle name="常规 19 2 3 4 11 7" xfId="12705"/>
    <cellStyle name="常规 19 2 3 4 11 8" xfId="12718"/>
    <cellStyle name="常规 19 2 3 4 12" xfId="9405"/>
    <cellStyle name="常规 19 2 3 4 12 2" xfId="15975"/>
    <cellStyle name="常规 19 2 3 4 12 3" xfId="15977"/>
    <cellStyle name="常规 19 2 3 4 12 4" xfId="15979"/>
    <cellStyle name="常规 19 2 3 4 12 5" xfId="15981"/>
    <cellStyle name="常规 19 2 3 4 12 6" xfId="8557"/>
    <cellStyle name="常规 19 2 3 4 12 7" xfId="8564"/>
    <cellStyle name="常规 19 2 3 4 13" xfId="9408"/>
    <cellStyle name="常规 19 2 3 4 14" xfId="9784"/>
    <cellStyle name="常规 19 2 3 4 15" xfId="9787"/>
    <cellStyle name="常规 19 2 3 4 16" xfId="15982"/>
    <cellStyle name="常规 19 2 3 4 17" xfId="15984"/>
    <cellStyle name="常规 19 2 3 4 18" xfId="6513"/>
    <cellStyle name="常规 19 2 3 4 19" xfId="1171"/>
    <cellStyle name="常规 19 2 3 4 2" xfId="9565"/>
    <cellStyle name="常规 19 2 3 4 2 10" xfId="14219"/>
    <cellStyle name="常规 19 2 3 4 2 10 2" xfId="15986"/>
    <cellStyle name="常规 19 2 3 4 2 10 3" xfId="15987"/>
    <cellStyle name="常规 19 2 3 4 2 10 4" xfId="15988"/>
    <cellStyle name="常规 19 2 3 4 2 10 5" xfId="15989"/>
    <cellStyle name="常规 19 2 3 4 2 10 6" xfId="15990"/>
    <cellStyle name="常规 19 2 3 4 2 10 7" xfId="15991"/>
    <cellStyle name="常规 19 2 3 4 2 11" xfId="14225"/>
    <cellStyle name="常规 19 2 3 4 2 12" xfId="14231"/>
    <cellStyle name="常规 19 2 3 4 2 13" xfId="14238"/>
    <cellStyle name="常规 19 2 3 4 2 14" xfId="14244"/>
    <cellStyle name="常规 19 2 3 4 2 15" xfId="4636"/>
    <cellStyle name="常规 19 2 3 4 2 16" xfId="4610"/>
    <cellStyle name="常规 19 2 3 4 2 17" xfId="11749"/>
    <cellStyle name="常规 19 2 3 4 2 2" xfId="9569"/>
    <cellStyle name="常规 19 2 3 4 2 2 2" xfId="5889"/>
    <cellStyle name="常规 19 2 3 4 2 2 3" xfId="2658"/>
    <cellStyle name="常规 19 2 3 4 2 2 4" xfId="1987"/>
    <cellStyle name="常规 19 2 3 4 2 2 5" xfId="9159"/>
    <cellStyle name="常规 19 2 3 4 2 2 6" xfId="9162"/>
    <cellStyle name="常规 19 2 3 4 2 2 7" xfId="1034"/>
    <cellStyle name="常规 19 2 3 4 2 2 8" xfId="1052"/>
    <cellStyle name="常规 19 2 3 4 2 3" xfId="9572"/>
    <cellStyle name="常规 19 2 3 4 2 3 2" xfId="2095"/>
    <cellStyle name="常规 19 2 3 4 2 3 3" xfId="2175"/>
    <cellStyle name="常规 19 2 3 4 2 3 4" xfId="2112"/>
    <cellStyle name="常规 19 2 3 4 2 3 5" xfId="2140"/>
    <cellStyle name="常规 19 2 3 4 2 3 6" xfId="2172"/>
    <cellStyle name="常规 19 2 3 4 2 3 7" xfId="1064"/>
    <cellStyle name="常规 19 2 3 4 2 3 8" xfId="1077"/>
    <cellStyle name="常规 19 2 3 4 2 4" xfId="15995"/>
    <cellStyle name="常规 19 2 3 4 2 4 2" xfId="2452"/>
    <cellStyle name="常规 19 2 3 4 2 4 3" xfId="2547"/>
    <cellStyle name="常规 19 2 3 4 2 4 4" xfId="2188"/>
    <cellStyle name="常规 19 2 3 4 2 4 5" xfId="2227"/>
    <cellStyle name="常规 19 2 3 4 2 4 6" xfId="872"/>
    <cellStyle name="常规 19 2 3 4 2 4 7" xfId="129"/>
    <cellStyle name="常规 19 2 3 4 2 4 8" xfId="15997"/>
    <cellStyle name="常规 19 2 3 4 2 5" xfId="16001"/>
    <cellStyle name="常规 19 2 3 4 2 5 2" xfId="2676"/>
    <cellStyle name="常规 19 2 3 4 2 5 3" xfId="2739"/>
    <cellStyle name="常规 19 2 3 4 2 5 4" xfId="2122"/>
    <cellStyle name="常规 19 2 3 4 2 5 5" xfId="16002"/>
    <cellStyle name="常规 19 2 3 4 2 5 6" xfId="16003"/>
    <cellStyle name="常规 19 2 3 4 2 5 7" xfId="16004"/>
    <cellStyle name="常规 19 2 3 4 2 5 8" xfId="16005"/>
    <cellStyle name="常规 19 2 3 4 2 6" xfId="6429"/>
    <cellStyle name="常规 19 2 3 4 2 6 2" xfId="16008"/>
    <cellStyle name="常规 19 2 3 4 2 6 3" xfId="16010"/>
    <cellStyle name="常规 19 2 3 4 2 6 4" xfId="16011"/>
    <cellStyle name="常规 19 2 3 4 2 6 5" xfId="16012"/>
    <cellStyle name="常规 19 2 3 4 2 6 6" xfId="3323"/>
    <cellStyle name="常规 19 2 3 4 2 6 7" xfId="3334"/>
    <cellStyle name="常规 19 2 3 4 2 6 8" xfId="4440"/>
    <cellStyle name="常规 19 2 3 4 2 7" xfId="6747"/>
    <cellStyle name="常规 19 2 3 4 2 7 2" xfId="16015"/>
    <cellStyle name="常规 19 2 3 4 2 7 3" xfId="16016"/>
    <cellStyle name="常规 19 2 3 4 2 7 4" xfId="16017"/>
    <cellStyle name="常规 19 2 3 4 2 7 5" xfId="16018"/>
    <cellStyle name="常规 19 2 3 4 2 7 6" xfId="5552"/>
    <cellStyle name="常规 19 2 3 4 2 7 7" xfId="5562"/>
    <cellStyle name="常规 19 2 3 4 2 7 8" xfId="5566"/>
    <cellStyle name="常规 19 2 3 4 2 8" xfId="16020"/>
    <cellStyle name="常规 19 2 3 4 2 8 2" xfId="16022"/>
    <cellStyle name="常规 19 2 3 4 2 8 3" xfId="16024"/>
    <cellStyle name="常规 19 2 3 4 2 8 4" xfId="16026"/>
    <cellStyle name="常规 19 2 3 4 2 8 5" xfId="16028"/>
    <cellStyle name="常规 19 2 3 4 2 8 6" xfId="5574"/>
    <cellStyle name="常规 19 2 3 4 2 8 7" xfId="5595"/>
    <cellStyle name="常规 19 2 3 4 2 8 8" xfId="5602"/>
    <cellStyle name="常规 19 2 3 4 2 9" xfId="16030"/>
    <cellStyle name="常规 19 2 3 4 2 9 2" xfId="16032"/>
    <cellStyle name="常规 19 2 3 4 2 9 3" xfId="12434"/>
    <cellStyle name="常规 19 2 3 4 2 9 4" xfId="12437"/>
    <cellStyle name="常规 19 2 3 4 2 9 5" xfId="16034"/>
    <cellStyle name="常规 19 2 3 4 2 9 6" xfId="4891"/>
    <cellStyle name="常规 19 2 3 4 2 9 7" xfId="5582"/>
    <cellStyle name="常规 19 2 3 4 2 9 8" xfId="15434"/>
    <cellStyle name="常规 19 2 3 4 3" xfId="16036"/>
    <cellStyle name="常规 19 2 3 4 3 2" xfId="16037"/>
    <cellStyle name="常规 19 2 3 4 3 3" xfId="16038"/>
    <cellStyle name="常规 19 2 3 4 3 4" xfId="16040"/>
    <cellStyle name="常规 19 2 3 4 3 5" xfId="16042"/>
    <cellStyle name="常规 19 2 3 4 3 6" xfId="16044"/>
    <cellStyle name="常规 19 2 3 4 3 7" xfId="16046"/>
    <cellStyle name="常规 19 2 3 4 3 8" xfId="16048"/>
    <cellStyle name="常规 19 2 3 4 4" xfId="16051"/>
    <cellStyle name="常规 19 2 3 4 4 2" xfId="16052"/>
    <cellStyle name="常规 19 2 3 4 4 3" xfId="16054"/>
    <cellStyle name="常规 19 2 3 4 4 4" xfId="16056"/>
    <cellStyle name="常规 19 2 3 4 4 5" xfId="16057"/>
    <cellStyle name="常规 19 2 3 4 4 6" xfId="7191"/>
    <cellStyle name="常规 19 2 3 4 4 7" xfId="5431"/>
    <cellStyle name="常规 19 2 3 4 4 8" xfId="16058"/>
    <cellStyle name="常规 19 2 3 4 5" xfId="16061"/>
    <cellStyle name="常规 19 2 3 4 5 2" xfId="16062"/>
    <cellStyle name="常规 19 2 3 4 5 3" xfId="16063"/>
    <cellStyle name="常规 19 2 3 4 5 4" xfId="16064"/>
    <cellStyle name="常规 19 2 3 4 5 5" xfId="16065"/>
    <cellStyle name="常规 19 2 3 4 5 6" xfId="16066"/>
    <cellStyle name="常规 19 2 3 4 5 7" xfId="16068"/>
    <cellStyle name="常规 19 2 3 4 5 8" xfId="16070"/>
    <cellStyle name="常规 19 2 3 4 6" xfId="10214"/>
    <cellStyle name="常规 19 2 3 4 6 2" xfId="16072"/>
    <cellStyle name="常规 19 2 3 4 6 3" xfId="16074"/>
    <cellStyle name="常规 19 2 3 4 6 4" xfId="16075"/>
    <cellStyle name="常规 19 2 3 4 6 5" xfId="16076"/>
    <cellStyle name="常规 19 2 3 4 6 6" xfId="7791"/>
    <cellStyle name="常规 19 2 3 4 6 7" xfId="7793"/>
    <cellStyle name="常规 19 2 3 4 6 8" xfId="16077"/>
    <cellStyle name="常规 19 2 3 4 7" xfId="10218"/>
    <cellStyle name="常规 19 2 3 4 7 2" xfId="16078"/>
    <cellStyle name="常规 19 2 3 4 7 3" xfId="16079"/>
    <cellStyle name="常规 19 2 3 4 7 4" xfId="16080"/>
    <cellStyle name="常规 19 2 3 4 7 5" xfId="583"/>
    <cellStyle name="常规 19 2 3 4 7 6" xfId="11351"/>
    <cellStyle name="常规 19 2 3 4 7 7" xfId="1603"/>
    <cellStyle name="常规 19 2 3 4 7 8" xfId="16081"/>
    <cellStyle name="常规 19 2 3 4 8" xfId="16084"/>
    <cellStyle name="常规 19 2 3 4 8 2" xfId="16085"/>
    <cellStyle name="常规 19 2 3 4 8 3" xfId="71"/>
    <cellStyle name="常规 19 2 3 4 8 4" xfId="6344"/>
    <cellStyle name="常规 19 2 3 4 8 5" xfId="4596"/>
    <cellStyle name="常规 19 2 3 4 8 6" xfId="6353"/>
    <cellStyle name="常规 19 2 3 4 8 7" xfId="16088"/>
    <cellStyle name="常规 19 2 3 4 8 8" xfId="16091"/>
    <cellStyle name="常规 19 2 3 4 9" xfId="16093"/>
    <cellStyle name="常规 19 2 3 4 9 2" xfId="16095"/>
    <cellStyle name="常规 19 2 3 4 9 3" xfId="16097"/>
    <cellStyle name="常规 19 2 3 4 9 4" xfId="16099"/>
    <cellStyle name="常规 19 2 3 4 9 5" xfId="2385"/>
    <cellStyle name="常规 19 2 3 4 9 6" xfId="11353"/>
    <cellStyle name="常规 19 2 3 4 9 7" xfId="16100"/>
    <cellStyle name="常规 19 2 3 4 9 8" xfId="16101"/>
    <cellStyle name="常规 19 2 3 5" xfId="13984"/>
    <cellStyle name="常规 19 2 3 5 10" xfId="3712"/>
    <cellStyle name="常规 19 2 3 5 10 2" xfId="4691"/>
    <cellStyle name="常规 19 2 3 5 10 3" xfId="16102"/>
    <cellStyle name="常规 19 2 3 5 10 4" xfId="16104"/>
    <cellStyle name="常规 19 2 3 5 10 5" xfId="16106"/>
    <cellStyle name="常规 19 2 3 5 10 6" xfId="16108"/>
    <cellStyle name="常规 19 2 3 5 10 7" xfId="16109"/>
    <cellStyle name="常规 19 2 3 5 11" xfId="11767"/>
    <cellStyle name="常规 19 2 3 5 12" xfId="16111"/>
    <cellStyle name="常规 19 2 3 5 13" xfId="3292"/>
    <cellStyle name="常规 19 2 3 5 14" xfId="3348"/>
    <cellStyle name="常规 19 2 3 5 15" xfId="16113"/>
    <cellStyle name="常规 19 2 3 5 16" xfId="16115"/>
    <cellStyle name="常规 19 2 3 5 17" xfId="16117"/>
    <cellStyle name="常规 19 2 3 5 2" xfId="9580"/>
    <cellStyle name="常规 19 2 3 5 2 2" xfId="11898"/>
    <cellStyle name="常规 19 2 3 5 2 3" xfId="16120"/>
    <cellStyle name="常规 19 2 3 5 2 4" xfId="16122"/>
    <cellStyle name="常规 19 2 3 5 2 5" xfId="16123"/>
    <cellStyle name="常规 19 2 3 5 2 6" xfId="16124"/>
    <cellStyle name="常规 19 2 3 5 2 7" xfId="16125"/>
    <cellStyle name="常规 19 2 3 5 2 8" xfId="16126"/>
    <cellStyle name="常规 19 2 3 5 3" xfId="16127"/>
    <cellStyle name="常规 19 2 3 5 3 2" xfId="16128"/>
    <cellStyle name="常规 19 2 3 5 3 3" xfId="16129"/>
    <cellStyle name="常规 19 2 3 5 3 4" xfId="16130"/>
    <cellStyle name="常规 19 2 3 5 3 5" xfId="16131"/>
    <cellStyle name="常规 19 2 3 5 3 6" xfId="16132"/>
    <cellStyle name="常规 19 2 3 5 3 7" xfId="16133"/>
    <cellStyle name="常规 19 2 3 5 3 8" xfId="16134"/>
    <cellStyle name="常规 19 2 3 5 4" xfId="16135"/>
    <cellStyle name="常规 19 2 3 5 4 2" xfId="16136"/>
    <cellStyle name="常规 19 2 3 5 4 3" xfId="16137"/>
    <cellStyle name="常规 19 2 3 5 4 4" xfId="16138"/>
    <cellStyle name="常规 19 2 3 5 4 5" xfId="16139"/>
    <cellStyle name="常规 19 2 3 5 4 6" xfId="16140"/>
    <cellStyle name="常规 19 2 3 5 4 7" xfId="16141"/>
    <cellStyle name="常规 19 2 3 5 4 8" xfId="16142"/>
    <cellStyle name="常规 19 2 3 5 5" xfId="16143"/>
    <cellStyle name="常规 19 2 3 5 5 2" xfId="16144"/>
    <cellStyle name="常规 19 2 3 5 5 3" xfId="16145"/>
    <cellStyle name="常规 19 2 3 5 5 4" xfId="16146"/>
    <cellStyle name="常规 19 2 3 5 5 5" xfId="16147"/>
    <cellStyle name="常规 19 2 3 5 5 6" xfId="16148"/>
    <cellStyle name="常规 19 2 3 5 5 7" xfId="16149"/>
    <cellStyle name="常规 19 2 3 5 5 8" xfId="16150"/>
    <cellStyle name="常规 19 2 3 5 6" xfId="16151"/>
    <cellStyle name="常规 19 2 3 5 6 2" xfId="16152"/>
    <cellStyle name="常规 19 2 3 5 6 3" xfId="16153"/>
    <cellStyle name="常规 19 2 3 5 6 4" xfId="16154"/>
    <cellStyle name="常规 19 2 3 5 6 5" xfId="16155"/>
    <cellStyle name="常规 19 2 3 5 6 6" xfId="16156"/>
    <cellStyle name="常规 19 2 3 5 6 7" xfId="16157"/>
    <cellStyle name="常规 19 2 3 5 6 8" xfId="16158"/>
    <cellStyle name="常规 19 2 3 5 7" xfId="16159"/>
    <cellStyle name="常规 19 2 3 5 7 2" xfId="16161"/>
    <cellStyle name="常规 19 2 3 5 7 3" xfId="16162"/>
    <cellStyle name="常规 19 2 3 5 7 4" xfId="16163"/>
    <cellStyle name="常规 19 2 3 5 7 5" xfId="11361"/>
    <cellStyle name="常规 19 2 3 5 7 6" xfId="11365"/>
    <cellStyle name="常规 19 2 3 5 7 7" xfId="16164"/>
    <cellStyle name="常规 19 2 3 5 7 8" xfId="16165"/>
    <cellStyle name="常规 19 2 3 5 8" xfId="16167"/>
    <cellStyle name="常规 19 2 3 5 8 2" xfId="16169"/>
    <cellStyle name="常规 19 2 3 5 8 3" xfId="16171"/>
    <cellStyle name="常规 19 2 3 5 8 4" xfId="16172"/>
    <cellStyle name="常规 19 2 3 5 8 5" xfId="6456"/>
    <cellStyle name="常规 19 2 3 5 8 6" xfId="6465"/>
    <cellStyle name="常规 19 2 3 5 8 7" xfId="16173"/>
    <cellStyle name="常规 19 2 3 5 8 8" xfId="16174"/>
    <cellStyle name="常规 19 2 3 5 9" xfId="16176"/>
    <cellStyle name="常规 19 2 3 5 9 2" xfId="16178"/>
    <cellStyle name="常规 19 2 3 5 9 3" xfId="16181"/>
    <cellStyle name="常规 19 2 3 5 9 4" xfId="16184"/>
    <cellStyle name="常规 19 2 3 5 9 5" xfId="16187"/>
    <cellStyle name="常规 19 2 3 5 9 6" xfId="16190"/>
    <cellStyle name="常规 19 2 3 5 9 7" xfId="16191"/>
    <cellStyle name="常规 19 2 3 5 9 8" xfId="16192"/>
    <cellStyle name="常规 19 2 3 6" xfId="13989"/>
    <cellStyle name="常规 19 2 3 6 2" xfId="16193"/>
    <cellStyle name="常规 19 2 3 6 3" xfId="16194"/>
    <cellStyle name="常规 19 2 3 6 4" xfId="16195"/>
    <cellStyle name="常规 19 2 3 6 5" xfId="5795"/>
    <cellStyle name="常规 19 2 3 6 6" xfId="5799"/>
    <cellStyle name="常规 19 2 3 6 7" xfId="16196"/>
    <cellStyle name="常规 19 2 3 6 8" xfId="16197"/>
    <cellStyle name="常规 19 2 3 7" xfId="16201"/>
    <cellStyle name="常规 19 2 3 7 2" xfId="16202"/>
    <cellStyle name="常规 19 2 3 7 3" xfId="16203"/>
    <cellStyle name="常规 19 2 3 7 4" xfId="16204"/>
    <cellStyle name="常规 19 2 3 7 5" xfId="16205"/>
    <cellStyle name="常规 19 2 3 7 6" xfId="16206"/>
    <cellStyle name="常规 19 2 3 7 7" xfId="16208"/>
    <cellStyle name="常规 19 2 3 7 8" xfId="16210"/>
    <cellStyle name="常规 19 2 3 8" xfId="16215"/>
    <cellStyle name="常规 19 2 3 8 2" xfId="16216"/>
    <cellStyle name="常规 19 2 3 8 3" xfId="16217"/>
    <cellStyle name="常规 19 2 3 8 4" xfId="16218"/>
    <cellStyle name="常规 19 2 3 8 5" xfId="16219"/>
    <cellStyle name="常规 19 2 3 8 6" xfId="16221"/>
    <cellStyle name="常规 19 2 3 8 7" xfId="16222"/>
    <cellStyle name="常规 19 2 3 8 8" xfId="16223"/>
    <cellStyle name="常规 19 2 3 9" xfId="16228"/>
    <cellStyle name="常规 19 2 3 9 2" xfId="15825"/>
    <cellStyle name="常规 19 2 3 9 3" xfId="15827"/>
    <cellStyle name="常规 19 2 3 9 4" xfId="15829"/>
    <cellStyle name="常规 19 2 3 9 5" xfId="15831"/>
    <cellStyle name="常规 19 2 3 9 6" xfId="15833"/>
    <cellStyle name="常规 19 2 3 9 7" xfId="15836"/>
    <cellStyle name="常规 19 2 3 9 8" xfId="15838"/>
    <cellStyle name="常规 19 2 4" xfId="12446"/>
    <cellStyle name="常规 19 2 4 10" xfId="12488"/>
    <cellStyle name="常规 19 2 4 10 2" xfId="12490"/>
    <cellStyle name="常规 19 2 4 10 3" xfId="12090"/>
    <cellStyle name="常规 19 2 4 10 4" xfId="12148"/>
    <cellStyle name="常规 19 2 4 10 5" xfId="16230"/>
    <cellStyle name="常规 19 2 4 10 6" xfId="16231"/>
    <cellStyle name="常规 19 2 4 10 7" xfId="16233"/>
    <cellStyle name="常规 19 2 4 10 8" xfId="16235"/>
    <cellStyle name="常规 19 2 4 11" xfId="12500"/>
    <cellStyle name="常规 19 2 4 11 2" xfId="16236"/>
    <cellStyle name="常规 19 2 4 11 3" xfId="16237"/>
    <cellStyle name="常规 19 2 4 11 4" xfId="16238"/>
    <cellStyle name="常规 19 2 4 11 5" xfId="16239"/>
    <cellStyle name="常规 19 2 4 11 6" xfId="16241"/>
    <cellStyle name="常规 19 2 4 11 7" xfId="16244"/>
    <cellStyle name="常规 19 2 4 11 8" xfId="16247"/>
    <cellStyle name="常规 19 2 4 12" xfId="16250"/>
    <cellStyle name="常规 19 2 4 12 2" xfId="16251"/>
    <cellStyle name="常规 19 2 4 12 3" xfId="16252"/>
    <cellStyle name="常规 19 2 4 12 4" xfId="16254"/>
    <cellStyle name="常规 19 2 4 12 5" xfId="16257"/>
    <cellStyle name="常规 19 2 4 12 6" xfId="16258"/>
    <cellStyle name="常规 19 2 4 12 7" xfId="16259"/>
    <cellStyle name="常规 19 2 4 12 8" xfId="16260"/>
    <cellStyle name="常规 19 2 4 13" xfId="14280"/>
    <cellStyle name="常规 19 2 4 13 2" xfId="14281"/>
    <cellStyle name="常规 19 2 4 13 3" xfId="12227"/>
    <cellStyle name="常规 19 2 4 13 4" xfId="12235"/>
    <cellStyle name="常规 19 2 4 13 5" xfId="12240"/>
    <cellStyle name="常规 19 2 4 13 6" xfId="12248"/>
    <cellStyle name="常规 19 2 4 13 7" xfId="12257"/>
    <cellStyle name="常规 19 2 4 13 8" xfId="12079"/>
    <cellStyle name="常规 19 2 4 14" xfId="14288"/>
    <cellStyle name="常规 19 2 4 14 2" xfId="14293"/>
    <cellStyle name="常规 19 2 4 14 3" xfId="14300"/>
    <cellStyle name="常规 19 2 4 14 4" xfId="14307"/>
    <cellStyle name="常规 19 2 4 14 5" xfId="14313"/>
    <cellStyle name="常规 19 2 4 14 6" xfId="14317"/>
    <cellStyle name="常规 19 2 4 14 7" xfId="14319"/>
    <cellStyle name="常规 19 2 4 14 8" xfId="14322"/>
    <cellStyle name="常规 19 2 4 15" xfId="2702"/>
    <cellStyle name="常规 19 2 4 15 2" xfId="1891"/>
    <cellStyle name="常规 19 2 4 15 3" xfId="1932"/>
    <cellStyle name="常规 19 2 4 15 4" xfId="14330"/>
    <cellStyle name="常规 19 2 4 15 5" xfId="14336"/>
    <cellStyle name="常规 19 2 4 15 6" xfId="14339"/>
    <cellStyle name="常规 19 2 4 15 7" xfId="14343"/>
    <cellStyle name="常规 19 2 4 16" xfId="2722"/>
    <cellStyle name="常规 19 2 4 17" xfId="14367"/>
    <cellStyle name="常规 19 2 4 18" xfId="6973"/>
    <cellStyle name="常规 19 2 4 19" xfId="1320"/>
    <cellStyle name="常规 19 2 4 2" xfId="11434"/>
    <cellStyle name="常规 19 2 4 2 10" xfId="16261"/>
    <cellStyle name="常规 19 2 4 2 10 2" xfId="16262"/>
    <cellStyle name="常规 19 2 4 2 10 3" xfId="6685"/>
    <cellStyle name="常规 19 2 4 2 10 4" xfId="6979"/>
    <cellStyle name="常规 19 2 4 2 10 5" xfId="16263"/>
    <cellStyle name="常规 19 2 4 2 10 6" xfId="16264"/>
    <cellStyle name="常规 19 2 4 2 10 7" xfId="16265"/>
    <cellStyle name="常规 19 2 4 2 10 8" xfId="16266"/>
    <cellStyle name="常规 19 2 4 2 11" xfId="16267"/>
    <cellStyle name="常规 19 2 4 2 11 2" xfId="16269"/>
    <cellStyle name="常规 19 2 4 2 11 3" xfId="7002"/>
    <cellStyle name="常规 19 2 4 2 11 4" xfId="8445"/>
    <cellStyle name="常规 19 2 4 2 11 5" xfId="11300"/>
    <cellStyle name="常规 19 2 4 2 11 6" xfId="16271"/>
    <cellStyle name="常规 19 2 4 2 11 7" xfId="16274"/>
    <cellStyle name="常规 19 2 4 2 11 8" xfId="16277"/>
    <cellStyle name="常规 19 2 4 2 12" xfId="16279"/>
    <cellStyle name="常规 19 2 4 2 12 2" xfId="16280"/>
    <cellStyle name="常规 19 2 4 2 12 3" xfId="16282"/>
    <cellStyle name="常规 19 2 4 2 12 4" xfId="16283"/>
    <cellStyle name="常规 19 2 4 2 12 5" xfId="16284"/>
    <cellStyle name="常规 19 2 4 2 12 6" xfId="16285"/>
    <cellStyle name="常规 19 2 4 2 12 7" xfId="16286"/>
    <cellStyle name="常规 19 2 4 2 12 8" xfId="16287"/>
    <cellStyle name="常规 19 2 4 2 13" xfId="16288"/>
    <cellStyle name="常规 19 2 4 2 13 2" xfId="16291"/>
    <cellStyle name="常规 19 2 4 2 13 3" xfId="16292"/>
    <cellStyle name="常规 19 2 4 2 13 4" xfId="16294"/>
    <cellStyle name="常规 19 2 4 2 13 5" xfId="16296"/>
    <cellStyle name="常规 19 2 4 2 13 6" xfId="16297"/>
    <cellStyle name="常规 19 2 4 2 13 7" xfId="16298"/>
    <cellStyle name="常规 19 2 4 2 14" xfId="16299"/>
    <cellStyle name="常规 19 2 4 2 15" xfId="16302"/>
    <cellStyle name="常规 19 2 4 2 16" xfId="8126"/>
    <cellStyle name="常规 19 2 4 2 17" xfId="8514"/>
    <cellStyle name="常规 19 2 4 2 18" xfId="16307"/>
    <cellStyle name="常规 19 2 4 2 19" xfId="16311"/>
    <cellStyle name="常规 19 2 4 2 2" xfId="11665"/>
    <cellStyle name="常规 19 2 4 2 2 10" xfId="13726"/>
    <cellStyle name="常规 19 2 4 2 2 10 2" xfId="16314"/>
    <cellStyle name="常规 19 2 4 2 2 10 3" xfId="16315"/>
    <cellStyle name="常规 19 2 4 2 2 10 4" xfId="16316"/>
    <cellStyle name="常规 19 2 4 2 2 10 5" xfId="16317"/>
    <cellStyle name="常规 19 2 4 2 2 10 6" xfId="16318"/>
    <cellStyle name="常规 19 2 4 2 2 10 7" xfId="16320"/>
    <cellStyle name="常规 19 2 4 2 2 10 8" xfId="16322"/>
    <cellStyle name="常规 19 2 4 2 2 11" xfId="16325"/>
    <cellStyle name="常规 19 2 4 2 2 11 2" xfId="16326"/>
    <cellStyle name="常规 19 2 4 2 2 11 3" xfId="16327"/>
    <cellStyle name="常规 19 2 4 2 2 11 4" xfId="16328"/>
    <cellStyle name="常规 19 2 4 2 2 11 5" xfId="16329"/>
    <cellStyle name="常规 19 2 4 2 2 11 6" xfId="16330"/>
    <cellStyle name="常规 19 2 4 2 2 11 7" xfId="16331"/>
    <cellStyle name="常规 19 2 4 2 2 11 8" xfId="16332"/>
    <cellStyle name="常规 19 2 4 2 2 12" xfId="16334"/>
    <cellStyle name="常规 19 2 4 2 2 12 2" xfId="16336"/>
    <cellStyle name="常规 19 2 4 2 2 12 3" xfId="16337"/>
    <cellStyle name="常规 19 2 4 2 2 12 4" xfId="16338"/>
    <cellStyle name="常规 19 2 4 2 2 12 5" xfId="16339"/>
    <cellStyle name="常规 19 2 4 2 2 12 6" xfId="16340"/>
    <cellStyle name="常规 19 2 4 2 2 12 7" xfId="16341"/>
    <cellStyle name="常规 19 2 4 2 2 13" xfId="16343"/>
    <cellStyle name="常规 19 2 4 2 2 14" xfId="16345"/>
    <cellStyle name="常规 19 2 4 2 2 15" xfId="16346"/>
    <cellStyle name="常规 19 2 4 2 2 16" xfId="16347"/>
    <cellStyle name="常规 19 2 4 2 2 17" xfId="16348"/>
    <cellStyle name="常规 19 2 4 2 2 18" xfId="5935"/>
    <cellStyle name="常规 19 2 4 2 2 19" xfId="4568"/>
    <cellStyle name="常规 19 2 4 2 2 2" xfId="16350"/>
    <cellStyle name="常规 19 2 4 2 2 2 10" xfId="16352"/>
    <cellStyle name="常规 19 2 4 2 2 2 10 2" xfId="16356"/>
    <cellStyle name="常规 19 2 4 2 2 2 10 3" xfId="16358"/>
    <cellStyle name="常规 19 2 4 2 2 2 10 4" xfId="16360"/>
    <cellStyle name="常规 19 2 4 2 2 2 10 5" xfId="16362"/>
    <cellStyle name="常规 19 2 4 2 2 2 10 6" xfId="16364"/>
    <cellStyle name="常规 19 2 4 2 2 2 10 7" xfId="16366"/>
    <cellStyle name="常规 19 2 4 2 2 2 11" xfId="16368"/>
    <cellStyle name="常规 19 2 4 2 2 2 12" xfId="16373"/>
    <cellStyle name="常规 19 2 4 2 2 2 13" xfId="16375"/>
    <cellStyle name="常规 19 2 4 2 2 2 14" xfId="16378"/>
    <cellStyle name="常规 19 2 4 2 2 2 15" xfId="3075"/>
    <cellStyle name="常规 19 2 4 2 2 2 16" xfId="275"/>
    <cellStyle name="常规 19 2 4 2 2 2 17" xfId="4202"/>
    <cellStyle name="常规 19 2 4 2 2 2 2" xfId="12799"/>
    <cellStyle name="常规 19 2 4 2 2 2 2 2" xfId="16379"/>
    <cellStyle name="常规 19 2 4 2 2 2 2 3" xfId="16382"/>
    <cellStyle name="常规 19 2 4 2 2 2 2 4" xfId="16384"/>
    <cellStyle name="常规 19 2 4 2 2 2 2 5" xfId="398"/>
    <cellStyle name="常规 19 2 4 2 2 2 2 6" xfId="78"/>
    <cellStyle name="常规 19 2 4 2 2 2 2 7" xfId="16385"/>
    <cellStyle name="常规 19 2 4 2 2 2 2 8" xfId="16387"/>
    <cellStyle name="常规 19 2 4 2 2 2 3" xfId="12806"/>
    <cellStyle name="常规 19 2 4 2 2 2 3 2" xfId="16388"/>
    <cellStyle name="常规 19 2 4 2 2 2 3 3" xfId="16390"/>
    <cellStyle name="常规 19 2 4 2 2 2 3 4" xfId="16392"/>
    <cellStyle name="常规 19 2 4 2 2 2 3 5" xfId="16394"/>
    <cellStyle name="常规 19 2 4 2 2 2 3 6" xfId="16396"/>
    <cellStyle name="常规 19 2 4 2 2 2 3 7" xfId="16397"/>
    <cellStyle name="常规 19 2 4 2 2 2 3 8" xfId="16398"/>
    <cellStyle name="常规 19 2 4 2 2 2 4" xfId="4815"/>
    <cellStyle name="常规 19 2 4 2 2 2 4 2" xfId="4824"/>
    <cellStyle name="常规 19 2 4 2 2 2 4 3" xfId="4830"/>
    <cellStyle name="常规 19 2 4 2 2 2 4 4" xfId="12722"/>
    <cellStyle name="常规 19 2 4 2 2 2 4 5" xfId="12727"/>
    <cellStyle name="常规 19 2 4 2 2 2 4 6" xfId="16399"/>
    <cellStyle name="常规 19 2 4 2 2 2 4 7" xfId="16400"/>
    <cellStyle name="常规 19 2 4 2 2 2 4 8" xfId="16401"/>
    <cellStyle name="常规 19 2 4 2 2 2 5" xfId="4843"/>
    <cellStyle name="常规 19 2 4 2 2 2 5 2" xfId="16404"/>
    <cellStyle name="常规 19 2 4 2 2 2 5 3" xfId="16406"/>
    <cellStyle name="常规 19 2 4 2 2 2 5 4" xfId="16408"/>
    <cellStyle name="常规 19 2 4 2 2 2 5 5" xfId="16410"/>
    <cellStyle name="常规 19 2 4 2 2 2 5 6" xfId="1636"/>
    <cellStyle name="常规 19 2 4 2 2 2 5 7" xfId="9899"/>
    <cellStyle name="常规 19 2 4 2 2 2 5 8" xfId="6701"/>
    <cellStyle name="常规 19 2 4 2 2 2 6" xfId="15503"/>
    <cellStyle name="常规 19 2 4 2 2 2 6 2" xfId="16411"/>
    <cellStyle name="常规 19 2 4 2 2 2 6 3" xfId="16413"/>
    <cellStyle name="常规 19 2 4 2 2 2 6 4" xfId="16415"/>
    <cellStyle name="常规 19 2 4 2 2 2 6 5" xfId="16417"/>
    <cellStyle name="常规 19 2 4 2 2 2 6 6" xfId="2806"/>
    <cellStyle name="常规 19 2 4 2 2 2 6 7" xfId="9991"/>
    <cellStyle name="常规 19 2 4 2 2 2 6 8" xfId="9993"/>
    <cellStyle name="常规 19 2 4 2 2 2 7" xfId="16420"/>
    <cellStyle name="常规 19 2 4 2 2 2 7 2" xfId="16421"/>
    <cellStyle name="常规 19 2 4 2 2 2 7 3" xfId="16424"/>
    <cellStyle name="常规 19 2 4 2 2 2 7 4" xfId="16426"/>
    <cellStyle name="常规 19 2 4 2 2 2 7 5" xfId="16428"/>
    <cellStyle name="常规 19 2 4 2 2 2 7 6" xfId="10007"/>
    <cellStyle name="常规 19 2 4 2 2 2 7 7" xfId="10039"/>
    <cellStyle name="常规 19 2 4 2 2 2 7 8" xfId="5522"/>
    <cellStyle name="常规 19 2 4 2 2 2 8" xfId="16431"/>
    <cellStyle name="常规 19 2 4 2 2 2 8 2" xfId="16432"/>
    <cellStyle name="常规 19 2 4 2 2 2 8 3" xfId="16434"/>
    <cellStyle name="常规 19 2 4 2 2 2 8 4" xfId="6253"/>
    <cellStyle name="常规 19 2 4 2 2 2 8 5" xfId="6256"/>
    <cellStyle name="常规 19 2 4 2 2 2 8 6" xfId="10045"/>
    <cellStyle name="常规 19 2 4 2 2 2 8 7" xfId="10060"/>
    <cellStyle name="常规 19 2 4 2 2 2 8 8" xfId="10063"/>
    <cellStyle name="常规 19 2 4 2 2 2 9" xfId="16439"/>
    <cellStyle name="常规 19 2 4 2 2 2 9 2" xfId="16440"/>
    <cellStyle name="常规 19 2 4 2 2 2 9 3" xfId="16442"/>
    <cellStyle name="常规 19 2 4 2 2 2 9 4" xfId="16444"/>
    <cellStyle name="常规 19 2 4 2 2 2 9 5" xfId="16446"/>
    <cellStyle name="常规 19 2 4 2 2 2 9 6" xfId="4429"/>
    <cellStyle name="常规 19 2 4 2 2 2 9 7" xfId="7814"/>
    <cellStyle name="常规 19 2 4 2 2 2 9 8" xfId="7742"/>
    <cellStyle name="常规 19 2 4 2 2 3" xfId="16447"/>
    <cellStyle name="常规 19 2 4 2 2 3 2" xfId="16448"/>
    <cellStyle name="常规 19 2 4 2 2 3 3" xfId="11796"/>
    <cellStyle name="常规 19 2 4 2 2 3 4" xfId="4862"/>
    <cellStyle name="常规 19 2 4 2 2 3 5" xfId="5422"/>
    <cellStyle name="常规 19 2 4 2 2 3 6" xfId="16452"/>
    <cellStyle name="常规 19 2 4 2 2 3 7" xfId="16456"/>
    <cellStyle name="常规 19 2 4 2 2 3 8" xfId="16460"/>
    <cellStyle name="常规 19 2 4 2 2 4" xfId="16461"/>
    <cellStyle name="常规 19 2 4 2 2 4 2" xfId="16462"/>
    <cellStyle name="常规 19 2 4 2 2 4 3" xfId="1981"/>
    <cellStyle name="常规 19 2 4 2 2 4 4" xfId="2033"/>
    <cellStyle name="常规 19 2 4 2 2 4 5" xfId="2072"/>
    <cellStyle name="常规 19 2 4 2 2 4 6" xfId="1042"/>
    <cellStyle name="常规 19 2 4 2 2 4 7" xfId="7824"/>
    <cellStyle name="常规 19 2 4 2 2 4 8" xfId="7831"/>
    <cellStyle name="常规 19 2 4 2 2 5" xfId="16463"/>
    <cellStyle name="常规 19 2 4 2 2 5 2" xfId="16465"/>
    <cellStyle name="常规 19 2 4 2 2 5 3" xfId="16467"/>
    <cellStyle name="常规 19 2 4 2 2 5 4" xfId="16470"/>
    <cellStyle name="常规 19 2 4 2 2 5 5" xfId="16473"/>
    <cellStyle name="常规 19 2 4 2 2 5 6" xfId="16477"/>
    <cellStyle name="常规 19 2 4 2 2 5 7" xfId="12099"/>
    <cellStyle name="常规 19 2 4 2 2 5 8" xfId="10993"/>
    <cellStyle name="常规 19 2 4 2 2 6" xfId="16479"/>
    <cellStyle name="常规 19 2 4 2 2 6 2" xfId="16480"/>
    <cellStyle name="常规 19 2 4 2 2 6 3" xfId="16482"/>
    <cellStyle name="常规 19 2 4 2 2 6 4" xfId="16486"/>
    <cellStyle name="常规 19 2 4 2 2 6 5" xfId="16489"/>
    <cellStyle name="常规 19 2 4 2 2 6 6" xfId="16493"/>
    <cellStyle name="常规 19 2 4 2 2 6 7" xfId="16497"/>
    <cellStyle name="常规 19 2 4 2 2 6 8" xfId="16501"/>
    <cellStyle name="常规 19 2 4 2 2 7" xfId="16503"/>
    <cellStyle name="常规 19 2 4 2 2 7 2" xfId="16504"/>
    <cellStyle name="常规 19 2 4 2 2 7 3" xfId="16506"/>
    <cellStyle name="常规 19 2 4 2 2 7 4" xfId="16509"/>
    <cellStyle name="常规 19 2 4 2 2 7 5" xfId="10268"/>
    <cellStyle name="常规 19 2 4 2 2 7 6" xfId="10273"/>
    <cellStyle name="常规 19 2 4 2 2 7 7" xfId="16513"/>
    <cellStyle name="常规 19 2 4 2 2 7 8" xfId="16517"/>
    <cellStyle name="常规 19 2 4 2 2 8" xfId="16519"/>
    <cellStyle name="常规 19 2 4 2 2 8 2" xfId="16520"/>
    <cellStyle name="常规 19 2 4 2 2 8 3" xfId="16522"/>
    <cellStyle name="常规 19 2 4 2 2 8 4" xfId="16525"/>
    <cellStyle name="常规 19 2 4 2 2 8 5" xfId="16528"/>
    <cellStyle name="常规 19 2 4 2 2 8 6" xfId="16532"/>
    <cellStyle name="常规 19 2 4 2 2 8 7" xfId="16536"/>
    <cellStyle name="常规 19 2 4 2 2 8 8" xfId="16539"/>
    <cellStyle name="常规 19 2 4 2 2 9" xfId="16541"/>
    <cellStyle name="常规 19 2 4 2 2 9 2" xfId="16543"/>
    <cellStyle name="常规 19 2 4 2 2 9 3" xfId="16545"/>
    <cellStyle name="常规 19 2 4 2 2 9 4" xfId="16548"/>
    <cellStyle name="常规 19 2 4 2 2 9 5" xfId="16551"/>
    <cellStyle name="常规 19 2 4 2 2 9 6" xfId="16555"/>
    <cellStyle name="常规 19 2 4 2 2 9 7" xfId="16559"/>
    <cellStyle name="常规 19 2 4 2 2 9 8" xfId="16562"/>
    <cellStyle name="常规 19 2 4 2 20" xfId="16303"/>
    <cellStyle name="常规 19 2 4 2 3" xfId="16564"/>
    <cellStyle name="常规 19 2 4 2 3 10" xfId="3307"/>
    <cellStyle name="常规 19 2 4 2 3 10 2" xfId="11870"/>
    <cellStyle name="常规 19 2 4 2 3 10 3" xfId="11895"/>
    <cellStyle name="常规 19 2 4 2 3 10 4" xfId="11902"/>
    <cellStyle name="常规 19 2 4 2 3 10 5" xfId="16567"/>
    <cellStyle name="常规 19 2 4 2 3 10 6" xfId="16569"/>
    <cellStyle name="常规 19 2 4 2 3 10 7" xfId="16571"/>
    <cellStyle name="常规 19 2 4 2 3 11" xfId="11905"/>
    <cellStyle name="常规 19 2 4 2 3 12" xfId="1736"/>
    <cellStyle name="常规 19 2 4 2 3 13" xfId="966"/>
    <cellStyle name="常规 19 2 4 2 3 14" xfId="11942"/>
    <cellStyle name="常规 19 2 4 2 3 15" xfId="11953"/>
    <cellStyle name="常规 19 2 4 2 3 16" xfId="16572"/>
    <cellStyle name="常规 19 2 4 2 3 17" xfId="16573"/>
    <cellStyle name="常规 19 2 4 2 3 2" xfId="16576"/>
    <cellStyle name="常规 19 2 4 2 3 2 2" xfId="16580"/>
    <cellStyle name="常规 19 2 4 2 3 2 3" xfId="16584"/>
    <cellStyle name="常规 19 2 4 2 3 2 4" xfId="3192"/>
    <cellStyle name="常规 19 2 4 2 3 2 5" xfId="3202"/>
    <cellStyle name="常规 19 2 4 2 3 2 6" xfId="16587"/>
    <cellStyle name="常规 19 2 4 2 3 2 7" xfId="16590"/>
    <cellStyle name="常规 19 2 4 2 3 2 8" xfId="16592"/>
    <cellStyle name="常规 19 2 4 2 3 3" xfId="7826"/>
    <cellStyle name="常规 19 2 4 2 3 3 2" xfId="2309"/>
    <cellStyle name="常规 19 2 4 2 3 3 3" xfId="10984"/>
    <cellStyle name="常规 19 2 4 2 3 3 4" xfId="4886"/>
    <cellStyle name="常规 19 2 4 2 3 3 5" xfId="5516"/>
    <cellStyle name="常规 19 2 4 2 3 3 6" xfId="16594"/>
    <cellStyle name="常规 19 2 4 2 3 3 7" xfId="16596"/>
    <cellStyle name="常规 19 2 4 2 3 3 8" xfId="16598"/>
    <cellStyle name="常规 19 2 4 2 3 4" xfId="10987"/>
    <cellStyle name="常规 19 2 4 2 3 4 2" xfId="16601"/>
    <cellStyle name="常规 19 2 4 2 3 4 3" xfId="16603"/>
    <cellStyle name="常规 19 2 4 2 3 4 4" xfId="16605"/>
    <cellStyle name="常规 19 2 4 2 3 4 5" xfId="16607"/>
    <cellStyle name="常规 19 2 4 2 3 4 6" xfId="16609"/>
    <cellStyle name="常规 19 2 4 2 3 4 7" xfId="1151"/>
    <cellStyle name="常规 19 2 4 2 3 4 8" xfId="16610"/>
    <cellStyle name="常规 19 2 4 2 3 5" xfId="16612"/>
    <cellStyle name="常规 19 2 4 2 3 5 2" xfId="16614"/>
    <cellStyle name="常规 19 2 4 2 3 5 3" xfId="16617"/>
    <cellStyle name="常规 19 2 4 2 3 5 4" xfId="16620"/>
    <cellStyle name="常规 19 2 4 2 3 5 5" xfId="16623"/>
    <cellStyle name="常规 19 2 4 2 3 5 6" xfId="16625"/>
    <cellStyle name="常规 19 2 4 2 3 5 7" xfId="16627"/>
    <cellStyle name="常规 19 2 4 2 3 5 8" xfId="16628"/>
    <cellStyle name="常规 19 2 4 2 3 6" xfId="16631"/>
    <cellStyle name="常规 19 2 4 2 3 6 2" xfId="16633"/>
    <cellStyle name="常规 19 2 4 2 3 6 3" xfId="16636"/>
    <cellStyle name="常规 19 2 4 2 3 6 4" xfId="16639"/>
    <cellStyle name="常规 19 2 4 2 3 6 5" xfId="16642"/>
    <cellStyle name="常规 19 2 4 2 3 6 6" xfId="16644"/>
    <cellStyle name="常规 19 2 4 2 3 6 7" xfId="16645"/>
    <cellStyle name="常规 19 2 4 2 3 6 8" xfId="16646"/>
    <cellStyle name="常规 19 2 4 2 3 7" xfId="16649"/>
    <cellStyle name="常规 19 2 4 2 3 7 2" xfId="16652"/>
    <cellStyle name="常规 19 2 4 2 3 7 3" xfId="16655"/>
    <cellStyle name="常规 19 2 4 2 3 7 4" xfId="16660"/>
    <cellStyle name="常规 19 2 4 2 3 7 5" xfId="16664"/>
    <cellStyle name="常规 19 2 4 2 3 7 6" xfId="16667"/>
    <cellStyle name="常规 19 2 4 2 3 7 7" xfId="16670"/>
    <cellStyle name="常规 19 2 4 2 3 7 8" xfId="16672"/>
    <cellStyle name="常规 19 2 4 2 3 8" xfId="5809"/>
    <cellStyle name="常规 19 2 4 2 3 8 2" xfId="16673"/>
    <cellStyle name="常规 19 2 4 2 3 8 3" xfId="16674"/>
    <cellStyle name="常规 19 2 4 2 3 8 4" xfId="16675"/>
    <cellStyle name="常规 19 2 4 2 3 8 5" xfId="16676"/>
    <cellStyle name="常规 19 2 4 2 3 8 6" xfId="16677"/>
    <cellStyle name="常规 19 2 4 2 3 8 7" xfId="16678"/>
    <cellStyle name="常规 19 2 4 2 3 8 8" xfId="16679"/>
    <cellStyle name="常规 19 2 4 2 3 9" xfId="5825"/>
    <cellStyle name="常规 19 2 4 2 3 9 2" xfId="12565"/>
    <cellStyle name="常规 19 2 4 2 3 9 3" xfId="16680"/>
    <cellStyle name="常规 19 2 4 2 3 9 4" xfId="16681"/>
    <cellStyle name="常规 19 2 4 2 3 9 5" xfId="16682"/>
    <cellStyle name="常规 19 2 4 2 3 9 6" xfId="16683"/>
    <cellStyle name="常规 19 2 4 2 3 9 7" xfId="16684"/>
    <cellStyle name="常规 19 2 4 2 3 9 8" xfId="16685"/>
    <cellStyle name="常规 19 2 4 2 4" xfId="16686"/>
    <cellStyle name="常规 19 2 4 2 4 2" xfId="16687"/>
    <cellStyle name="常规 19 2 4 2 4 3" xfId="10994"/>
    <cellStyle name="常规 19 2 4 2 4 4" xfId="10996"/>
    <cellStyle name="常规 19 2 4 2 4 5" xfId="16689"/>
    <cellStyle name="常规 19 2 4 2 4 6" xfId="16692"/>
    <cellStyle name="常规 19 2 4 2 4 7" xfId="16694"/>
    <cellStyle name="常规 19 2 4 2 4 8" xfId="16696"/>
    <cellStyle name="常规 19 2 4 2 5" xfId="16697"/>
    <cellStyle name="常规 19 2 4 2 5 2" xfId="16698"/>
    <cellStyle name="常规 19 2 4 2 5 3" xfId="16699"/>
    <cellStyle name="常规 19 2 4 2 5 4" xfId="16700"/>
    <cellStyle name="常规 19 2 4 2 5 5" xfId="16701"/>
    <cellStyle name="常规 19 2 4 2 5 6" xfId="16703"/>
    <cellStyle name="常规 19 2 4 2 5 7" xfId="16705"/>
    <cellStyle name="常规 19 2 4 2 5 8" xfId="16707"/>
    <cellStyle name="常规 19 2 4 2 6" xfId="16708"/>
    <cellStyle name="常规 19 2 4 2 6 2" xfId="16709"/>
    <cellStyle name="常规 19 2 4 2 6 3" xfId="16710"/>
    <cellStyle name="常规 19 2 4 2 6 4" xfId="16711"/>
    <cellStyle name="常规 19 2 4 2 6 5" xfId="794"/>
    <cellStyle name="常规 19 2 4 2 6 6" xfId="842"/>
    <cellStyle name="常规 19 2 4 2 6 7" xfId="3250"/>
    <cellStyle name="常规 19 2 4 2 6 8" xfId="3282"/>
    <cellStyle name="常规 19 2 4 2 7" xfId="16714"/>
    <cellStyle name="常规 19 2 4 2 7 2" xfId="16716"/>
    <cellStyle name="常规 19 2 4 2 7 3" xfId="16718"/>
    <cellStyle name="常规 19 2 4 2 7 4" xfId="16719"/>
    <cellStyle name="常规 19 2 4 2 7 5" xfId="3303"/>
    <cellStyle name="常规 19 2 4 2 7 6" xfId="3319"/>
    <cellStyle name="常规 19 2 4 2 7 7" xfId="1731"/>
    <cellStyle name="常规 19 2 4 2 7 8" xfId="960"/>
    <cellStyle name="常规 19 2 4 2 8" xfId="16722"/>
    <cellStyle name="常规 19 2 4 2 8 2" xfId="4509"/>
    <cellStyle name="常规 19 2 4 2 8 3" xfId="4537"/>
    <cellStyle name="常规 19 2 4 2 8 4" xfId="4560"/>
    <cellStyle name="常规 19 2 4 2 8 5" xfId="3360"/>
    <cellStyle name="常规 19 2 4 2 8 6" xfId="3397"/>
    <cellStyle name="常规 19 2 4 2 8 7" xfId="3433"/>
    <cellStyle name="常规 19 2 4 2 8 8" xfId="5659"/>
    <cellStyle name="常规 19 2 4 2 9" xfId="16724"/>
    <cellStyle name="常规 19 2 4 2 9 2" xfId="8437"/>
    <cellStyle name="常规 19 2 4 2 9 3" xfId="8905"/>
    <cellStyle name="常规 19 2 4 2 9 4" xfId="8911"/>
    <cellStyle name="常规 19 2 4 2 9 5" xfId="3444"/>
    <cellStyle name="常规 19 2 4 2 9 6" xfId="3451"/>
    <cellStyle name="常规 19 2 4 2 9 7" xfId="16726"/>
    <cellStyle name="常规 19 2 4 2 9 8" xfId="5678"/>
    <cellStyle name="常规 19 2 4 20" xfId="2703"/>
    <cellStyle name="常规 19 2 4 21" xfId="2723"/>
    <cellStyle name="常规 19 2 4 22" xfId="14368"/>
    <cellStyle name="常规 19 2 4 3" xfId="13990"/>
    <cellStyle name="常规 19 2 4 3 10" xfId="16729"/>
    <cellStyle name="常规 19 2 4 3 10 2" xfId="16730"/>
    <cellStyle name="常规 19 2 4 3 10 3" xfId="16731"/>
    <cellStyle name="常规 19 2 4 3 10 4" xfId="16732"/>
    <cellStyle name="常规 19 2 4 3 10 5" xfId="16733"/>
    <cellStyle name="常规 19 2 4 3 10 6" xfId="16734"/>
    <cellStyle name="常规 19 2 4 3 10 7" xfId="16735"/>
    <cellStyle name="常规 19 2 4 3 10 8" xfId="16736"/>
    <cellStyle name="常规 19 2 4 3 11" xfId="16737"/>
    <cellStyle name="常规 19 2 4 3 11 2" xfId="16739"/>
    <cellStyle name="常规 19 2 4 3 11 3" xfId="16740"/>
    <cellStyle name="常规 19 2 4 3 11 4" xfId="16741"/>
    <cellStyle name="常规 19 2 4 3 11 5" xfId="16742"/>
    <cellStyle name="常规 19 2 4 3 11 6" xfId="11993"/>
    <cellStyle name="常规 19 2 4 3 11 7" xfId="12009"/>
    <cellStyle name="常规 19 2 4 3 11 8" xfId="16743"/>
    <cellStyle name="常规 19 2 4 3 12" xfId="16744"/>
    <cellStyle name="常规 19 2 4 3 12 2" xfId="16747"/>
    <cellStyle name="常规 19 2 4 3 12 3" xfId="16748"/>
    <cellStyle name="常规 19 2 4 3 12 4" xfId="16749"/>
    <cellStyle name="常规 19 2 4 3 12 5" xfId="16750"/>
    <cellStyle name="常规 19 2 4 3 12 6" xfId="16751"/>
    <cellStyle name="常规 19 2 4 3 12 7" xfId="16752"/>
    <cellStyle name="常规 19 2 4 3 13" xfId="16753"/>
    <cellStyle name="常规 19 2 4 3 14" xfId="16756"/>
    <cellStyle name="常规 19 2 4 3 15" xfId="2391"/>
    <cellStyle name="常规 19 2 4 3 16" xfId="2403"/>
    <cellStyle name="常规 19 2 4 3 17" xfId="16761"/>
    <cellStyle name="常规 19 2 4 3 18" xfId="7418"/>
    <cellStyle name="常规 19 2 4 3 19" xfId="7515"/>
    <cellStyle name="常规 19 2 4 3 2" xfId="6782"/>
    <cellStyle name="常规 19 2 4 3 2 10" xfId="7919"/>
    <cellStyle name="常规 19 2 4 3 2 10 2" xfId="10125"/>
    <cellStyle name="常规 19 2 4 3 2 10 3" xfId="10129"/>
    <cellStyle name="常规 19 2 4 3 2 10 4" xfId="16765"/>
    <cellStyle name="常规 19 2 4 3 2 10 5" xfId="16766"/>
    <cellStyle name="常规 19 2 4 3 2 10 6" xfId="16767"/>
    <cellStyle name="常规 19 2 4 3 2 10 7" xfId="16768"/>
    <cellStyle name="常规 19 2 4 3 2 11" xfId="7926"/>
    <cellStyle name="常规 19 2 4 3 2 12" xfId="10136"/>
    <cellStyle name="常规 19 2 4 3 2 13" xfId="16769"/>
    <cellStyle name="常规 19 2 4 3 2 14" xfId="16770"/>
    <cellStyle name="常规 19 2 4 3 2 15" xfId="16771"/>
    <cellStyle name="常规 19 2 4 3 2 16" xfId="16772"/>
    <cellStyle name="常规 19 2 4 3 2 17" xfId="16773"/>
    <cellStyle name="常规 19 2 4 3 2 2" xfId="16775"/>
    <cellStyle name="常规 19 2 4 3 2 2 2" xfId="16776"/>
    <cellStyle name="常规 19 2 4 3 2 2 3" xfId="16777"/>
    <cellStyle name="常规 19 2 4 3 2 2 4" xfId="16779"/>
    <cellStyle name="常规 19 2 4 3 2 2 5" xfId="16781"/>
    <cellStyle name="常规 19 2 4 3 2 2 6" xfId="16783"/>
    <cellStyle name="常规 19 2 4 3 2 2 7" xfId="16787"/>
    <cellStyle name="常规 19 2 4 3 2 2 8" xfId="16791"/>
    <cellStyle name="常规 19 2 4 3 2 3" xfId="16793"/>
    <cellStyle name="常规 19 2 4 3 2 3 2" xfId="16794"/>
    <cellStyle name="常规 19 2 4 3 2 3 3" xfId="16795"/>
    <cellStyle name="常规 19 2 4 3 2 3 4" xfId="16797"/>
    <cellStyle name="常规 19 2 4 3 2 3 5" xfId="16799"/>
    <cellStyle name="常规 19 2 4 3 2 3 6" xfId="16801"/>
    <cellStyle name="常规 19 2 4 3 2 3 7" xfId="16803"/>
    <cellStyle name="常规 19 2 4 3 2 3 8" xfId="16805"/>
    <cellStyle name="常规 19 2 4 3 2 4" xfId="16807"/>
    <cellStyle name="常规 19 2 4 3 2 4 2" xfId="4165"/>
    <cellStyle name="常规 19 2 4 3 2 4 3" xfId="4499"/>
    <cellStyle name="常规 19 2 4 3 2 4 4" xfId="4998"/>
    <cellStyle name="常规 19 2 4 3 2 4 5" xfId="7312"/>
    <cellStyle name="常规 19 2 4 3 2 4 6" xfId="7317"/>
    <cellStyle name="常规 19 2 4 3 2 4 7" xfId="16811"/>
    <cellStyle name="常规 19 2 4 3 2 4 8" xfId="16815"/>
    <cellStyle name="常规 19 2 4 3 2 5" xfId="16816"/>
    <cellStyle name="常规 19 2 4 3 2 5 2" xfId="16817"/>
    <cellStyle name="常规 19 2 4 3 2 5 3" xfId="16818"/>
    <cellStyle name="常规 19 2 4 3 2 5 4" xfId="16821"/>
    <cellStyle name="常规 19 2 4 3 2 5 5" xfId="11998"/>
    <cellStyle name="常规 19 2 4 3 2 5 6" xfId="12002"/>
    <cellStyle name="常规 19 2 4 3 2 5 7" xfId="16824"/>
    <cellStyle name="常规 19 2 4 3 2 5 8" xfId="16828"/>
    <cellStyle name="常规 19 2 4 3 2 6" xfId="16829"/>
    <cellStyle name="常规 19 2 4 3 2 6 2" xfId="16830"/>
    <cellStyle name="常规 19 2 4 3 2 6 3" xfId="16831"/>
    <cellStyle name="常规 19 2 4 3 2 6 4" xfId="16834"/>
    <cellStyle name="常规 19 2 4 3 2 6 5" xfId="16837"/>
    <cellStyle name="常规 19 2 4 3 2 6 6" xfId="16840"/>
    <cellStyle name="常规 19 2 4 3 2 6 7" xfId="16843"/>
    <cellStyle name="常规 19 2 4 3 2 6 8" xfId="16847"/>
    <cellStyle name="常规 19 2 4 3 2 7" xfId="16848"/>
    <cellStyle name="常规 19 2 4 3 2 7 2" xfId="16849"/>
    <cellStyle name="常规 19 2 4 3 2 7 3" xfId="16851"/>
    <cellStyle name="常规 19 2 4 3 2 7 4" xfId="16856"/>
    <cellStyle name="常规 19 2 4 3 2 7 5" xfId="16860"/>
    <cellStyle name="常规 19 2 4 3 2 7 6" xfId="16864"/>
    <cellStyle name="常规 19 2 4 3 2 7 7" xfId="16868"/>
    <cellStyle name="常规 19 2 4 3 2 7 8" xfId="16872"/>
    <cellStyle name="常规 19 2 4 3 2 8" xfId="16875"/>
    <cellStyle name="常规 19 2 4 3 2 8 2" xfId="16876"/>
    <cellStyle name="常规 19 2 4 3 2 8 3" xfId="16877"/>
    <cellStyle name="常规 19 2 4 3 2 8 4" xfId="16881"/>
    <cellStyle name="常规 19 2 4 3 2 8 5" xfId="16884"/>
    <cellStyle name="常规 19 2 4 3 2 8 6" xfId="16887"/>
    <cellStyle name="常规 19 2 4 3 2 8 7" xfId="16890"/>
    <cellStyle name="常规 19 2 4 3 2 8 8" xfId="16892"/>
    <cellStyle name="常规 19 2 4 3 2 9" xfId="16895"/>
    <cellStyle name="常规 19 2 4 3 2 9 2" xfId="16897"/>
    <cellStyle name="常规 19 2 4 3 2 9 3" xfId="16898"/>
    <cellStyle name="常规 19 2 4 3 2 9 4" xfId="16902"/>
    <cellStyle name="常规 19 2 4 3 2 9 5" xfId="16905"/>
    <cellStyle name="常规 19 2 4 3 2 9 6" xfId="16909"/>
    <cellStyle name="常规 19 2 4 3 2 9 7" xfId="16913"/>
    <cellStyle name="常规 19 2 4 3 2 9 8" xfId="16916"/>
    <cellStyle name="常规 19 2 4 3 3" xfId="2974"/>
    <cellStyle name="常规 19 2 4 3 3 2" xfId="1157"/>
    <cellStyle name="常规 19 2 4 3 3 3" xfId="2381"/>
    <cellStyle name="常规 19 2 4 3 3 4" xfId="11006"/>
    <cellStyle name="常规 19 2 4 3 3 5" xfId="16919"/>
    <cellStyle name="常规 19 2 4 3 3 6" xfId="16921"/>
    <cellStyle name="常规 19 2 4 3 3 7" xfId="16923"/>
    <cellStyle name="常规 19 2 4 3 3 8" xfId="16925"/>
    <cellStyle name="常规 19 2 4 3 4" xfId="2993"/>
    <cellStyle name="常规 19 2 4 3 4 2" xfId="3011"/>
    <cellStyle name="常规 19 2 4 3 4 3" xfId="3014"/>
    <cellStyle name="常规 19 2 4 3 4 4" xfId="11013"/>
    <cellStyle name="常规 19 2 4 3 4 5" xfId="16927"/>
    <cellStyle name="常规 19 2 4 3 4 6" xfId="16928"/>
    <cellStyle name="常规 19 2 4 3 4 7" xfId="16929"/>
    <cellStyle name="常规 19 2 4 3 4 8" xfId="16930"/>
    <cellStyle name="常规 19 2 4 3 5" xfId="2230"/>
    <cellStyle name="常规 19 2 4 3 5 2" xfId="2929"/>
    <cellStyle name="常规 19 2 4 3 5 3" xfId="4088"/>
    <cellStyle name="常规 19 2 4 3 5 4" xfId="16931"/>
    <cellStyle name="常规 19 2 4 3 5 5" xfId="16932"/>
    <cellStyle name="常规 19 2 4 3 5 6" xfId="16933"/>
    <cellStyle name="常规 19 2 4 3 5 7" xfId="16935"/>
    <cellStyle name="常规 19 2 4 3 5 8" xfId="16937"/>
    <cellStyle name="常规 19 2 4 3 6" xfId="4097"/>
    <cellStyle name="常规 19 2 4 3 6 2" xfId="4105"/>
    <cellStyle name="常规 19 2 4 3 6 3" xfId="4117"/>
    <cellStyle name="常规 19 2 4 3 6 4" xfId="16939"/>
    <cellStyle name="常规 19 2 4 3 6 5" xfId="3494"/>
    <cellStyle name="常规 19 2 4 3 6 6" xfId="3512"/>
    <cellStyle name="常规 19 2 4 3 6 7" xfId="3531"/>
    <cellStyle name="常规 19 2 4 3 6 8" xfId="3568"/>
    <cellStyle name="常规 19 2 4 3 7" xfId="4125"/>
    <cellStyle name="常规 19 2 4 3 7 2" xfId="4000"/>
    <cellStyle name="常规 19 2 4 3 7 3" xfId="4483"/>
    <cellStyle name="常规 19 2 4 3 7 4" xfId="16940"/>
    <cellStyle name="常规 19 2 4 3 7 5" xfId="645"/>
    <cellStyle name="常规 19 2 4 3 7 6" xfId="649"/>
    <cellStyle name="常规 19 2 4 3 7 7" xfId="3607"/>
    <cellStyle name="常规 19 2 4 3 7 8" xfId="4668"/>
    <cellStyle name="常规 19 2 4 3 8" xfId="4491"/>
    <cellStyle name="常规 19 2 4 3 8 2" xfId="4957"/>
    <cellStyle name="常规 19 2 4 3 8 3" xfId="4961"/>
    <cellStyle name="常规 19 2 4 3 8 4" xfId="5216"/>
    <cellStyle name="常规 19 2 4 3 8 5" xfId="3615"/>
    <cellStyle name="常规 19 2 4 3 8 6" xfId="3644"/>
    <cellStyle name="常规 19 2 4 3 8 7" xfId="380"/>
    <cellStyle name="常规 19 2 4 3 8 8" xfId="16942"/>
    <cellStyle name="常规 19 2 4 3 9" xfId="2"/>
    <cellStyle name="常规 19 2 4 3 9 2" xfId="5625"/>
    <cellStyle name="常规 19 2 4 3 9 3" xfId="5635"/>
    <cellStyle name="常规 19 2 4 3 9 4" xfId="16944"/>
    <cellStyle name="常规 19 2 4 3 9 5" xfId="610"/>
    <cellStyle name="常规 19 2 4 3 9 6" xfId="709"/>
    <cellStyle name="常规 19 2 4 3 9 7" xfId="16946"/>
    <cellStyle name="常规 19 2 4 3 9 8" xfId="6842"/>
    <cellStyle name="常规 19 2 4 4" xfId="13992"/>
    <cellStyle name="常规 19 2 4 4 10" xfId="16949"/>
    <cellStyle name="常规 19 2 4 4 10 2" xfId="16950"/>
    <cellStyle name="常规 19 2 4 4 10 3" xfId="16951"/>
    <cellStyle name="常规 19 2 4 4 10 4" xfId="16953"/>
    <cellStyle name="常规 19 2 4 4 10 5" xfId="16956"/>
    <cellStyle name="常规 19 2 4 4 10 6" xfId="16959"/>
    <cellStyle name="常规 19 2 4 4 10 7" xfId="16962"/>
    <cellStyle name="常规 19 2 4 4 10 8" xfId="16965"/>
    <cellStyle name="常规 19 2 4 4 11" xfId="16968"/>
    <cellStyle name="常规 19 2 4 4 11 2" xfId="16969"/>
    <cellStyle name="常规 19 2 4 4 11 3" xfId="16970"/>
    <cellStyle name="常规 19 2 4 4 11 4" xfId="16974"/>
    <cellStyle name="常规 19 2 4 4 11 5" xfId="16979"/>
    <cellStyle name="常规 19 2 4 4 11 6" xfId="16984"/>
    <cellStyle name="常规 19 2 4 4 11 7" xfId="16988"/>
    <cellStyle name="常规 19 2 4 4 11 8" xfId="16991"/>
    <cellStyle name="常规 19 2 4 4 12" xfId="16994"/>
    <cellStyle name="常规 19 2 4 4 12 2" xfId="16997"/>
    <cellStyle name="常规 19 2 4 4 12 3" xfId="16998"/>
    <cellStyle name="常规 19 2 4 4 12 4" xfId="17001"/>
    <cellStyle name="常规 19 2 4 4 12 5" xfId="17005"/>
    <cellStyle name="常规 19 2 4 4 12 6" xfId="17009"/>
    <cellStyle name="常规 19 2 4 4 12 7" xfId="17012"/>
    <cellStyle name="常规 19 2 4 4 13" xfId="17013"/>
    <cellStyle name="常规 19 2 4 4 14" xfId="17014"/>
    <cellStyle name="常规 19 2 4 4 15" xfId="17015"/>
    <cellStyle name="常规 19 2 4 4 16" xfId="17016"/>
    <cellStyle name="常规 19 2 4 4 17" xfId="17017"/>
    <cellStyle name="常规 19 2 4 4 18" xfId="2830"/>
    <cellStyle name="常规 19 2 4 4 19" xfId="3786"/>
    <cellStyle name="常规 19 2 4 4 2" xfId="5069"/>
    <cellStyle name="常规 19 2 4 4 2 10" xfId="15395"/>
    <cellStyle name="常规 19 2 4 4 2 10 2" xfId="17018"/>
    <cellStyle name="常规 19 2 4 4 2 10 3" xfId="17019"/>
    <cellStyle name="常规 19 2 4 4 2 10 4" xfId="17020"/>
    <cellStyle name="常规 19 2 4 4 2 10 5" xfId="17021"/>
    <cellStyle name="常规 19 2 4 4 2 10 6" xfId="17022"/>
    <cellStyle name="常规 19 2 4 4 2 10 7" xfId="17023"/>
    <cellStyle name="常规 19 2 4 4 2 11" xfId="15397"/>
    <cellStyle name="常规 19 2 4 4 2 12" xfId="15399"/>
    <cellStyle name="常规 19 2 4 4 2 13" xfId="69"/>
    <cellStyle name="常规 19 2 4 4 2 14" xfId="6342"/>
    <cellStyle name="常规 19 2 4 4 2 15" xfId="4598"/>
    <cellStyle name="常规 19 2 4 4 2 16" xfId="6356"/>
    <cellStyle name="常规 19 2 4 4 2 17" xfId="17026"/>
    <cellStyle name="常规 19 2 4 4 2 2" xfId="17029"/>
    <cellStyle name="常规 19 2 4 4 2 2 2" xfId="17033"/>
    <cellStyle name="常规 19 2 4 4 2 2 3" xfId="17036"/>
    <cellStyle name="常规 19 2 4 4 2 2 4" xfId="17039"/>
    <cellStyle name="常规 19 2 4 4 2 2 5" xfId="17041"/>
    <cellStyle name="常规 19 2 4 4 2 2 6" xfId="17043"/>
    <cellStyle name="常规 19 2 4 4 2 2 7" xfId="17045"/>
    <cellStyle name="常规 19 2 4 4 2 2 8" xfId="17047"/>
    <cellStyle name="常规 19 2 4 4 2 3" xfId="17049"/>
    <cellStyle name="常规 19 2 4 4 2 3 2" xfId="17052"/>
    <cellStyle name="常规 19 2 4 4 2 3 3" xfId="17054"/>
    <cellStyle name="常规 19 2 4 4 2 3 4" xfId="17055"/>
    <cellStyle name="常规 19 2 4 4 2 3 5" xfId="17056"/>
    <cellStyle name="常规 19 2 4 4 2 3 6" xfId="17057"/>
    <cellStyle name="常规 19 2 4 4 2 3 7" xfId="17058"/>
    <cellStyle name="常规 19 2 4 4 2 3 8" xfId="17059"/>
    <cellStyle name="常规 19 2 4 4 2 4" xfId="17061"/>
    <cellStyle name="常规 19 2 4 4 2 4 2" xfId="3757"/>
    <cellStyle name="常规 19 2 4 4 2 4 3" xfId="6548"/>
    <cellStyle name="常规 19 2 4 4 2 4 4" xfId="7044"/>
    <cellStyle name="常规 19 2 4 4 2 4 5" xfId="17063"/>
    <cellStyle name="常规 19 2 4 4 2 4 6" xfId="17064"/>
    <cellStyle name="常规 19 2 4 4 2 4 7" xfId="17066"/>
    <cellStyle name="常规 19 2 4 4 2 4 8" xfId="17068"/>
    <cellStyle name="常规 19 2 4 4 2 5" xfId="17070"/>
    <cellStyle name="常规 19 2 4 4 2 5 2" xfId="17072"/>
    <cellStyle name="常规 19 2 4 4 2 5 3" xfId="11955"/>
    <cellStyle name="常规 19 2 4 4 2 5 4" xfId="11957"/>
    <cellStyle name="常规 19 2 4 4 2 5 5" xfId="17073"/>
    <cellStyle name="常规 19 2 4 4 2 5 6" xfId="8184"/>
    <cellStyle name="常规 19 2 4 4 2 5 7" xfId="3885"/>
    <cellStyle name="常规 19 2 4 4 2 5 8" xfId="17074"/>
    <cellStyle name="常规 19 2 4 4 2 6" xfId="58"/>
    <cellStyle name="常规 19 2 4 4 2 6 2" xfId="17076"/>
    <cellStyle name="常规 19 2 4 4 2 6 3" xfId="17079"/>
    <cellStyle name="常规 19 2 4 4 2 6 4" xfId="17081"/>
    <cellStyle name="常规 19 2 4 4 2 6 5" xfId="17083"/>
    <cellStyle name="常规 19 2 4 4 2 6 6" xfId="12740"/>
    <cellStyle name="常规 19 2 4 4 2 6 7" xfId="12140"/>
    <cellStyle name="常规 19 2 4 4 2 6 8" xfId="17084"/>
    <cellStyle name="常规 19 2 4 4 2 7" xfId="6789"/>
    <cellStyle name="常规 19 2 4 4 2 7 2" xfId="17085"/>
    <cellStyle name="常规 19 2 4 4 2 7 3" xfId="17087"/>
    <cellStyle name="常规 19 2 4 4 2 7 4" xfId="17089"/>
    <cellStyle name="常规 19 2 4 4 2 7 5" xfId="17090"/>
    <cellStyle name="常规 19 2 4 4 2 7 6" xfId="17092"/>
    <cellStyle name="常规 19 2 4 4 2 7 7" xfId="17094"/>
    <cellStyle name="常规 19 2 4 4 2 7 8" xfId="17096"/>
    <cellStyle name="常规 19 2 4 4 2 8" xfId="17097"/>
    <cellStyle name="常规 19 2 4 4 2 8 2" xfId="17099"/>
    <cellStyle name="常规 19 2 4 4 2 8 3" xfId="17101"/>
    <cellStyle name="常规 19 2 4 4 2 8 4" xfId="17103"/>
    <cellStyle name="常规 19 2 4 4 2 8 5" xfId="17104"/>
    <cellStyle name="常规 19 2 4 4 2 8 6" xfId="17105"/>
    <cellStyle name="常规 19 2 4 4 2 8 7" xfId="17106"/>
    <cellStyle name="常规 19 2 4 4 2 8 8" xfId="17107"/>
    <cellStyle name="常规 19 2 4 4 2 9" xfId="17108"/>
    <cellStyle name="常规 19 2 4 4 2 9 2" xfId="17109"/>
    <cellStyle name="常规 19 2 4 4 2 9 3" xfId="17110"/>
    <cellStyle name="常规 19 2 4 4 2 9 4" xfId="17112"/>
    <cellStyle name="常规 19 2 4 4 2 9 5" xfId="17114"/>
    <cellStyle name="常规 19 2 4 4 2 9 6" xfId="17115"/>
    <cellStyle name="常规 19 2 4 4 2 9 7" xfId="17116"/>
    <cellStyle name="常规 19 2 4 4 2 9 8" xfId="17117"/>
    <cellStyle name="常规 19 2 4 4 3" xfId="3025"/>
    <cellStyle name="常规 19 2 4 4 3 2" xfId="1243"/>
    <cellStyle name="常规 19 2 4 4 3 3" xfId="2776"/>
    <cellStyle name="常规 19 2 4 4 3 4" xfId="11027"/>
    <cellStyle name="常规 19 2 4 4 3 5" xfId="17120"/>
    <cellStyle name="常规 19 2 4 4 3 6" xfId="17125"/>
    <cellStyle name="常规 19 2 4 4 3 7" xfId="17130"/>
    <cellStyle name="常规 19 2 4 4 3 8" xfId="17133"/>
    <cellStyle name="常规 19 2 4 4 4" xfId="3038"/>
    <cellStyle name="常规 19 2 4 4 4 2" xfId="17137"/>
    <cellStyle name="常规 19 2 4 4 4 3" xfId="17140"/>
    <cellStyle name="常规 19 2 4 4 4 4" xfId="17143"/>
    <cellStyle name="常规 19 2 4 4 4 5" xfId="17146"/>
    <cellStyle name="常规 19 2 4 4 4 6" xfId="5280"/>
    <cellStyle name="常规 19 2 4 4 4 7" xfId="6034"/>
    <cellStyle name="常规 19 2 4 4 4 8" xfId="17147"/>
    <cellStyle name="常规 19 2 4 4 5" xfId="4132"/>
    <cellStyle name="常规 19 2 4 4 5 2" xfId="4137"/>
    <cellStyle name="常规 19 2 4 4 5 3" xfId="4141"/>
    <cellStyle name="常规 19 2 4 4 5 4" xfId="17149"/>
    <cellStyle name="常规 19 2 4 4 5 5" xfId="17152"/>
    <cellStyle name="常规 19 2 4 4 5 6" xfId="17155"/>
    <cellStyle name="常规 19 2 4 4 5 7" xfId="17158"/>
    <cellStyle name="常规 19 2 4 4 5 8" xfId="17160"/>
    <cellStyle name="常规 19 2 4 4 6" xfId="2706"/>
    <cellStyle name="常规 19 2 4 4 6 2" xfId="17165"/>
    <cellStyle name="常规 19 2 4 4 6 3" xfId="17169"/>
    <cellStyle name="常规 19 2 4 4 6 4" xfId="17171"/>
    <cellStyle name="常规 19 2 4 4 6 5" xfId="3692"/>
    <cellStyle name="常规 19 2 4 4 6 6" xfId="3702"/>
    <cellStyle name="常规 19 2 4 4 6 7" xfId="3720"/>
    <cellStyle name="常规 19 2 4 4 6 8" xfId="17173"/>
    <cellStyle name="常规 19 2 4 4 7" xfId="2712"/>
    <cellStyle name="常规 19 2 4 4 7 2" xfId="4973"/>
    <cellStyle name="常规 19 2 4 4 7 3" xfId="223"/>
    <cellStyle name="常规 19 2 4 4 7 4" xfId="17175"/>
    <cellStyle name="常规 19 2 4 4 7 5" xfId="119"/>
    <cellStyle name="常规 19 2 4 4 7 6" xfId="234"/>
    <cellStyle name="常规 19 2 4 4 7 7" xfId="17177"/>
    <cellStyle name="常规 19 2 4 4 7 8" xfId="17178"/>
    <cellStyle name="常规 19 2 4 4 8" xfId="4981"/>
    <cellStyle name="常规 19 2 4 4 8 2" xfId="17182"/>
    <cellStyle name="常规 19 2 4 4 8 3" xfId="17185"/>
    <cellStyle name="常规 19 2 4 4 8 4" xfId="17187"/>
    <cellStyle name="常规 19 2 4 4 8 5" xfId="3741"/>
    <cellStyle name="常规 19 2 4 4 8 6" xfId="1337"/>
    <cellStyle name="常规 19 2 4 4 8 7" xfId="206"/>
    <cellStyle name="常规 19 2 4 4 8 8" xfId="17190"/>
    <cellStyle name="常规 19 2 4 4 9" xfId="5643"/>
    <cellStyle name="常规 19 2 4 4 9 2" xfId="17194"/>
    <cellStyle name="常规 19 2 4 4 9 3" xfId="17196"/>
    <cellStyle name="常规 19 2 4 4 9 4" xfId="17197"/>
    <cellStyle name="常规 19 2 4 4 9 5" xfId="17201"/>
    <cellStyle name="常规 19 2 4 4 9 6" xfId="17206"/>
    <cellStyle name="常规 19 2 4 4 9 7" xfId="17211"/>
    <cellStyle name="常规 19 2 4 4 9 8" xfId="17218"/>
    <cellStyle name="常规 19 2 4 5" xfId="13997"/>
    <cellStyle name="常规 19 2 4 5 10" xfId="17221"/>
    <cellStyle name="常规 19 2 4 5 10 2" xfId="113"/>
    <cellStyle name="常规 19 2 4 5 10 3" xfId="17222"/>
    <cellStyle name="常规 19 2 4 5 10 4" xfId="479"/>
    <cellStyle name="常规 19 2 4 5 10 5" xfId="512"/>
    <cellStyle name="常规 19 2 4 5 10 6" xfId="5465"/>
    <cellStyle name="常规 19 2 4 5 10 7" xfId="5469"/>
    <cellStyle name="常规 19 2 4 5 11" xfId="17225"/>
    <cellStyle name="常规 19 2 4 5 12" xfId="17229"/>
    <cellStyle name="常规 19 2 4 5 13" xfId="17232"/>
    <cellStyle name="常规 19 2 4 5 14" xfId="17234"/>
    <cellStyle name="常规 19 2 4 5 15" xfId="17236"/>
    <cellStyle name="常规 19 2 4 5 16" xfId="17238"/>
    <cellStyle name="常规 19 2 4 5 17" xfId="17239"/>
    <cellStyle name="常规 19 2 4 5 2" xfId="9615"/>
    <cellStyle name="常规 19 2 4 5 2 2" xfId="17241"/>
    <cellStyle name="常规 19 2 4 5 2 3" xfId="1303"/>
    <cellStyle name="常规 19 2 4 5 2 4" xfId="1411"/>
    <cellStyle name="常规 19 2 4 5 2 5" xfId="1476"/>
    <cellStyle name="常规 19 2 4 5 2 6" xfId="1585"/>
    <cellStyle name="常规 19 2 4 5 2 7" xfId="1610"/>
    <cellStyle name="常规 19 2 4 5 2 8" xfId="1622"/>
    <cellStyle name="常规 19 2 4 5 3" xfId="1799"/>
    <cellStyle name="常规 19 2 4 5 3 2" xfId="17243"/>
    <cellStyle name="常规 19 2 4 5 3 3" xfId="1642"/>
    <cellStyle name="常规 19 2 4 5 3 4" xfId="1710"/>
    <cellStyle name="常规 19 2 4 5 3 5" xfId="1755"/>
    <cellStyle name="常规 19 2 4 5 3 6" xfId="1780"/>
    <cellStyle name="常规 19 2 4 5 3 7" xfId="17245"/>
    <cellStyle name="常规 19 2 4 5 3 8" xfId="17246"/>
    <cellStyle name="常规 19 2 4 5 4" xfId="1808"/>
    <cellStyle name="常规 19 2 4 5 4 2" xfId="17249"/>
    <cellStyle name="常规 19 2 4 5 4 3" xfId="1792"/>
    <cellStyle name="常规 19 2 4 5 4 4" xfId="333"/>
    <cellStyle name="常规 19 2 4 5 4 5" xfId="1671"/>
    <cellStyle name="常规 19 2 4 5 4 6" xfId="17252"/>
    <cellStyle name="常规 19 2 4 5 4 7" xfId="17254"/>
    <cellStyle name="常规 19 2 4 5 4 8" xfId="17256"/>
    <cellStyle name="常规 19 2 4 5 5" xfId="4143"/>
    <cellStyle name="常规 19 2 4 5 5 2" xfId="17259"/>
    <cellStyle name="常规 19 2 4 5 5 3" xfId="1843"/>
    <cellStyle name="常规 19 2 4 5 5 4" xfId="1715"/>
    <cellStyle name="常规 19 2 4 5 5 5" xfId="1744"/>
    <cellStyle name="常规 19 2 4 5 5 6" xfId="7431"/>
    <cellStyle name="常规 19 2 4 5 5 7" xfId="6092"/>
    <cellStyle name="常规 19 2 4 5 5 8" xfId="6101"/>
    <cellStyle name="常规 19 2 4 5 6" xfId="4162"/>
    <cellStyle name="常规 19 2 4 5 6 2" xfId="17262"/>
    <cellStyle name="常规 19 2 4 5 6 3" xfId="1897"/>
    <cellStyle name="常规 19 2 4 5 6 4" xfId="1761"/>
    <cellStyle name="常规 19 2 4 5 6 5" xfId="3783"/>
    <cellStyle name="常规 19 2 4 5 6 6" xfId="3813"/>
    <cellStyle name="常规 19 2 4 5 6 7" xfId="1506"/>
    <cellStyle name="常规 19 2 4 5 6 8" xfId="1522"/>
    <cellStyle name="常规 19 2 4 5 7" xfId="4498"/>
    <cellStyle name="常规 19 2 4 5 7 2" xfId="17264"/>
    <cellStyle name="常规 19 2 4 5 7 3" xfId="1935"/>
    <cellStyle name="常规 19 2 4 5 7 4" xfId="17266"/>
    <cellStyle name="常规 19 2 4 5 7 5" xfId="3828"/>
    <cellStyle name="常规 19 2 4 5 7 6" xfId="3835"/>
    <cellStyle name="常规 19 2 4 5 7 7" xfId="4746"/>
    <cellStyle name="常规 19 2 4 5 7 8" xfId="4753"/>
    <cellStyle name="常规 19 2 4 5 8" xfId="4994"/>
    <cellStyle name="常规 19 2 4 5 8 2" xfId="17269"/>
    <cellStyle name="常规 19 2 4 5 8 3" xfId="17272"/>
    <cellStyle name="常规 19 2 4 5 8 4" xfId="17274"/>
    <cellStyle name="常规 19 2 4 5 8 5" xfId="11418"/>
    <cellStyle name="常规 19 2 4 5 8 6" xfId="7484"/>
    <cellStyle name="常规 19 2 4 5 8 7" xfId="7495"/>
    <cellStyle name="常规 19 2 4 5 8 8" xfId="17276"/>
    <cellStyle name="常规 19 2 4 5 9" xfId="17277"/>
    <cellStyle name="常规 19 2 4 5 9 2" xfId="17279"/>
    <cellStyle name="常规 19 2 4 5 9 3" xfId="17282"/>
    <cellStyle name="常规 19 2 4 5 9 4" xfId="17285"/>
    <cellStyle name="常规 19 2 4 5 9 5" xfId="17288"/>
    <cellStyle name="常规 19 2 4 5 9 6" xfId="7501"/>
    <cellStyle name="常规 19 2 4 5 9 7" xfId="7510"/>
    <cellStyle name="常规 19 2 4 5 9 8" xfId="17293"/>
    <cellStyle name="常规 19 2 4 6" xfId="17296"/>
    <cellStyle name="常规 19 2 4 6 2" xfId="14783"/>
    <cellStyle name="常规 19 2 4 6 3" xfId="14789"/>
    <cellStyle name="常规 19 2 4 6 4" xfId="14794"/>
    <cellStyle name="常规 19 2 4 6 5" xfId="17298"/>
    <cellStyle name="常规 19 2 4 6 6" xfId="17300"/>
    <cellStyle name="常规 19 2 4 6 7" xfId="17302"/>
    <cellStyle name="常规 19 2 4 6 8" xfId="17304"/>
    <cellStyle name="常规 19 2 4 7" xfId="17307"/>
    <cellStyle name="常规 19 2 4 7 2" xfId="14817"/>
    <cellStyle name="常规 19 2 4 7 3" xfId="14823"/>
    <cellStyle name="常规 19 2 4 7 4" xfId="14827"/>
    <cellStyle name="常规 19 2 4 7 5" xfId="17309"/>
    <cellStyle name="常规 19 2 4 7 6" xfId="17311"/>
    <cellStyle name="常规 19 2 4 7 7" xfId="17313"/>
    <cellStyle name="常规 19 2 4 7 8" xfId="17314"/>
    <cellStyle name="常规 19 2 4 8" xfId="9628"/>
    <cellStyle name="常规 19 2 4 8 2" xfId="484"/>
    <cellStyle name="常规 19 2 4 8 3" xfId="517"/>
    <cellStyle name="常规 19 2 4 8 4" xfId="14831"/>
    <cellStyle name="常规 19 2 4 8 5" xfId="17316"/>
    <cellStyle name="常规 19 2 4 8 6" xfId="17318"/>
    <cellStyle name="常规 19 2 4 8 7" xfId="17319"/>
    <cellStyle name="常规 19 2 4 8 8" xfId="17320"/>
    <cellStyle name="常规 19 2 4 9" xfId="9633"/>
    <cellStyle name="常规 19 2 4 9 2" xfId="14850"/>
    <cellStyle name="常规 19 2 4 9 3" xfId="11580"/>
    <cellStyle name="常规 19 2 4 9 4" xfId="11585"/>
    <cellStyle name="常规 19 2 4 9 5" xfId="17322"/>
    <cellStyle name="常规 19 2 4 9 6" xfId="17324"/>
    <cellStyle name="常规 19 2 4 9 7" xfId="17325"/>
    <cellStyle name="常规 19 2 4 9 8" xfId="17326"/>
    <cellStyle name="常规 19 2 5" xfId="12448"/>
    <cellStyle name="常规 19 2 5 10" xfId="17327"/>
    <cellStyle name="常规 19 2 5 10 2" xfId="17328"/>
    <cellStyle name="常规 19 2 5 10 3" xfId="17329"/>
    <cellStyle name="常规 19 2 5 10 4" xfId="5074"/>
    <cellStyle name="常规 19 2 5 10 5" xfId="3030"/>
    <cellStyle name="常规 19 2 5 10 6" xfId="11251"/>
    <cellStyle name="常规 19 2 5 10 7" xfId="11261"/>
    <cellStyle name="常规 19 2 5 10 8" xfId="11270"/>
    <cellStyle name="常规 19 2 5 11" xfId="17330"/>
    <cellStyle name="常规 19 2 5 11 2" xfId="17331"/>
    <cellStyle name="常规 19 2 5 11 3" xfId="17332"/>
    <cellStyle name="常规 19 2 5 11 4" xfId="17333"/>
    <cellStyle name="常规 19 2 5 11 5" xfId="17336"/>
    <cellStyle name="常规 19 2 5 11 6" xfId="11274"/>
    <cellStyle name="常规 19 2 5 11 7" xfId="4146"/>
    <cellStyle name="常规 19 2 5 11 8" xfId="17339"/>
    <cellStyle name="常规 19 2 5 12" xfId="17342"/>
    <cellStyle name="常规 19 2 5 12 2" xfId="12039"/>
    <cellStyle name="常规 19 2 5 12 3" xfId="17343"/>
    <cellStyle name="常规 19 2 5 12 4" xfId="17344"/>
    <cellStyle name="常规 19 2 5 12 5" xfId="17347"/>
    <cellStyle name="常规 19 2 5 12 6" xfId="11284"/>
    <cellStyle name="常规 19 2 5 12 7" xfId="17350"/>
    <cellStyle name="常规 19 2 5 12 8" xfId="17354"/>
    <cellStyle name="常规 19 2 5 13" xfId="14528"/>
    <cellStyle name="常规 19 2 5 13 2" xfId="12047"/>
    <cellStyle name="常规 19 2 5 13 3" xfId="17358"/>
    <cellStyle name="常规 19 2 5 13 4" xfId="17359"/>
    <cellStyle name="常规 19 2 5 13 5" xfId="17360"/>
    <cellStyle name="常规 19 2 5 13 6" xfId="17361"/>
    <cellStyle name="常规 19 2 5 13 7" xfId="17363"/>
    <cellStyle name="常规 19 2 5 14" xfId="14534"/>
    <cellStyle name="常规 19 2 5 15" xfId="685"/>
    <cellStyle name="常规 19 2 5 16" xfId="2507"/>
    <cellStyle name="常规 19 2 5 17" xfId="2525"/>
    <cellStyle name="常规 19 2 5 18" xfId="3591"/>
    <cellStyle name="常规 19 2 5 19" xfId="10732"/>
    <cellStyle name="常规 19 2 5 2" xfId="3977"/>
    <cellStyle name="常规 19 2 5 2 10" xfId="9155"/>
    <cellStyle name="常规 19 2 5 2 10 2" xfId="17365"/>
    <cellStyle name="常规 19 2 5 2 10 3" xfId="17366"/>
    <cellStyle name="常规 19 2 5 2 10 4" xfId="17367"/>
    <cellStyle name="常规 19 2 5 2 10 5" xfId="17368"/>
    <cellStyle name="常规 19 2 5 2 10 6" xfId="17369"/>
    <cellStyle name="常规 19 2 5 2 10 7" xfId="17371"/>
    <cellStyle name="常规 19 2 5 2 10 8" xfId="17374"/>
    <cellStyle name="常规 19 2 5 2 11" xfId="17376"/>
    <cellStyle name="常规 19 2 5 2 11 2" xfId="17378"/>
    <cellStyle name="常规 19 2 5 2 11 3" xfId="17379"/>
    <cellStyle name="常规 19 2 5 2 11 4" xfId="17381"/>
    <cellStyle name="常规 19 2 5 2 11 5" xfId="17383"/>
    <cellStyle name="常规 19 2 5 2 11 6" xfId="17384"/>
    <cellStyle name="常规 19 2 5 2 11 7" xfId="17385"/>
    <cellStyle name="常规 19 2 5 2 11 8" xfId="17387"/>
    <cellStyle name="常规 19 2 5 2 12" xfId="17388"/>
    <cellStyle name="常规 19 2 5 2 12 2" xfId="17390"/>
    <cellStyle name="常规 19 2 5 2 12 3" xfId="17391"/>
    <cellStyle name="常规 19 2 5 2 12 4" xfId="17392"/>
    <cellStyle name="常规 19 2 5 2 12 5" xfId="17393"/>
    <cellStyle name="常规 19 2 5 2 12 6" xfId="17394"/>
    <cellStyle name="常规 19 2 5 2 12 7" xfId="17396"/>
    <cellStyle name="常规 19 2 5 2 13" xfId="17397"/>
    <cellStyle name="常规 19 2 5 2 14" xfId="17398"/>
    <cellStyle name="常规 19 2 5 2 15" xfId="17399"/>
    <cellStyle name="常规 19 2 5 2 16" xfId="17400"/>
    <cellStyle name="常规 19 2 5 2 17" xfId="17403"/>
    <cellStyle name="常规 19 2 5 2 18" xfId="17406"/>
    <cellStyle name="常规 19 2 5 2 19" xfId="17410"/>
    <cellStyle name="常规 19 2 5 2 2" xfId="17412"/>
    <cellStyle name="常规 19 2 5 2 2 10" xfId="17413"/>
    <cellStyle name="常规 19 2 5 2 2 10 2" xfId="17416"/>
    <cellStyle name="常规 19 2 5 2 2 10 3" xfId="17417"/>
    <cellStyle name="常规 19 2 5 2 2 10 4" xfId="17418"/>
    <cellStyle name="常规 19 2 5 2 2 10 5" xfId="17419"/>
    <cellStyle name="常规 19 2 5 2 2 10 6" xfId="17420"/>
    <cellStyle name="常规 19 2 5 2 2 10 7" xfId="17421"/>
    <cellStyle name="常规 19 2 5 2 2 11" xfId="17422"/>
    <cellStyle name="常规 19 2 5 2 2 12" xfId="17426"/>
    <cellStyle name="常规 19 2 5 2 2 13" xfId="17431"/>
    <cellStyle name="常规 19 2 5 2 2 14" xfId="2960"/>
    <cellStyle name="常规 19 2 5 2 2 15" xfId="3041"/>
    <cellStyle name="常规 19 2 5 2 2 16" xfId="3083"/>
    <cellStyle name="常规 19 2 5 2 2 17" xfId="3155"/>
    <cellStyle name="常规 19 2 5 2 2 2" xfId="17435"/>
    <cellStyle name="常规 19 2 5 2 2 2 2" xfId="17438"/>
    <cellStyle name="常规 19 2 5 2 2 2 3" xfId="17440"/>
    <cellStyle name="常规 19 2 5 2 2 2 4" xfId="8544"/>
    <cellStyle name="常规 19 2 5 2 2 2 5" xfId="8549"/>
    <cellStyle name="常规 19 2 5 2 2 2 6" xfId="8979"/>
    <cellStyle name="常规 19 2 5 2 2 2 7" xfId="17441"/>
    <cellStyle name="常规 19 2 5 2 2 2 8" xfId="6194"/>
    <cellStyle name="常规 19 2 5 2 2 3" xfId="17442"/>
    <cellStyle name="常规 19 2 5 2 2 3 2" xfId="17446"/>
    <cellStyle name="常规 19 2 5 2 2 3 3" xfId="17451"/>
    <cellStyle name="常规 19 2 5 2 2 3 4" xfId="17456"/>
    <cellStyle name="常规 19 2 5 2 2 3 5" xfId="17460"/>
    <cellStyle name="常规 19 2 5 2 2 3 6" xfId="17463"/>
    <cellStyle name="常规 19 2 5 2 2 3 7" xfId="17464"/>
    <cellStyle name="常规 19 2 5 2 2 3 8" xfId="6218"/>
    <cellStyle name="常规 19 2 5 2 2 4" xfId="17465"/>
    <cellStyle name="常规 19 2 5 2 2 4 2" xfId="17469"/>
    <cellStyle name="常规 19 2 5 2 2 4 3" xfId="17473"/>
    <cellStyle name="常规 19 2 5 2 2 4 4" xfId="17476"/>
    <cellStyle name="常规 19 2 5 2 2 4 5" xfId="17478"/>
    <cellStyle name="常规 19 2 5 2 2 4 6" xfId="17480"/>
    <cellStyle name="常规 19 2 5 2 2 4 7" xfId="17481"/>
    <cellStyle name="常规 19 2 5 2 2 4 8" xfId="6226"/>
    <cellStyle name="常规 19 2 5 2 2 5" xfId="17482"/>
    <cellStyle name="常规 19 2 5 2 2 5 2" xfId="17485"/>
    <cellStyle name="常规 19 2 5 2 2 5 3" xfId="17488"/>
    <cellStyle name="常规 19 2 5 2 2 5 4" xfId="17490"/>
    <cellStyle name="常规 19 2 5 2 2 5 5" xfId="17492"/>
    <cellStyle name="常规 19 2 5 2 2 5 6" xfId="17495"/>
    <cellStyle name="常规 19 2 5 2 2 5 7" xfId="17496"/>
    <cellStyle name="常规 19 2 5 2 2 5 8" xfId="17497"/>
    <cellStyle name="常规 19 2 5 2 2 6" xfId="16389"/>
    <cellStyle name="常规 19 2 5 2 2 6 2" xfId="17501"/>
    <cellStyle name="常规 19 2 5 2 2 6 3" xfId="17506"/>
    <cellStyle name="常规 19 2 5 2 2 6 4" xfId="17511"/>
    <cellStyle name="常规 19 2 5 2 2 6 5" xfId="17514"/>
    <cellStyle name="常规 19 2 5 2 2 6 6" xfId="17517"/>
    <cellStyle name="常规 19 2 5 2 2 6 7" xfId="17518"/>
    <cellStyle name="常规 19 2 5 2 2 6 8" xfId="17519"/>
    <cellStyle name="常规 19 2 5 2 2 7" xfId="16391"/>
    <cellStyle name="常规 19 2 5 2 2 7 2" xfId="17523"/>
    <cellStyle name="常规 19 2 5 2 2 7 3" xfId="17526"/>
    <cellStyle name="常规 19 2 5 2 2 7 4" xfId="17528"/>
    <cellStyle name="常规 19 2 5 2 2 7 5" xfId="9171"/>
    <cellStyle name="常规 19 2 5 2 2 7 6" xfId="9192"/>
    <cellStyle name="常规 19 2 5 2 2 7 7" xfId="17529"/>
    <cellStyle name="常规 19 2 5 2 2 7 8" xfId="17530"/>
    <cellStyle name="常规 19 2 5 2 2 8" xfId="16393"/>
    <cellStyle name="常规 19 2 5 2 2 8 2" xfId="17532"/>
    <cellStyle name="常规 19 2 5 2 2 8 3" xfId="17534"/>
    <cellStyle name="常规 19 2 5 2 2 8 4" xfId="17535"/>
    <cellStyle name="常规 19 2 5 2 2 8 5" xfId="17536"/>
    <cellStyle name="常规 19 2 5 2 2 8 6" xfId="17537"/>
    <cellStyle name="常规 19 2 5 2 2 8 7" xfId="17538"/>
    <cellStyle name="常规 19 2 5 2 2 8 8" xfId="17539"/>
    <cellStyle name="常规 19 2 5 2 2 9" xfId="16395"/>
    <cellStyle name="常规 19 2 5 2 2 9 2" xfId="17542"/>
    <cellStyle name="常规 19 2 5 2 2 9 3" xfId="17544"/>
    <cellStyle name="常规 19 2 5 2 2 9 4" xfId="17545"/>
    <cellStyle name="常规 19 2 5 2 2 9 5" xfId="17546"/>
    <cellStyle name="常规 19 2 5 2 2 9 6" xfId="17547"/>
    <cellStyle name="常规 19 2 5 2 2 9 7" xfId="17549"/>
    <cellStyle name="常规 19 2 5 2 2 9 8" xfId="17553"/>
    <cellStyle name="常规 19 2 5 2 3" xfId="17554"/>
    <cellStyle name="常规 19 2 5 2 3 2" xfId="17556"/>
    <cellStyle name="常规 19 2 5 2 3 3" xfId="11061"/>
    <cellStyle name="常规 19 2 5 2 3 4" xfId="11068"/>
    <cellStyle name="常规 19 2 5 2 3 5" xfId="17558"/>
    <cellStyle name="常规 19 2 5 2 3 6" xfId="4825"/>
    <cellStyle name="常规 19 2 5 2 3 7" xfId="4831"/>
    <cellStyle name="常规 19 2 5 2 3 8" xfId="12723"/>
    <cellStyle name="常规 19 2 5 2 4" xfId="17559"/>
    <cellStyle name="常规 19 2 5 2 4 2" xfId="17561"/>
    <cellStyle name="常规 19 2 5 2 4 3" xfId="11072"/>
    <cellStyle name="常规 19 2 5 2 4 4" xfId="11074"/>
    <cellStyle name="常规 19 2 5 2 4 5" xfId="17564"/>
    <cellStyle name="常规 19 2 5 2 4 6" xfId="16405"/>
    <cellStyle name="常规 19 2 5 2 4 7" xfId="16407"/>
    <cellStyle name="常规 19 2 5 2 4 8" xfId="16409"/>
    <cellStyle name="常规 19 2 5 2 5" xfId="17565"/>
    <cellStyle name="常规 19 2 5 2 5 2" xfId="17566"/>
    <cellStyle name="常规 19 2 5 2 5 3" xfId="17567"/>
    <cellStyle name="常规 19 2 5 2 5 4" xfId="17568"/>
    <cellStyle name="常规 19 2 5 2 5 5" xfId="17569"/>
    <cellStyle name="常规 19 2 5 2 5 6" xfId="16412"/>
    <cellStyle name="常规 19 2 5 2 5 7" xfId="16414"/>
    <cellStyle name="常规 19 2 5 2 5 8" xfId="16416"/>
    <cellStyle name="常规 19 2 5 2 6" xfId="17570"/>
    <cellStyle name="常规 19 2 5 2 6 2" xfId="17571"/>
    <cellStyle name="常规 19 2 5 2 6 3" xfId="17572"/>
    <cellStyle name="常规 19 2 5 2 6 4" xfId="17573"/>
    <cellStyle name="常规 19 2 5 2 6 5" xfId="17574"/>
    <cellStyle name="常规 19 2 5 2 6 6" xfId="16422"/>
    <cellStyle name="常规 19 2 5 2 6 7" xfId="16425"/>
    <cellStyle name="常规 19 2 5 2 6 8" xfId="16427"/>
    <cellStyle name="常规 19 2 5 2 7" xfId="17576"/>
    <cellStyle name="常规 19 2 5 2 7 2" xfId="7952"/>
    <cellStyle name="常规 19 2 5 2 7 3" xfId="17578"/>
    <cellStyle name="常规 19 2 5 2 7 4" xfId="17579"/>
    <cellStyle name="常规 19 2 5 2 7 5" xfId="17580"/>
    <cellStyle name="常规 19 2 5 2 7 6" xfId="16433"/>
    <cellStyle name="常规 19 2 5 2 7 7" xfId="16435"/>
    <cellStyle name="常规 19 2 5 2 7 8" xfId="6254"/>
    <cellStyle name="常规 19 2 5 2 8" xfId="17582"/>
    <cellStyle name="常规 19 2 5 2 8 2" xfId="8499"/>
    <cellStyle name="常规 19 2 5 2 8 3" xfId="17583"/>
    <cellStyle name="常规 19 2 5 2 8 4" xfId="17584"/>
    <cellStyle name="常规 19 2 5 2 8 5" xfId="17585"/>
    <cellStyle name="常规 19 2 5 2 8 6" xfId="16441"/>
    <cellStyle name="常规 19 2 5 2 8 7" xfId="16443"/>
    <cellStyle name="常规 19 2 5 2 8 8" xfId="16445"/>
    <cellStyle name="常规 19 2 5 2 9" xfId="17587"/>
    <cellStyle name="常规 19 2 5 2 9 2" xfId="8504"/>
    <cellStyle name="常规 19 2 5 2 9 3" xfId="17588"/>
    <cellStyle name="常规 19 2 5 2 9 4" xfId="17590"/>
    <cellStyle name="常规 19 2 5 2 9 5" xfId="17593"/>
    <cellStyle name="常规 19 2 5 2 9 6" xfId="17595"/>
    <cellStyle name="常规 19 2 5 2 9 7" xfId="17597"/>
    <cellStyle name="常规 19 2 5 2 9 8" xfId="5911"/>
    <cellStyle name="常规 19 2 5 20" xfId="686"/>
    <cellStyle name="常规 19 2 5 3" xfId="17599"/>
    <cellStyle name="常规 19 2 5 3 10" xfId="11188"/>
    <cellStyle name="常规 19 2 5 3 10 2" xfId="3681"/>
    <cellStyle name="常规 19 2 5 3 10 3" xfId="3770"/>
    <cellStyle name="常规 19 2 5 3 10 4" xfId="3849"/>
    <cellStyle name="常规 19 2 5 3 10 5" xfId="3094"/>
    <cellStyle name="常规 19 2 5 3 10 6" xfId="3141"/>
    <cellStyle name="常规 19 2 5 3 10 7" xfId="12356"/>
    <cellStyle name="常规 19 2 5 3 11" xfId="11192"/>
    <cellStyle name="常规 19 2 5 3 12" xfId="17601"/>
    <cellStyle name="常规 19 2 5 3 13" xfId="17603"/>
    <cellStyle name="常规 19 2 5 3 14" xfId="17605"/>
    <cellStyle name="常规 19 2 5 3 15" xfId="17607"/>
    <cellStyle name="常规 19 2 5 3 16" xfId="17608"/>
    <cellStyle name="常规 19 2 5 3 17" xfId="17609"/>
    <cellStyle name="常规 19 2 5 3 2" xfId="17610"/>
    <cellStyle name="常规 19 2 5 3 2 2" xfId="13465"/>
    <cellStyle name="常规 19 2 5 3 2 3" xfId="13468"/>
    <cellStyle name="常规 19 2 5 3 2 4" xfId="13471"/>
    <cellStyle name="常规 19 2 5 3 2 5" xfId="13473"/>
    <cellStyle name="常规 19 2 5 3 2 6" xfId="13475"/>
    <cellStyle name="常规 19 2 5 3 2 7" xfId="17611"/>
    <cellStyle name="常规 19 2 5 3 2 8" xfId="17612"/>
    <cellStyle name="常规 19 2 5 3 3" xfId="1619"/>
    <cellStyle name="常规 19 2 5 3 3 2" xfId="1466"/>
    <cellStyle name="常规 19 2 5 3 3 3" xfId="3058"/>
    <cellStyle name="常规 19 2 5 3 3 4" xfId="11082"/>
    <cellStyle name="常规 19 2 5 3 3 5" xfId="13482"/>
    <cellStyle name="常规 19 2 5 3 3 6" xfId="13485"/>
    <cellStyle name="常规 19 2 5 3 3 7" xfId="17614"/>
    <cellStyle name="常规 19 2 5 3 3 8" xfId="17616"/>
    <cellStyle name="常规 19 2 5 3 4" xfId="3065"/>
    <cellStyle name="常规 19 2 5 3 4 2" xfId="12113"/>
    <cellStyle name="常规 19 2 5 3 4 3" xfId="11089"/>
    <cellStyle name="常规 19 2 5 3 4 4" xfId="11097"/>
    <cellStyle name="常规 19 2 5 3 4 5" xfId="13495"/>
    <cellStyle name="常规 19 2 5 3 4 6" xfId="13501"/>
    <cellStyle name="常规 19 2 5 3 4 7" xfId="17617"/>
    <cellStyle name="常规 19 2 5 3 4 8" xfId="17618"/>
    <cellStyle name="常规 19 2 5 3 5" xfId="4179"/>
    <cellStyle name="常规 19 2 5 3 5 2" xfId="4187"/>
    <cellStyle name="常规 19 2 5 3 5 3" xfId="4194"/>
    <cellStyle name="常规 19 2 5 3 5 4" xfId="13515"/>
    <cellStyle name="常规 19 2 5 3 5 5" xfId="13520"/>
    <cellStyle name="常规 19 2 5 3 5 6" xfId="13525"/>
    <cellStyle name="常规 19 2 5 3 5 7" xfId="17620"/>
    <cellStyle name="常规 19 2 5 3 5 8" xfId="17622"/>
    <cellStyle name="常规 19 2 5 3 6" xfId="2793"/>
    <cellStyle name="常规 19 2 5 3 6 2" xfId="17624"/>
    <cellStyle name="常规 19 2 5 3 6 3" xfId="12798"/>
    <cellStyle name="常规 19 2 5 3 6 4" xfId="7398"/>
    <cellStyle name="常规 19 2 5 3 6 5" xfId="3938"/>
    <cellStyle name="常规 19 2 5 3 6 6" xfId="12804"/>
    <cellStyle name="常规 19 2 5 3 6 7" xfId="12809"/>
    <cellStyle name="常规 19 2 5 3 6 8" xfId="4817"/>
    <cellStyle name="常规 19 2 5 3 7" xfId="2983"/>
    <cellStyle name="常规 19 2 5 3 7 2" xfId="5013"/>
    <cellStyle name="常规 19 2 5 3 7 3" xfId="94"/>
    <cellStyle name="常规 19 2 5 3 7 4" xfId="12815"/>
    <cellStyle name="常规 19 2 5 3 7 5" xfId="11448"/>
    <cellStyle name="常规 19 2 5 3 7 6" xfId="11451"/>
    <cellStyle name="常规 19 2 5 3 7 7" xfId="11792"/>
    <cellStyle name="常规 19 2 5 3 7 8" xfId="4857"/>
    <cellStyle name="常规 19 2 5 3 8" xfId="5019"/>
    <cellStyle name="常规 19 2 5 3 8 2" xfId="8519"/>
    <cellStyle name="常规 19 2 5 3 8 3" xfId="12820"/>
    <cellStyle name="常规 19 2 5 3 8 4" xfId="9705"/>
    <cellStyle name="常规 19 2 5 3 8 5" xfId="3959"/>
    <cellStyle name="常规 19 2 5 3 8 6" xfId="12822"/>
    <cellStyle name="常规 19 2 5 3 8 7" xfId="1979"/>
    <cellStyle name="常规 19 2 5 3 8 8" xfId="2028"/>
    <cellStyle name="常规 19 2 5 3 9" xfId="5438"/>
    <cellStyle name="常规 19 2 5 3 9 2" xfId="17625"/>
    <cellStyle name="常规 19 2 5 3 9 3" xfId="12827"/>
    <cellStyle name="常规 19 2 5 3 9 4" xfId="12829"/>
    <cellStyle name="常规 19 2 5 3 9 5" xfId="12832"/>
    <cellStyle name="常规 19 2 5 3 9 6" xfId="12835"/>
    <cellStyle name="常规 19 2 5 3 9 7" xfId="12839"/>
    <cellStyle name="常规 19 2 5 3 9 8" xfId="12842"/>
    <cellStyle name="常规 19 2 5 4" xfId="5110"/>
    <cellStyle name="常规 19 2 5 4 2" xfId="16376"/>
    <cellStyle name="常规 19 2 5 4 3" xfId="3074"/>
    <cellStyle name="常规 19 2 5 4 4" xfId="274"/>
    <cellStyle name="常规 19 2 5 4 5" xfId="4200"/>
    <cellStyle name="常规 19 2 5 4 6" xfId="4203"/>
    <cellStyle name="常规 19 2 5 4 7" xfId="5021"/>
    <cellStyle name="常规 19 2 5 4 8" xfId="5029"/>
    <cellStyle name="常规 19 2 5 5" xfId="323"/>
    <cellStyle name="常规 19 2 5 5 2" xfId="17626"/>
    <cellStyle name="常规 19 2 5 5 3" xfId="17628"/>
    <cellStyle name="常规 19 2 5 5 4" xfId="17629"/>
    <cellStyle name="常规 19 2 5 5 5" xfId="17630"/>
    <cellStyle name="常规 19 2 5 5 6" xfId="17631"/>
    <cellStyle name="常规 19 2 5 5 7" xfId="17632"/>
    <cellStyle name="常规 19 2 5 5 8" xfId="17633"/>
    <cellStyle name="常规 19 2 5 6" xfId="17634"/>
    <cellStyle name="常规 19 2 5 6 2" xfId="17635"/>
    <cellStyle name="常规 19 2 5 6 3" xfId="17637"/>
    <cellStyle name="常规 19 2 5 6 4" xfId="17638"/>
    <cellStyle name="常规 19 2 5 6 5" xfId="6328"/>
    <cellStyle name="常规 19 2 5 6 6" xfId="6331"/>
    <cellStyle name="常规 19 2 5 6 7" xfId="17639"/>
    <cellStyle name="常规 19 2 5 6 8" xfId="17640"/>
    <cellStyle name="常规 19 2 5 7" xfId="17641"/>
    <cellStyle name="常规 19 2 5 7 2" xfId="17642"/>
    <cellStyle name="常规 19 2 5 7 3" xfId="17645"/>
    <cellStyle name="常规 19 2 5 7 4" xfId="17646"/>
    <cellStyle name="常规 19 2 5 7 5" xfId="17647"/>
    <cellStyle name="常规 19 2 5 7 6" xfId="17649"/>
    <cellStyle name="常规 19 2 5 7 7" xfId="17651"/>
    <cellStyle name="常规 19 2 5 7 8" xfId="17652"/>
    <cellStyle name="常规 19 2 5 8" xfId="17653"/>
    <cellStyle name="常规 19 2 5 8 2" xfId="17654"/>
    <cellStyle name="常规 19 2 5 8 3" xfId="17656"/>
    <cellStyle name="常规 19 2 5 8 4" xfId="8622"/>
    <cellStyle name="常规 19 2 5 8 5" xfId="8625"/>
    <cellStyle name="常规 19 2 5 8 6" xfId="17657"/>
    <cellStyle name="常规 19 2 5 8 7" xfId="17658"/>
    <cellStyle name="常规 19 2 5 8 8" xfId="17659"/>
    <cellStyle name="常规 19 2 5 9" xfId="17660"/>
    <cellStyle name="常规 19 2 5 9 2" xfId="17661"/>
    <cellStyle name="常规 19 2 5 9 3" xfId="17663"/>
    <cellStyle name="常规 19 2 5 9 4" xfId="17664"/>
    <cellStyle name="常规 19 2 5 9 5" xfId="17665"/>
    <cellStyle name="常规 19 2 5 9 6" xfId="17666"/>
    <cellStyle name="常规 19 2 5 9 7" xfId="17667"/>
    <cellStyle name="常规 19 2 5 9 8" xfId="17670"/>
    <cellStyle name="常规 19 2 6" xfId="17673"/>
    <cellStyle name="常规 19 2 6 10" xfId="17675"/>
    <cellStyle name="常规 19 2 6 10 2" xfId="17677"/>
    <cellStyle name="常规 19 2 6 10 3" xfId="17679"/>
    <cellStyle name="常规 19 2 6 10 4" xfId="17681"/>
    <cellStyle name="常规 19 2 6 10 5" xfId="8991"/>
    <cellStyle name="常规 19 2 6 10 6" xfId="9104"/>
    <cellStyle name="常规 19 2 6 10 7" xfId="8750"/>
    <cellStyle name="常规 19 2 6 10 8" xfId="8828"/>
    <cellStyle name="常规 19 2 6 11" xfId="17683"/>
    <cellStyle name="常规 19 2 6 11 2" xfId="17685"/>
    <cellStyle name="常规 19 2 6 11 3" xfId="17689"/>
    <cellStyle name="常规 19 2 6 11 4" xfId="17693"/>
    <cellStyle name="常规 19 2 6 11 5" xfId="17699"/>
    <cellStyle name="常规 19 2 6 11 6" xfId="17705"/>
    <cellStyle name="常规 19 2 6 11 7" xfId="8883"/>
    <cellStyle name="常规 19 2 6 11 8" xfId="8889"/>
    <cellStyle name="常规 19 2 6 12" xfId="6118"/>
    <cellStyle name="常规 19 2 6 12 2" xfId="17708"/>
    <cellStyle name="常规 19 2 6 12 3" xfId="17712"/>
    <cellStyle name="常规 19 2 6 12 4" xfId="17716"/>
    <cellStyle name="常规 19 2 6 12 5" xfId="17719"/>
    <cellStyle name="常规 19 2 6 12 6" xfId="17723"/>
    <cellStyle name="常规 19 2 6 12 7" xfId="2488"/>
    <cellStyle name="常规 19 2 6 12 8" xfId="3575"/>
    <cellStyle name="常规 19 2 6 13" xfId="6122"/>
    <cellStyle name="常规 19 2 6 13 2" xfId="9068"/>
    <cellStyle name="常规 19 2 6 13 3" xfId="9077"/>
    <cellStyle name="常规 19 2 6 13 4" xfId="670"/>
    <cellStyle name="常规 19 2 6 13 5" xfId="692"/>
    <cellStyle name="常规 19 2 6 13 6" xfId="2512"/>
    <cellStyle name="常规 19 2 6 13 7" xfId="2530"/>
    <cellStyle name="常规 19 2 6 14" xfId="9082"/>
    <cellStyle name="常规 19 2 6 15" xfId="8317"/>
    <cellStyle name="常规 19 2 6 16" xfId="8326"/>
    <cellStyle name="常规 19 2 6 17" xfId="15564"/>
    <cellStyle name="常规 19 2 6 18" xfId="15568"/>
    <cellStyle name="常规 19 2 6 19" xfId="14568"/>
    <cellStyle name="常规 19 2 6 2" xfId="17725"/>
    <cellStyle name="常规 19 2 6 2 10" xfId="6350"/>
    <cellStyle name="常规 19 2 6 2 10 2" xfId="17727"/>
    <cellStyle name="常规 19 2 6 2 10 3" xfId="17730"/>
    <cellStyle name="常规 19 2 6 2 10 4" xfId="17735"/>
    <cellStyle name="常规 19 2 6 2 10 5" xfId="17740"/>
    <cellStyle name="常规 19 2 6 2 10 6" xfId="5631"/>
    <cellStyle name="常规 19 2 6 2 10 7" xfId="10285"/>
    <cellStyle name="常规 19 2 6 2 10 8" xfId="17743"/>
    <cellStyle name="常规 19 2 6 2 11" xfId="16086"/>
    <cellStyle name="常规 19 2 6 2 11 2" xfId="17745"/>
    <cellStyle name="常规 19 2 6 2 11 3" xfId="17748"/>
    <cellStyle name="常规 19 2 6 2 11 4" xfId="17751"/>
    <cellStyle name="常规 19 2 6 2 11 5" xfId="17754"/>
    <cellStyle name="常规 19 2 6 2 11 6" xfId="12502"/>
    <cellStyle name="常规 19 2 6 2 11 7" xfId="5852"/>
    <cellStyle name="常规 19 2 6 2 11 8" xfId="1095"/>
    <cellStyle name="常规 19 2 6 2 12" xfId="16089"/>
    <cellStyle name="常规 19 2 6 2 12 2" xfId="17757"/>
    <cellStyle name="常规 19 2 6 2 12 3" xfId="17760"/>
    <cellStyle name="常规 19 2 6 2 12 4" xfId="17763"/>
    <cellStyle name="常规 19 2 6 2 12 5" xfId="17766"/>
    <cellStyle name="常规 19 2 6 2 12 6" xfId="17769"/>
    <cellStyle name="常规 19 2 6 2 12 7" xfId="17773"/>
    <cellStyle name="常规 19 2 6 2 13" xfId="17777"/>
    <cellStyle name="常规 19 2 6 2 14" xfId="17780"/>
    <cellStyle name="常规 19 2 6 2 15" xfId="14955"/>
    <cellStyle name="常规 19 2 6 2 16" xfId="2153"/>
    <cellStyle name="常规 19 2 6 2 17" xfId="2166"/>
    <cellStyle name="常规 19 2 6 2 18" xfId="14987"/>
    <cellStyle name="常规 19 2 6 2 19" xfId="15005"/>
    <cellStyle name="常规 19 2 6 2 2" xfId="14442"/>
    <cellStyle name="常规 19 2 6 2 2 10" xfId="17782"/>
    <cellStyle name="常规 19 2 6 2 2 10 2" xfId="17784"/>
    <cellStyle name="常规 19 2 6 2 2 10 3" xfId="17787"/>
    <cellStyle name="常规 19 2 6 2 2 10 4" xfId="16179"/>
    <cellStyle name="常规 19 2 6 2 2 10 5" xfId="16182"/>
    <cellStyle name="常规 19 2 6 2 2 10 6" xfId="16185"/>
    <cellStyle name="常规 19 2 6 2 2 10 7" xfId="16188"/>
    <cellStyle name="常规 19 2 6 2 2 11" xfId="17789"/>
    <cellStyle name="常规 19 2 6 2 2 12" xfId="17794"/>
    <cellStyle name="常规 19 2 6 2 2 13" xfId="17800"/>
    <cellStyle name="常规 19 2 6 2 2 14" xfId="17805"/>
    <cellStyle name="常规 19 2 6 2 2 15" xfId="17809"/>
    <cellStyle name="常规 19 2 6 2 2 16" xfId="17814"/>
    <cellStyle name="常规 19 2 6 2 2 17" xfId="17820"/>
    <cellStyle name="常规 19 2 6 2 2 2" xfId="17824"/>
    <cellStyle name="常规 19 2 6 2 2 2 2" xfId="12920"/>
    <cellStyle name="常规 19 2 6 2 2 2 3" xfId="17826"/>
    <cellStyle name="常规 19 2 6 2 2 2 4" xfId="17829"/>
    <cellStyle name="常规 19 2 6 2 2 2 5" xfId="9272"/>
    <cellStyle name="常规 19 2 6 2 2 2 6" xfId="9376"/>
    <cellStyle name="常规 19 2 6 2 2 2 7" xfId="9438"/>
    <cellStyle name="常规 19 2 6 2 2 2 8" xfId="5191"/>
    <cellStyle name="常规 19 2 6 2 2 3" xfId="17832"/>
    <cellStyle name="常规 19 2 6 2 2 3 2" xfId="12935"/>
    <cellStyle name="常规 19 2 6 2 2 3 3" xfId="17834"/>
    <cellStyle name="常规 19 2 6 2 2 3 4" xfId="17836"/>
    <cellStyle name="常规 19 2 6 2 2 3 5" xfId="17839"/>
    <cellStyle name="常规 19 2 6 2 2 3 6" xfId="17842"/>
    <cellStyle name="常规 19 2 6 2 2 3 7" xfId="17844"/>
    <cellStyle name="常规 19 2 6 2 2 3 8" xfId="17846"/>
    <cellStyle name="常规 19 2 6 2 2 4" xfId="7565"/>
    <cellStyle name="常规 19 2 6 2 2 4 2" xfId="7577"/>
    <cellStyle name="常规 19 2 6 2 2 4 3" xfId="7595"/>
    <cellStyle name="常规 19 2 6 2 2 4 4" xfId="732"/>
    <cellStyle name="常规 19 2 6 2 2 4 5" xfId="774"/>
    <cellStyle name="常规 19 2 6 2 2 4 6" xfId="2569"/>
    <cellStyle name="常规 19 2 6 2 2 4 7" xfId="1184"/>
    <cellStyle name="常规 19 2 6 2 2 4 8" xfId="17848"/>
    <cellStyle name="常规 19 2 6 2 2 5" xfId="7602"/>
    <cellStyle name="常规 19 2 6 2 2 5 2" xfId="7611"/>
    <cellStyle name="常规 19 2 6 2 2 5 3" xfId="7617"/>
    <cellStyle name="常规 19 2 6 2 2 5 4" xfId="809"/>
    <cellStyle name="常规 19 2 6 2 2 5 5" xfId="830"/>
    <cellStyle name="常规 19 2 6 2 2 5 6" xfId="2598"/>
    <cellStyle name="常规 19 2 6 2 2 5 7" xfId="2606"/>
    <cellStyle name="常规 19 2 6 2 2 5 8" xfId="17850"/>
    <cellStyle name="常规 19 2 6 2 2 6" xfId="3865"/>
    <cellStyle name="常规 19 2 6 2 2 6 2" xfId="10077"/>
    <cellStyle name="常规 19 2 6 2 2 6 3" xfId="10103"/>
    <cellStyle name="常规 19 2 6 2 2 6 4" xfId="10716"/>
    <cellStyle name="常规 19 2 6 2 2 6 5" xfId="17853"/>
    <cellStyle name="常规 19 2 6 2 2 6 6" xfId="17856"/>
    <cellStyle name="常规 19 2 6 2 2 6 7" xfId="17858"/>
    <cellStyle name="常规 19 2 6 2 2 6 8" xfId="17860"/>
    <cellStyle name="常规 19 2 6 2 2 7" xfId="10720"/>
    <cellStyle name="常规 19 2 6 2 2 7 2" xfId="10726"/>
    <cellStyle name="常规 19 2 6 2 2 7 3" xfId="10739"/>
    <cellStyle name="常规 19 2 6 2 2 7 4" xfId="9914"/>
    <cellStyle name="常规 19 2 6 2 2 7 5" xfId="9917"/>
    <cellStyle name="常规 19 2 6 2 2 7 6" xfId="10852"/>
    <cellStyle name="常规 19 2 6 2 2 7 7" xfId="17862"/>
    <cellStyle name="常规 19 2 6 2 2 7 8" xfId="13417"/>
    <cellStyle name="常规 19 2 6 2 2 8" xfId="10748"/>
    <cellStyle name="常规 19 2 6 2 2 8 2" xfId="10754"/>
    <cellStyle name="常规 19 2 6 2 2 8 3" xfId="10762"/>
    <cellStyle name="常规 19 2 6 2 2 8 4" xfId="17864"/>
    <cellStyle name="常规 19 2 6 2 2 8 5" xfId="17866"/>
    <cellStyle name="常规 19 2 6 2 2 8 6" xfId="17868"/>
    <cellStyle name="常规 19 2 6 2 2 8 7" xfId="17870"/>
    <cellStyle name="常规 19 2 6 2 2 8 8" xfId="17872"/>
    <cellStyle name="常规 19 2 6 2 2 9" xfId="10766"/>
    <cellStyle name="常规 19 2 6 2 2 9 2" xfId="10771"/>
    <cellStyle name="常规 19 2 6 2 2 9 3" xfId="10774"/>
    <cellStyle name="常规 19 2 6 2 2 9 4" xfId="17874"/>
    <cellStyle name="常规 19 2 6 2 2 9 5" xfId="17876"/>
    <cellStyle name="常规 19 2 6 2 2 9 6" xfId="17878"/>
    <cellStyle name="常规 19 2 6 2 2 9 7" xfId="17880"/>
    <cellStyle name="常规 19 2 6 2 2 9 8" xfId="17882"/>
    <cellStyle name="常规 19 2 6 2 3" xfId="17885"/>
    <cellStyle name="常规 19 2 6 2 3 2" xfId="17888"/>
    <cellStyle name="常规 19 2 6 2 3 3" xfId="11145"/>
    <cellStyle name="常规 19 2 6 2 3 4" xfId="4763"/>
    <cellStyle name="常规 19 2 6 2 3 5" xfId="4771"/>
    <cellStyle name="常规 19 2 6 2 3 6" xfId="5504"/>
    <cellStyle name="常规 19 2 6 2 3 7" xfId="5510"/>
    <cellStyle name="常规 19 2 6 2 3 8" xfId="10859"/>
    <cellStyle name="常规 19 2 6 2 4" xfId="17891"/>
    <cellStyle name="常规 19 2 6 2 4 2" xfId="3887"/>
    <cellStyle name="常规 19 2 6 2 4 3" xfId="11160"/>
    <cellStyle name="常规 19 2 6 2 4 4" xfId="10875"/>
    <cellStyle name="常规 19 2 6 2 4 5" xfId="10883"/>
    <cellStyle name="常规 19 2 6 2 4 6" xfId="10891"/>
    <cellStyle name="常规 19 2 6 2 4 7" xfId="15572"/>
    <cellStyle name="常规 19 2 6 2 4 8" xfId="15576"/>
    <cellStyle name="常规 19 2 6 2 5" xfId="17895"/>
    <cellStyle name="常规 19 2 6 2 5 2" xfId="12135"/>
    <cellStyle name="常规 19 2 6 2 5 3" xfId="14945"/>
    <cellStyle name="常规 19 2 6 2 5 4" xfId="10896"/>
    <cellStyle name="常规 19 2 6 2 5 5" xfId="10910"/>
    <cellStyle name="常规 19 2 6 2 5 6" xfId="10922"/>
    <cellStyle name="常规 19 2 6 2 5 7" xfId="14952"/>
    <cellStyle name="常规 19 2 6 2 5 8" xfId="15584"/>
    <cellStyle name="常规 19 2 6 2 6" xfId="17899"/>
    <cellStyle name="常规 19 2 6 2 6 2" xfId="17907"/>
    <cellStyle name="常规 19 2 6 2 6 3" xfId="17911"/>
    <cellStyle name="常规 19 2 6 2 6 4" xfId="1951"/>
    <cellStyle name="常规 19 2 6 2 6 5" xfId="9322"/>
    <cellStyle name="常规 19 2 6 2 6 6" xfId="10950"/>
    <cellStyle name="常规 19 2 6 2 6 7" xfId="15599"/>
    <cellStyle name="常规 19 2 6 2 6 8" xfId="15607"/>
    <cellStyle name="常规 19 2 6 2 7" xfId="17914"/>
    <cellStyle name="常规 19 2 6 2 7 2" xfId="17917"/>
    <cellStyle name="常规 19 2 6 2 7 3" xfId="17920"/>
    <cellStyle name="常规 19 2 6 2 7 4" xfId="10953"/>
    <cellStyle name="常规 19 2 6 2 7 5" xfId="10967"/>
    <cellStyle name="常规 19 2 6 2 7 6" xfId="15625"/>
    <cellStyle name="常规 19 2 6 2 7 7" xfId="11517"/>
    <cellStyle name="常规 19 2 6 2 7 8" xfId="6283"/>
    <cellStyle name="常规 19 2 6 2 8" xfId="17923"/>
    <cellStyle name="常规 19 2 6 2 8 2" xfId="17925"/>
    <cellStyle name="常规 19 2 6 2 8 3" xfId="17927"/>
    <cellStyle name="常规 19 2 6 2 8 4" xfId="2047"/>
    <cellStyle name="常规 19 2 6 2 8 5" xfId="2052"/>
    <cellStyle name="常规 19 2 6 2 8 6" xfId="6291"/>
    <cellStyle name="常规 19 2 6 2 8 7" xfId="6899"/>
    <cellStyle name="常规 19 2 6 2 8 8" xfId="6920"/>
    <cellStyle name="常规 19 2 6 2 9" xfId="17931"/>
    <cellStyle name="常规 19 2 6 2 9 2" xfId="17934"/>
    <cellStyle name="常规 19 2 6 2 9 3" xfId="17936"/>
    <cellStyle name="常规 19 2 6 2 9 4" xfId="17938"/>
    <cellStyle name="常规 19 2 6 2 9 5" xfId="17941"/>
    <cellStyle name="常规 19 2 6 2 9 6" xfId="17944"/>
    <cellStyle name="常规 19 2 6 2 9 7" xfId="17947"/>
    <cellStyle name="常规 19 2 6 2 9 8" xfId="6908"/>
    <cellStyle name="常规 19 2 6 20" xfId="8318"/>
    <cellStyle name="常规 19 2 6 3" xfId="17950"/>
    <cellStyle name="常规 19 2 6 3 10" xfId="17952"/>
    <cellStyle name="常规 19 2 6 3 10 2" xfId="17954"/>
    <cellStyle name="常规 19 2 6 3 10 3" xfId="17956"/>
    <cellStyle name="常规 19 2 6 3 10 4" xfId="17958"/>
    <cellStyle name="常规 19 2 6 3 10 5" xfId="17961"/>
    <cellStyle name="常规 19 2 6 3 10 6" xfId="17964"/>
    <cellStyle name="常规 19 2 6 3 10 7" xfId="17968"/>
    <cellStyle name="常规 19 2 6 3 11" xfId="17970"/>
    <cellStyle name="常规 19 2 6 3 12" xfId="17972"/>
    <cellStyle name="常规 19 2 6 3 13" xfId="17975"/>
    <cellStyle name="常规 19 2 6 3 14" xfId="17978"/>
    <cellStyle name="常规 19 2 6 3 15" xfId="15078"/>
    <cellStyle name="常规 19 2 6 3 16" xfId="7036"/>
    <cellStyle name="常规 19 2 6 3 17" xfId="7181"/>
    <cellStyle name="常规 19 2 6 3 2" xfId="10152"/>
    <cellStyle name="常规 19 2 6 3 2 2" xfId="17981"/>
    <cellStyle name="常规 19 2 6 3 2 3" xfId="17985"/>
    <cellStyle name="常规 19 2 6 3 2 4" xfId="10970"/>
    <cellStyle name="常规 19 2 6 3 2 5" xfId="7759"/>
    <cellStyle name="常规 19 2 6 3 2 6" xfId="7782"/>
    <cellStyle name="常规 19 2 6 3 2 7" xfId="11019"/>
    <cellStyle name="常规 19 2 6 3 2 8" xfId="11035"/>
    <cellStyle name="常规 19 2 6 3 3" xfId="1002"/>
    <cellStyle name="常规 19 2 6 3 3 2" xfId="3103"/>
    <cellStyle name="常规 19 2 6 3 3 3" xfId="3121"/>
    <cellStyle name="常规 19 2 6 3 3 4" xfId="11042"/>
    <cellStyle name="常规 19 2 6 3 3 5" xfId="7803"/>
    <cellStyle name="常规 19 2 6 3 3 6" xfId="9204"/>
    <cellStyle name="常规 19 2 6 3 3 7" xfId="11103"/>
    <cellStyle name="常规 19 2 6 3 3 8" xfId="11111"/>
    <cellStyle name="常规 19 2 6 3 4" xfId="3130"/>
    <cellStyle name="常规 19 2 6 3 4 2" xfId="17989"/>
    <cellStyle name="常规 19 2 6 3 4 3" xfId="11175"/>
    <cellStyle name="常规 19 2 6 3 4 4" xfId="11115"/>
    <cellStyle name="常规 19 2 6 3 4 5" xfId="11140"/>
    <cellStyle name="常规 19 2 6 3 4 6" xfId="11167"/>
    <cellStyle name="常规 19 2 6 3 4 7" xfId="11182"/>
    <cellStyle name="常规 19 2 6 3 4 8" xfId="11189"/>
    <cellStyle name="常规 19 2 6 3 5" xfId="4219"/>
    <cellStyle name="常规 19 2 6 3 5 2" xfId="4223"/>
    <cellStyle name="常规 19 2 6 3 5 3" xfId="4239"/>
    <cellStyle name="常规 19 2 6 3 5 4" xfId="11201"/>
    <cellStyle name="常规 19 2 6 3 5 5" xfId="11214"/>
    <cellStyle name="常规 19 2 6 3 5 6" xfId="11222"/>
    <cellStyle name="常规 19 2 6 3 5 7" xfId="11233"/>
    <cellStyle name="常规 19 2 6 3 5 8" xfId="17991"/>
    <cellStyle name="常规 19 2 6 3 6" xfId="4245"/>
    <cellStyle name="常规 19 2 6 3 6 2" xfId="17993"/>
    <cellStyle name="常规 19 2 6 3 6 3" xfId="17995"/>
    <cellStyle name="常规 19 2 6 3 6 4" xfId="11236"/>
    <cellStyle name="常规 19 2 6 3 6 5" xfId="11241"/>
    <cellStyle name="常规 19 2 6 3 6 6" xfId="11248"/>
    <cellStyle name="常规 19 2 6 3 6 7" xfId="17998"/>
    <cellStyle name="常规 19 2 6 3 6 8" xfId="18000"/>
    <cellStyle name="常规 19 2 6 3 7" xfId="5062"/>
    <cellStyle name="常规 19 2 6 3 7 2" xfId="5075"/>
    <cellStyle name="常规 19 2 6 3 7 3" xfId="3031"/>
    <cellStyle name="常规 19 2 6 3 7 4" xfId="11252"/>
    <cellStyle name="常规 19 2 6 3 7 5" xfId="11262"/>
    <cellStyle name="常规 19 2 6 3 7 6" xfId="11271"/>
    <cellStyle name="常规 19 2 6 3 7 7" xfId="11521"/>
    <cellStyle name="常规 19 2 6 3 7 8" xfId="11524"/>
    <cellStyle name="常规 19 2 6 3 8" xfId="5085"/>
    <cellStyle name="常规 19 2 6 3 8 2" xfId="17334"/>
    <cellStyle name="常规 19 2 6 3 8 3" xfId="17337"/>
    <cellStyle name="常规 19 2 6 3 8 4" xfId="11275"/>
    <cellStyle name="常规 19 2 6 3 8 5" xfId="4147"/>
    <cellStyle name="常规 19 2 6 3 8 6" xfId="17340"/>
    <cellStyle name="常规 19 2 6 3 8 7" xfId="18002"/>
    <cellStyle name="常规 19 2 6 3 8 8" xfId="18004"/>
    <cellStyle name="常规 19 2 6 3 9" xfId="18006"/>
    <cellStyle name="常规 19 2 6 3 9 2" xfId="17345"/>
    <cellStyle name="常规 19 2 6 3 9 3" xfId="17348"/>
    <cellStyle name="常规 19 2 6 3 9 4" xfId="11285"/>
    <cellStyle name="常规 19 2 6 3 9 5" xfId="17351"/>
    <cellStyle name="常规 19 2 6 3 9 6" xfId="17355"/>
    <cellStyle name="常规 19 2 6 3 9 7" xfId="18008"/>
    <cellStyle name="常规 19 2 6 3 9 8" xfId="18011"/>
    <cellStyle name="常规 19 2 6 4" xfId="18014"/>
    <cellStyle name="常规 19 2 6 4 2" xfId="18017"/>
    <cellStyle name="常规 19 2 6 4 3" xfId="245"/>
    <cellStyle name="常规 19 2 6 4 4" xfId="3148"/>
    <cellStyle name="常规 19 2 6 4 5" xfId="3980"/>
    <cellStyle name="常规 19 2 6 4 6" xfId="4259"/>
    <cellStyle name="常规 19 2 6 4 7" xfId="5107"/>
    <cellStyle name="常规 19 2 6 4 8" xfId="320"/>
    <cellStyle name="常规 19 2 6 5" xfId="18019"/>
    <cellStyle name="常规 19 2 6 5 2" xfId="18021"/>
    <cellStyle name="常规 19 2 6 5 3" xfId="18023"/>
    <cellStyle name="常规 19 2 6 5 4" xfId="18025"/>
    <cellStyle name="常规 19 2 6 5 5" xfId="18027"/>
    <cellStyle name="常规 19 2 6 5 6" xfId="18029"/>
    <cellStyle name="常规 19 2 6 5 7" xfId="18031"/>
    <cellStyle name="常规 19 2 6 5 8" xfId="18033"/>
    <cellStyle name="常规 19 2 6 6" xfId="18035"/>
    <cellStyle name="常规 19 2 6 6 2" xfId="18037"/>
    <cellStyle name="常规 19 2 6 6 3" xfId="18039"/>
    <cellStyle name="常规 19 2 6 6 4" xfId="18041"/>
    <cellStyle name="常规 19 2 6 6 5" xfId="18043"/>
    <cellStyle name="常规 19 2 6 6 6" xfId="18045"/>
    <cellStyle name="常规 19 2 6 6 7" xfId="18047"/>
    <cellStyle name="常规 19 2 6 6 8" xfId="18049"/>
    <cellStyle name="常规 19 2 6 7" xfId="18051"/>
    <cellStyle name="常规 19 2 6 7 2" xfId="18053"/>
    <cellStyle name="常规 19 2 6 7 3" xfId="18055"/>
    <cellStyle name="常规 19 2 6 7 4" xfId="18057"/>
    <cellStyle name="常规 19 2 6 7 5" xfId="18059"/>
    <cellStyle name="常规 19 2 6 7 6" xfId="18061"/>
    <cellStyle name="常规 19 2 6 7 7" xfId="18063"/>
    <cellStyle name="常规 19 2 6 7 8" xfId="18065"/>
    <cellStyle name="常规 19 2 6 8" xfId="9996"/>
    <cellStyle name="常规 19 2 6 8 2" xfId="18067"/>
    <cellStyle name="常规 19 2 6 8 3" xfId="18069"/>
    <cellStyle name="常规 19 2 6 8 4" xfId="18071"/>
    <cellStyle name="常规 19 2 6 8 5" xfId="18073"/>
    <cellStyle name="常规 19 2 6 8 6" xfId="18075"/>
    <cellStyle name="常规 19 2 6 8 7" xfId="2210"/>
    <cellStyle name="常规 19 2 6 8 8" xfId="2221"/>
    <cellStyle name="常规 19 2 6 9" xfId="10003"/>
    <cellStyle name="常规 19 2 6 9 2" xfId="17791"/>
    <cellStyle name="常规 19 2 6 9 3" xfId="17796"/>
    <cellStyle name="常规 19 2 6 9 4" xfId="17802"/>
    <cellStyle name="常规 19 2 6 9 5" xfId="17807"/>
    <cellStyle name="常规 19 2 6 9 6" xfId="17811"/>
    <cellStyle name="常规 19 2 6 9 7" xfId="17816"/>
    <cellStyle name="常规 19 2 6 9 8" xfId="18077"/>
    <cellStyle name="常规 19 2 7" xfId="18081"/>
    <cellStyle name="常规 19 2 7 10" xfId="17905"/>
    <cellStyle name="常规 19 2 7 10 2" xfId="13342"/>
    <cellStyle name="常规 19 2 7 10 3" xfId="13345"/>
    <cellStyle name="常规 19 2 7 10 4" xfId="18083"/>
    <cellStyle name="常规 19 2 7 10 5" xfId="10478"/>
    <cellStyle name="常规 19 2 7 10 6" xfId="10484"/>
    <cellStyle name="常规 19 2 7 10 7" xfId="18086"/>
    <cellStyle name="常规 19 2 7 10 8" xfId="18091"/>
    <cellStyle name="常规 19 2 7 11" xfId="17909"/>
    <cellStyle name="常规 19 2 7 11 2" xfId="13350"/>
    <cellStyle name="常规 19 2 7 11 3" xfId="13354"/>
    <cellStyle name="常规 19 2 7 11 4" xfId="18094"/>
    <cellStyle name="常规 19 2 7 11 5" xfId="18097"/>
    <cellStyle name="常规 19 2 7 11 6" xfId="18101"/>
    <cellStyle name="常规 19 2 7 11 7" xfId="18105"/>
    <cellStyle name="常规 19 2 7 11 8" xfId="18111"/>
    <cellStyle name="常规 19 2 7 12" xfId="1948"/>
    <cellStyle name="常规 19 2 7 12 2" xfId="10925"/>
    <cellStyle name="常规 19 2 7 12 3" xfId="10933"/>
    <cellStyle name="常规 19 2 7 12 4" xfId="18116"/>
    <cellStyle name="常规 19 2 7 12 5" xfId="18118"/>
    <cellStyle name="常规 19 2 7 12 6" xfId="18121"/>
    <cellStyle name="常规 19 2 7 12 7" xfId="18124"/>
    <cellStyle name="常规 19 2 7 13" xfId="9317"/>
    <cellStyle name="常规 19 2 7 14" xfId="10944"/>
    <cellStyle name="常规 19 2 7 15" xfId="15594"/>
    <cellStyle name="常规 19 2 7 16" xfId="15603"/>
    <cellStyle name="常规 19 2 7 17" xfId="15611"/>
    <cellStyle name="常规 19 2 7 18" xfId="15617"/>
    <cellStyle name="常规 19 2 7 19" xfId="18129"/>
    <cellStyle name="常规 19 2 7 2" xfId="18134"/>
    <cellStyle name="常规 19 2 7 2 10" xfId="1081"/>
    <cellStyle name="常规 19 2 7 2 10 2" xfId="130"/>
    <cellStyle name="常规 19 2 7 2 10 3" xfId="15998"/>
    <cellStyle name="常规 19 2 7 2 10 4" xfId="18136"/>
    <cellStyle name="常规 19 2 7 2 10 5" xfId="18138"/>
    <cellStyle name="常规 19 2 7 2 10 6" xfId="18140"/>
    <cellStyle name="常规 19 2 7 2 10 7" xfId="18142"/>
    <cellStyle name="常规 19 2 7 2 11" xfId="2879"/>
    <cellStyle name="常规 19 2 7 2 12" xfId="13405"/>
    <cellStyle name="常规 19 2 7 2 13" xfId="13408"/>
    <cellStyle name="常规 19 2 7 2 14" xfId="13411"/>
    <cellStyle name="常规 19 2 7 2 15" xfId="18144"/>
    <cellStyle name="常规 19 2 7 2 16" xfId="18147"/>
    <cellStyle name="常规 19 2 7 2 17" xfId="18151"/>
    <cellStyle name="常规 19 2 7 2 2" xfId="13529"/>
    <cellStyle name="常规 19 2 7 2 2 2" xfId="13533"/>
    <cellStyle name="常规 19 2 7 2 2 3" xfId="13538"/>
    <cellStyle name="常规 19 2 7 2 2 4" xfId="13542"/>
    <cellStyle name="常规 19 2 7 2 2 5" xfId="13546"/>
    <cellStyle name="常规 19 2 7 2 2 6" xfId="13550"/>
    <cellStyle name="常规 19 2 7 2 2 7" xfId="13554"/>
    <cellStyle name="常规 19 2 7 2 2 8" xfId="13559"/>
    <cellStyle name="常规 19 2 7 2 3" xfId="4033"/>
    <cellStyle name="常规 19 2 7 2 3 2" xfId="4039"/>
    <cellStyle name="常规 19 2 7 2 3 3" xfId="4046"/>
    <cellStyle name="常规 19 2 7 2 3 4" xfId="4909"/>
    <cellStyle name="常规 19 2 7 2 3 5" xfId="4326"/>
    <cellStyle name="常规 19 2 7 2 3 6" xfId="4337"/>
    <cellStyle name="常规 19 2 7 2 3 7" xfId="5605"/>
    <cellStyle name="常规 19 2 7 2 3 8" xfId="13562"/>
    <cellStyle name="常规 19 2 7 2 4" xfId="1863"/>
    <cellStyle name="常规 19 2 7 2 4 2" xfId="13566"/>
    <cellStyle name="常规 19 2 7 2 4 3" xfId="13572"/>
    <cellStyle name="常规 19 2 7 2 4 4" xfId="13577"/>
    <cellStyle name="常规 19 2 7 2 4 5" xfId="13582"/>
    <cellStyle name="常规 19 2 7 2 4 6" xfId="13587"/>
    <cellStyle name="常规 19 2 7 2 4 7" xfId="13592"/>
    <cellStyle name="常规 19 2 7 2 4 8" xfId="13597"/>
    <cellStyle name="常规 19 2 7 2 5" xfId="13604"/>
    <cellStyle name="常规 19 2 7 2 5 2" xfId="13610"/>
    <cellStyle name="常规 19 2 7 2 5 3" xfId="13616"/>
    <cellStyle name="常规 19 2 7 2 5 4" xfId="13622"/>
    <cellStyle name="常规 19 2 7 2 5 5" xfId="13627"/>
    <cellStyle name="常规 19 2 7 2 5 6" xfId="13632"/>
    <cellStyle name="常规 19 2 7 2 5 7" xfId="13637"/>
    <cellStyle name="常规 19 2 7 2 5 8" xfId="13641"/>
    <cellStyle name="常规 19 2 7 2 6" xfId="13646"/>
    <cellStyle name="常规 19 2 7 2 6 2" xfId="13652"/>
    <cellStyle name="常规 19 2 7 2 6 3" xfId="13658"/>
    <cellStyle name="常规 19 2 7 2 6 4" xfId="9345"/>
    <cellStyle name="常规 19 2 7 2 6 5" xfId="9353"/>
    <cellStyle name="常规 19 2 7 2 6 6" xfId="13663"/>
    <cellStyle name="常规 19 2 7 2 6 7" xfId="13668"/>
    <cellStyle name="常规 19 2 7 2 6 8" xfId="11278"/>
    <cellStyle name="常规 19 2 7 2 7" xfId="13673"/>
    <cellStyle name="常规 19 2 7 2 7 2" xfId="13679"/>
    <cellStyle name="常规 19 2 7 2 7 3" xfId="13685"/>
    <cellStyle name="常规 19 2 7 2 7 4" xfId="13690"/>
    <cellStyle name="常规 19 2 7 2 7 5" xfId="13695"/>
    <cellStyle name="常规 19 2 7 2 7 6" xfId="13700"/>
    <cellStyle name="常规 19 2 7 2 7 7" xfId="11532"/>
    <cellStyle name="常规 19 2 7 2 7 8" xfId="11537"/>
    <cellStyle name="常规 19 2 7 2 8" xfId="13707"/>
    <cellStyle name="常规 19 2 7 2 8 2" xfId="13713"/>
    <cellStyle name="常规 19 2 7 2 8 3" xfId="5315"/>
    <cellStyle name="常规 19 2 7 2 8 4" xfId="5350"/>
    <cellStyle name="常规 19 2 7 2 8 5" xfId="5364"/>
    <cellStyle name="常规 19 2 7 2 8 6" xfId="6395"/>
    <cellStyle name="常规 19 2 7 2 8 7" xfId="7013"/>
    <cellStyle name="常规 19 2 7 2 8 8" xfId="7028"/>
    <cellStyle name="常规 19 2 7 2 9" xfId="14030"/>
    <cellStyle name="常规 19 2 7 2 9 2" xfId="18155"/>
    <cellStyle name="常规 19 2 7 2 9 3" xfId="18160"/>
    <cellStyle name="常规 19 2 7 2 9 4" xfId="18165"/>
    <cellStyle name="常规 19 2 7 2 9 5" xfId="18170"/>
    <cellStyle name="常规 19 2 7 2 9 6" xfId="18174"/>
    <cellStyle name="常规 19 2 7 2 9 7" xfId="18178"/>
    <cellStyle name="常规 19 2 7 2 9 8" xfId="18181"/>
    <cellStyle name="常规 19 2 7 3" xfId="18186"/>
    <cellStyle name="常规 19 2 7 3 2" xfId="13750"/>
    <cellStyle name="常规 19 2 7 3 3" xfId="494"/>
    <cellStyle name="常规 19 2 7 3 4" xfId="3160"/>
    <cellStyle name="常规 19 2 7 3 5" xfId="4277"/>
    <cellStyle name="常规 19 2 7 3 6" xfId="4065"/>
    <cellStyle name="常规 19 2 7 3 7" xfId="4080"/>
    <cellStyle name="常规 19 2 7 3 8" xfId="2940"/>
    <cellStyle name="常规 19 2 7 4" xfId="8068"/>
    <cellStyle name="常规 19 2 7 4 2" xfId="13820"/>
    <cellStyle name="常规 19 2 7 4 3" xfId="13823"/>
    <cellStyle name="常规 19 2 7 4 4" xfId="13827"/>
    <cellStyle name="常规 19 2 7 4 5" xfId="13832"/>
    <cellStyle name="常规 19 2 7 4 6" xfId="13839"/>
    <cellStyle name="常规 19 2 7 4 7" xfId="8583"/>
    <cellStyle name="常规 19 2 7 4 8" xfId="8603"/>
    <cellStyle name="常规 19 2 7 5" xfId="8073"/>
    <cellStyle name="常规 19 2 7 5 2" xfId="13845"/>
    <cellStyle name="常规 19 2 7 5 3" xfId="13848"/>
    <cellStyle name="常规 19 2 7 5 4" xfId="13853"/>
    <cellStyle name="常规 19 2 7 5 5" xfId="13859"/>
    <cellStyle name="常规 19 2 7 5 6" xfId="13867"/>
    <cellStyle name="常规 19 2 7 5 7" xfId="10391"/>
    <cellStyle name="常规 19 2 7 5 8" xfId="10398"/>
    <cellStyle name="常规 19 2 7 6" xfId="18189"/>
    <cellStyle name="常规 19 2 7 6 2" xfId="13875"/>
    <cellStyle name="常规 19 2 7 6 3" xfId="13878"/>
    <cellStyle name="常规 19 2 7 6 4" xfId="13884"/>
    <cellStyle name="常规 19 2 7 6 5" xfId="6940"/>
    <cellStyle name="常规 19 2 7 6 6" xfId="6949"/>
    <cellStyle name="常规 19 2 7 6 7" xfId="10406"/>
    <cellStyle name="常规 19 2 7 6 8" xfId="10414"/>
    <cellStyle name="常规 19 2 7 7" xfId="18192"/>
    <cellStyle name="常规 19 2 7 7 2" xfId="13893"/>
    <cellStyle name="常规 19 2 7 7 3" xfId="13896"/>
    <cellStyle name="常规 19 2 7 7 4" xfId="13902"/>
    <cellStyle name="常规 19 2 7 7 5" xfId="13909"/>
    <cellStyle name="常规 19 2 7 7 6" xfId="13916"/>
    <cellStyle name="常规 19 2 7 7 7" xfId="13383"/>
    <cellStyle name="常规 19 2 7 7 8" xfId="13396"/>
    <cellStyle name="常规 19 2 7 8" xfId="18194"/>
    <cellStyle name="常规 19 2 7 8 2" xfId="13924"/>
    <cellStyle name="常规 19 2 7 8 3" xfId="13927"/>
    <cellStyle name="常规 19 2 7 8 4" xfId="13933"/>
    <cellStyle name="常规 19 2 7 8 5" xfId="13939"/>
    <cellStyle name="常规 19 2 7 8 6" xfId="5971"/>
    <cellStyle name="常规 19 2 7 8 7" xfId="5983"/>
    <cellStyle name="常规 19 2 7 8 8" xfId="6501"/>
    <cellStyle name="常规 19 2 7 9" xfId="18196"/>
    <cellStyle name="常规 19 2 7 9 2" xfId="13947"/>
    <cellStyle name="常规 19 2 7 9 3" xfId="13950"/>
    <cellStyle name="常规 19 2 7 9 4" xfId="13955"/>
    <cellStyle name="常规 19 2 7 9 5" xfId="13959"/>
    <cellStyle name="常规 19 2 7 9 6" xfId="5992"/>
    <cellStyle name="常规 19 2 7 9 7" xfId="5999"/>
    <cellStyle name="常规 19 2 7 9 8" xfId="18198"/>
    <cellStyle name="常规 19 2 8" xfId="18204"/>
    <cellStyle name="常规 19 2 8 10" xfId="18207"/>
    <cellStyle name="常规 19 2 8 10 2" xfId="13967"/>
    <cellStyle name="常规 19 2 8 10 3" xfId="13971"/>
    <cellStyle name="常规 19 2 8 10 4" xfId="15387"/>
    <cellStyle name="常规 19 2 8 10 5" xfId="15400"/>
    <cellStyle name="常规 19 2 8 10 6" xfId="15410"/>
    <cellStyle name="常规 19 2 8 10 7" xfId="18209"/>
    <cellStyle name="常规 19 2 8 10 8" xfId="18213"/>
    <cellStyle name="常规 19 2 8 11" xfId="18218"/>
    <cellStyle name="常规 19 2 8 11 2" xfId="13981"/>
    <cellStyle name="常规 19 2 8 11 3" xfId="13986"/>
    <cellStyle name="常规 19 2 8 11 4" xfId="16198"/>
    <cellStyle name="常规 19 2 8 11 5" xfId="16212"/>
    <cellStyle name="常规 19 2 8 11 6" xfId="16225"/>
    <cellStyle name="常规 19 2 8 11 7" xfId="18220"/>
    <cellStyle name="常规 19 2 8 11 8" xfId="18223"/>
    <cellStyle name="常规 19 2 8 12" xfId="18227"/>
    <cellStyle name="常规 19 2 8 12 2" xfId="13995"/>
    <cellStyle name="常规 19 2 8 12 3" xfId="17294"/>
    <cellStyle name="常规 19 2 8 12 4" xfId="17305"/>
    <cellStyle name="常规 19 2 8 12 5" xfId="9626"/>
    <cellStyle name="常规 19 2 8 12 6" xfId="9631"/>
    <cellStyle name="常规 19 2 8 12 7" xfId="18231"/>
    <cellStyle name="常规 19 2 8 13" xfId="18234"/>
    <cellStyle name="常规 19 2 8 14" xfId="18239"/>
    <cellStyle name="常规 19 2 8 15" xfId="18243"/>
    <cellStyle name="常规 19 2 8 16" xfId="7295"/>
    <cellStyle name="常规 19 2 8 17" xfId="6475"/>
    <cellStyle name="常规 19 2 8 18" xfId="18247"/>
    <cellStyle name="常规 19 2 8 19" xfId="18252"/>
    <cellStyle name="常规 19 2 8 2" xfId="18255"/>
    <cellStyle name="常规 19 2 8 2 10" xfId="7010"/>
    <cellStyle name="常规 19 2 8 2 10 2" xfId="5530"/>
    <cellStyle name="常规 19 2 8 2 10 3" xfId="5620"/>
    <cellStyle name="常规 19 2 8 2 10 4" xfId="5664"/>
    <cellStyle name="常规 19 2 8 2 10 5" xfId="5684"/>
    <cellStyle name="常规 19 2 8 2 10 6" xfId="3743"/>
    <cellStyle name="常规 19 2 8 2 10 7" xfId="1341"/>
    <cellStyle name="常规 19 2 8 2 11" xfId="14010"/>
    <cellStyle name="常规 19 2 8 2 12" xfId="14014"/>
    <cellStyle name="常规 19 2 8 2 13" xfId="18261"/>
    <cellStyle name="常规 19 2 8 2 14" xfId="18265"/>
    <cellStyle name="常规 19 2 8 2 15" xfId="18268"/>
    <cellStyle name="常规 19 2 8 2 16" xfId="18270"/>
    <cellStyle name="常规 19 2 8 2 17" xfId="18272"/>
    <cellStyle name="常规 19 2 8 2 2" xfId="12993"/>
    <cellStyle name="常规 19 2 8 2 2 2" xfId="13605"/>
    <cellStyle name="常规 19 2 8 2 2 3" xfId="13647"/>
    <cellStyle name="常规 19 2 8 2 2 4" xfId="13674"/>
    <cellStyle name="常规 19 2 8 2 2 5" xfId="13708"/>
    <cellStyle name="常规 19 2 8 2 2 6" xfId="14031"/>
    <cellStyle name="常规 19 2 8 2 2 7" xfId="14036"/>
    <cellStyle name="常规 19 2 8 2 2 8" xfId="14040"/>
    <cellStyle name="常规 19 2 8 2 3" xfId="4268"/>
    <cellStyle name="常规 19 2 8 2 3 2" xfId="4278"/>
    <cellStyle name="常规 19 2 8 2 3 3" xfId="4066"/>
    <cellStyle name="常规 19 2 8 2 3 4" xfId="4081"/>
    <cellStyle name="常规 19 2 8 2 3 5" xfId="2941"/>
    <cellStyle name="常规 19 2 8 2 3 6" xfId="14043"/>
    <cellStyle name="常规 19 2 8 2 3 7" xfId="14047"/>
    <cellStyle name="常规 19 2 8 2 3 8" xfId="14050"/>
    <cellStyle name="常规 19 2 8 2 4" xfId="4285"/>
    <cellStyle name="常规 19 2 8 2 4 2" xfId="13833"/>
    <cellStyle name="常规 19 2 8 2 4 3" xfId="13840"/>
    <cellStyle name="常规 19 2 8 2 4 4" xfId="8584"/>
    <cellStyle name="常规 19 2 8 2 4 5" xfId="8604"/>
    <cellStyle name="常规 19 2 8 2 4 6" xfId="8641"/>
    <cellStyle name="常规 19 2 8 2 4 7" xfId="14053"/>
    <cellStyle name="常规 19 2 8 2 4 8" xfId="10349"/>
    <cellStyle name="常规 19 2 8 2 5" xfId="13000"/>
    <cellStyle name="常规 19 2 8 2 5 2" xfId="13860"/>
    <cellStyle name="常规 19 2 8 2 5 3" xfId="13868"/>
    <cellStyle name="常规 19 2 8 2 5 4" xfId="10392"/>
    <cellStyle name="常规 19 2 8 2 5 5" xfId="10399"/>
    <cellStyle name="常规 19 2 8 2 5 6" xfId="14056"/>
    <cellStyle name="常规 19 2 8 2 5 7" xfId="14061"/>
    <cellStyle name="常规 19 2 8 2 5 8" xfId="14064"/>
    <cellStyle name="常规 19 2 8 2 6" xfId="6650"/>
    <cellStyle name="常规 19 2 8 2 6 2" xfId="6941"/>
    <cellStyle name="常规 19 2 8 2 6 3" xfId="6950"/>
    <cellStyle name="常规 19 2 8 2 6 4" xfId="10407"/>
    <cellStyle name="常规 19 2 8 2 6 5" xfId="10415"/>
    <cellStyle name="常规 19 2 8 2 6 6" xfId="14068"/>
    <cellStyle name="常规 19 2 8 2 6 7" xfId="9443"/>
    <cellStyle name="常规 19 2 8 2 6 8" xfId="9470"/>
    <cellStyle name="常规 19 2 8 2 7" xfId="6663"/>
    <cellStyle name="常规 19 2 8 2 7 2" xfId="13910"/>
    <cellStyle name="常规 19 2 8 2 7 3" xfId="13917"/>
    <cellStyle name="常规 19 2 8 2 7 4" xfId="13384"/>
    <cellStyle name="常规 19 2 8 2 7 5" xfId="13397"/>
    <cellStyle name="常规 19 2 8 2 7 6" xfId="935"/>
    <cellStyle name="常规 19 2 8 2 7 7" xfId="1024"/>
    <cellStyle name="常规 19 2 8 2 7 8" xfId="1057"/>
    <cellStyle name="常规 19 2 8 2 8" xfId="14073"/>
    <cellStyle name="常规 19 2 8 2 8 2" xfId="13940"/>
    <cellStyle name="常规 19 2 8 2 8 3" xfId="5972"/>
    <cellStyle name="常规 19 2 8 2 8 4" xfId="5984"/>
    <cellStyle name="常规 19 2 8 2 8 5" xfId="6502"/>
    <cellStyle name="常规 19 2 8 2 8 6" xfId="1106"/>
    <cellStyle name="常规 19 2 8 2 8 7" xfId="1127"/>
    <cellStyle name="常规 19 2 8 2 8 8" xfId="1161"/>
    <cellStyle name="常规 19 2 8 2 9" xfId="18274"/>
    <cellStyle name="常规 19 2 8 2 9 2" xfId="13960"/>
    <cellStyle name="常规 19 2 8 2 9 3" xfId="5993"/>
    <cellStyle name="常规 19 2 8 2 9 4" xfId="6000"/>
    <cellStyle name="常规 19 2 8 2 9 5" xfId="18199"/>
    <cellStyle name="常规 19 2 8 2 9 6" xfId="18277"/>
    <cellStyle name="常规 19 2 8 2 9 7" xfId="1217"/>
    <cellStyle name="常规 19 2 8 2 9 8" xfId="1249"/>
    <cellStyle name="常规 19 2 8 3" xfId="18281"/>
    <cellStyle name="常规 19 2 8 3 2" xfId="14080"/>
    <cellStyle name="常规 19 2 8 3 3" xfId="4294"/>
    <cellStyle name="常规 19 2 8 3 4" xfId="2950"/>
    <cellStyle name="常规 19 2 8 3 5" xfId="14084"/>
    <cellStyle name="常规 19 2 8 3 6" xfId="6957"/>
    <cellStyle name="常规 19 2 8 3 7" xfId="6963"/>
    <cellStyle name="常规 19 2 8 3 8" xfId="18284"/>
    <cellStyle name="常规 19 2 8 4" xfId="18289"/>
    <cellStyle name="常规 19 2 8 4 2" xfId="14090"/>
    <cellStyle name="常规 19 2 8 4 3" xfId="14095"/>
    <cellStyle name="常规 19 2 8 4 4" xfId="14101"/>
    <cellStyle name="常规 19 2 8 4 5" xfId="14106"/>
    <cellStyle name="常规 19 2 8 4 6" xfId="7338"/>
    <cellStyle name="常规 19 2 8 4 7" xfId="7344"/>
    <cellStyle name="常规 19 2 8 4 8" xfId="18293"/>
    <cellStyle name="常规 19 2 8 5" xfId="18297"/>
    <cellStyle name="常规 19 2 8 5 2" xfId="14114"/>
    <cellStyle name="常规 19 2 8 5 3" xfId="14118"/>
    <cellStyle name="常规 19 2 8 5 4" xfId="14124"/>
    <cellStyle name="常规 19 2 8 5 5" xfId="14130"/>
    <cellStyle name="常规 19 2 8 5 6" xfId="14137"/>
    <cellStyle name="常规 19 2 8 5 7" xfId="10425"/>
    <cellStyle name="常规 19 2 8 5 8" xfId="18303"/>
    <cellStyle name="常规 19 2 8 6" xfId="18307"/>
    <cellStyle name="常规 19 2 8 6 2" xfId="14143"/>
    <cellStyle name="常规 19 2 8 6 3" xfId="14146"/>
    <cellStyle name="常规 19 2 8 6 4" xfId="14152"/>
    <cellStyle name="常规 19 2 8 6 5" xfId="14158"/>
    <cellStyle name="常规 19 2 8 6 6" xfId="14163"/>
    <cellStyle name="常规 19 2 8 6 7" xfId="14168"/>
    <cellStyle name="常规 19 2 8 6 8" xfId="18312"/>
    <cellStyle name="常规 19 2 8 7" xfId="18315"/>
    <cellStyle name="常规 19 2 8 7 2" xfId="14174"/>
    <cellStyle name="常规 19 2 8 7 3" xfId="14177"/>
    <cellStyle name="常规 19 2 8 7 4" xfId="14183"/>
    <cellStyle name="常规 19 2 8 7 5" xfId="14189"/>
    <cellStyle name="常规 19 2 8 7 6" xfId="14193"/>
    <cellStyle name="常规 19 2 8 7 7" xfId="14197"/>
    <cellStyle name="常规 19 2 8 7 8" xfId="18319"/>
    <cellStyle name="常规 19 2 8 8" xfId="18323"/>
    <cellStyle name="常规 19 2 8 8 2" xfId="12207"/>
    <cellStyle name="常规 19 2 8 8 3" xfId="14202"/>
    <cellStyle name="常规 19 2 8 8 4" xfId="14209"/>
    <cellStyle name="常规 19 2 8 8 5" xfId="14215"/>
    <cellStyle name="常规 19 2 8 8 6" xfId="3539"/>
    <cellStyle name="常规 19 2 8 8 7" xfId="3555"/>
    <cellStyle name="常规 19 2 8 8 8" xfId="18327"/>
    <cellStyle name="常规 19 2 8 9" xfId="18331"/>
    <cellStyle name="常规 19 2 8 9 2" xfId="14222"/>
    <cellStyle name="常规 19 2 8 9 3" xfId="14228"/>
    <cellStyle name="常规 19 2 8 9 4" xfId="14235"/>
    <cellStyle name="常规 19 2 8 9 5" xfId="14242"/>
    <cellStyle name="常规 19 2 8 9 6" xfId="4634"/>
    <cellStyle name="常规 19 2 8 9 7" xfId="4607"/>
    <cellStyle name="常规 19 2 8 9 8" xfId="11746"/>
    <cellStyle name="常规 19 2 9" xfId="18336"/>
    <cellStyle name="常规 19 2 9 10" xfId="9136"/>
    <cellStyle name="常规 19 2 9 10 2" xfId="14253"/>
    <cellStyle name="常规 19 2 9 10 3" xfId="14256"/>
    <cellStyle name="常规 19 2 9 10 4" xfId="18338"/>
    <cellStyle name="常规 19 2 9 10 5" xfId="18340"/>
    <cellStyle name="常规 19 2 9 10 6" xfId="18342"/>
    <cellStyle name="常规 19 2 9 10 7" xfId="18344"/>
    <cellStyle name="常规 19 2 9 11" xfId="12552"/>
    <cellStyle name="常规 19 2 9 12" xfId="18346"/>
    <cellStyle name="常规 19 2 9 13" xfId="7071"/>
    <cellStyle name="常规 19 2 9 14" xfId="14585"/>
    <cellStyle name="常规 19 2 9 15" xfId="14590"/>
    <cellStyle name="常规 19 2 9 16" xfId="14595"/>
    <cellStyle name="常规 19 2 9 17" xfId="14600"/>
    <cellStyle name="常规 19 2 9 2" xfId="11924"/>
    <cellStyle name="常规 19 2 9 2 2" xfId="14285"/>
    <cellStyle name="常规 19 2 9 2 3" xfId="2697"/>
    <cellStyle name="常规 19 2 9 2 4" xfId="2717"/>
    <cellStyle name="常规 19 2 9 2 5" xfId="14364"/>
    <cellStyle name="常规 19 2 9 2 6" xfId="6969"/>
    <cellStyle name="常规 19 2 9 2 7" xfId="1317"/>
    <cellStyle name="常规 19 2 9 2 8" xfId="14447"/>
    <cellStyle name="常规 19 2 9 3" xfId="18351"/>
    <cellStyle name="常规 19 2 9 3 2" xfId="14456"/>
    <cellStyle name="常规 19 2 9 3 3" xfId="4156"/>
    <cellStyle name="常规 19 2 9 3 4" xfId="4504"/>
    <cellStyle name="常规 19 2 9 3 5" xfId="14462"/>
    <cellStyle name="常规 19 2 9 3 6" xfId="14465"/>
    <cellStyle name="常规 19 2 9 3 7" xfId="14468"/>
    <cellStyle name="常规 19 2 9 3 8" xfId="18353"/>
    <cellStyle name="常规 19 2 9 4" xfId="18356"/>
    <cellStyle name="常规 19 2 9 4 2" xfId="14474"/>
    <cellStyle name="常规 19 2 9 4 3" xfId="14478"/>
    <cellStyle name="常规 19 2 9 4 4" xfId="14482"/>
    <cellStyle name="常规 19 2 9 4 5" xfId="14485"/>
    <cellStyle name="常规 19 2 9 4 6" xfId="14488"/>
    <cellStyle name="常规 19 2 9 4 7" xfId="8837"/>
    <cellStyle name="常规 19 2 9 4 8" xfId="18358"/>
    <cellStyle name="常规 19 2 9 5" xfId="18361"/>
    <cellStyle name="常规 19 2 9 5 2" xfId="14495"/>
    <cellStyle name="常规 19 2 9 5 3" xfId="14500"/>
    <cellStyle name="常规 19 2 9 5 4" xfId="14504"/>
    <cellStyle name="常规 19 2 9 5 5" xfId="14507"/>
    <cellStyle name="常规 19 2 9 5 6" xfId="12264"/>
    <cellStyle name="常规 19 2 9 5 7" xfId="8897"/>
    <cellStyle name="常规 19 2 9 5 8" xfId="8919"/>
    <cellStyle name="常规 19 2 9 6" xfId="18364"/>
    <cellStyle name="常规 19 2 9 6 2" xfId="14514"/>
    <cellStyle name="常规 19 2 9 6 3" xfId="14519"/>
    <cellStyle name="常规 19 2 9 6 4" xfId="14523"/>
    <cellStyle name="常规 19 2 9 6 5" xfId="14526"/>
    <cellStyle name="常规 19 2 9 6 6" xfId="12275"/>
    <cellStyle name="常规 19 2 9 6 7" xfId="12285"/>
    <cellStyle name="常规 19 2 9 6 8" xfId="18367"/>
    <cellStyle name="常规 19 2 9 7" xfId="18370"/>
    <cellStyle name="常规 19 2 9 7 2" xfId="14531"/>
    <cellStyle name="常规 19 2 9 7 3" xfId="681"/>
    <cellStyle name="常规 19 2 9 7 4" xfId="2504"/>
    <cellStyle name="常规 19 2 9 7 5" xfId="2523"/>
    <cellStyle name="常规 19 2 9 7 6" xfId="3589"/>
    <cellStyle name="常规 19 2 9 7 7" xfId="10730"/>
    <cellStyle name="常规 19 2 9 7 8" xfId="18372"/>
    <cellStyle name="常规 19 2 9 8" xfId="18375"/>
    <cellStyle name="常规 19 2 9 8 2" xfId="14540"/>
    <cellStyle name="常规 19 2 9 8 3" xfId="9421"/>
    <cellStyle name="常规 19 2 9 8 4" xfId="9805"/>
    <cellStyle name="常规 19 2 9 8 5" xfId="14544"/>
    <cellStyle name="常规 19 2 9 8 6" xfId="4649"/>
    <cellStyle name="常规 19 2 9 8 7" xfId="4661"/>
    <cellStyle name="常规 19 2 9 8 8" xfId="18377"/>
    <cellStyle name="常规 19 2 9 9" xfId="9428"/>
    <cellStyle name="常规 19 2 9 9 2" xfId="10334"/>
    <cellStyle name="常规 19 2 9 9 3" xfId="10339"/>
    <cellStyle name="常规 19 2 9 9 4" xfId="14549"/>
    <cellStyle name="常规 19 2 9 9 5" xfId="14552"/>
    <cellStyle name="常规 19 2 9 9 6" xfId="14555"/>
    <cellStyle name="常规 19 2 9 9 7" xfId="14558"/>
    <cellStyle name="常规 19 2 9 9 8" xfId="18379"/>
    <cellStyle name="常规 19 20" xfId="3762"/>
    <cellStyle name="常规 19 20 2" xfId="3773"/>
    <cellStyle name="常规 19 20 3" xfId="3818"/>
    <cellStyle name="常规 19 20 4" xfId="13128"/>
    <cellStyle name="常规 19 20 5" xfId="13132"/>
    <cellStyle name="常规 19 20 6" xfId="13135"/>
    <cellStyle name="常规 19 20 7" xfId="13138"/>
    <cellStyle name="常规 19 20 8" xfId="13142"/>
    <cellStyle name="常规 19 21" xfId="3843"/>
    <cellStyle name="常规 19 21 2" xfId="13145"/>
    <cellStyle name="常规 19 21 3" xfId="12129"/>
    <cellStyle name="常规 19 21 4" xfId="12133"/>
    <cellStyle name="常规 19 21 5" xfId="13148"/>
    <cellStyle name="常规 19 21 6" xfId="13150"/>
    <cellStyle name="常规 19 21 7" xfId="13152"/>
    <cellStyle name="常规 19 22" xfId="3086"/>
    <cellStyle name="常规 19 23" xfId="3133"/>
    <cellStyle name="常规 19 24" xfId="1679"/>
    <cellStyle name="常规 19 25" xfId="1701"/>
    <cellStyle name="常规 19 26" xfId="7143"/>
    <cellStyle name="常规 19 27" xfId="7146"/>
    <cellStyle name="常规 19 28" xfId="7627"/>
    <cellStyle name="常规 19 3" xfId="5258"/>
    <cellStyle name="常规 19 3 10" xfId="18382"/>
    <cellStyle name="常规 19 3 10 2" xfId="18383"/>
    <cellStyle name="常规 19 3 10 3" xfId="1245"/>
    <cellStyle name="常规 19 3 10 4" xfId="2779"/>
    <cellStyle name="常规 19 3 10 5" xfId="11030"/>
    <cellStyle name="常规 19 3 10 6" xfId="17122"/>
    <cellStyle name="常规 19 3 10 7" xfId="17127"/>
    <cellStyle name="常规 19 3 10 8" xfId="17132"/>
    <cellStyle name="常规 19 3 11" xfId="18385"/>
    <cellStyle name="常规 19 3 11 2" xfId="18386"/>
    <cellStyle name="常规 19 3 11 3" xfId="17135"/>
    <cellStyle name="常规 19 3 11 4" xfId="17138"/>
    <cellStyle name="常规 19 3 11 5" xfId="17141"/>
    <cellStyle name="常规 19 3 11 6" xfId="17144"/>
    <cellStyle name="常规 19 3 11 7" xfId="5277"/>
    <cellStyle name="常规 19 3 11 8" xfId="6032"/>
    <cellStyle name="常规 19 3 12" xfId="18388"/>
    <cellStyle name="常规 19 3 12 2" xfId="18390"/>
    <cellStyle name="常规 19 3 12 3" xfId="4135"/>
    <cellStyle name="常规 19 3 12 4" xfId="4139"/>
    <cellStyle name="常规 19 3 12 5" xfId="17148"/>
    <cellStyle name="常规 19 3 12 6" xfId="17151"/>
    <cellStyle name="常规 19 3 12 7" xfId="17154"/>
    <cellStyle name="常规 19 3 12 8" xfId="17156"/>
    <cellStyle name="常规 19 3 13" xfId="18392"/>
    <cellStyle name="常规 19 3 13 2" xfId="18394"/>
    <cellStyle name="常规 19 3 13 3" xfId="17162"/>
    <cellStyle name="常规 19 3 13 4" xfId="17166"/>
    <cellStyle name="常规 19 3 13 5" xfId="17170"/>
    <cellStyle name="常规 19 3 13 6" xfId="3691"/>
    <cellStyle name="常规 19 3 13 7" xfId="3701"/>
    <cellStyle name="常规 19 3 13 8" xfId="3718"/>
    <cellStyle name="常规 19 3 14" xfId="16270"/>
    <cellStyle name="常规 19 3 14 2" xfId="18396"/>
    <cellStyle name="常规 19 3 14 3" xfId="4971"/>
    <cellStyle name="常规 19 3 14 4" xfId="221"/>
    <cellStyle name="常规 19 3 14 5" xfId="17174"/>
    <cellStyle name="常规 19 3 14 6" xfId="117"/>
    <cellStyle name="常规 19 3 14 7" xfId="232"/>
    <cellStyle name="常规 19 3 14 8" xfId="17176"/>
    <cellStyle name="常规 19 3 15" xfId="7003"/>
    <cellStyle name="常规 19 3 15 2" xfId="18398"/>
    <cellStyle name="常规 19 3 15 3" xfId="17180"/>
    <cellStyle name="常规 19 3 15 4" xfId="17183"/>
    <cellStyle name="常规 19 3 15 5" xfId="17186"/>
    <cellStyle name="常规 19 3 15 6" xfId="3739"/>
    <cellStyle name="常规 19 3 15 7" xfId="1335"/>
    <cellStyle name="常规 19 3 15 8" xfId="204"/>
    <cellStyle name="常规 19 3 16" xfId="8446"/>
    <cellStyle name="常规 19 3 16 2" xfId="18400"/>
    <cellStyle name="常规 19 3 16 3" xfId="17192"/>
    <cellStyle name="常规 19 3 16 4" xfId="17195"/>
    <cellStyle name="常规 19 3 16 5" xfId="17199"/>
    <cellStyle name="常规 19 3 16 6" xfId="17204"/>
    <cellStyle name="常规 19 3 16 7" xfId="17209"/>
    <cellStyle name="常规 19 3 16 8" xfId="17215"/>
    <cellStyle name="常规 19 3 17" xfId="11301"/>
    <cellStyle name="常规 19 3 17 2" xfId="18401"/>
    <cellStyle name="常规 19 3 17 3" xfId="18402"/>
    <cellStyle name="常规 19 3 17 4" xfId="9451"/>
    <cellStyle name="常规 19 3 17 5" xfId="9457"/>
    <cellStyle name="常规 19 3 17 6" xfId="18404"/>
    <cellStyle name="常规 19 3 17 7" xfId="18406"/>
    <cellStyle name="常规 19 3 17 8" xfId="18409"/>
    <cellStyle name="常规 19 3 18" xfId="16272"/>
    <cellStyle name="常规 19 3 18 2" xfId="18410"/>
    <cellStyle name="常规 19 3 18 3" xfId="18411"/>
    <cellStyle name="常规 19 3 18 4" xfId="18412"/>
    <cellStyle name="常规 19 3 18 5" xfId="18415"/>
    <cellStyle name="常规 19 3 18 6" xfId="18418"/>
    <cellStyle name="常规 19 3 18 7" xfId="18420"/>
    <cellStyle name="常规 19 3 18 8" xfId="18424"/>
    <cellStyle name="常规 19 3 19" xfId="16275"/>
    <cellStyle name="常规 19 3 19 2" xfId="18425"/>
    <cellStyle name="常规 19 3 19 3" xfId="18427"/>
    <cellStyle name="常规 19 3 19 4" xfId="18429"/>
    <cellStyle name="常规 19 3 19 5" xfId="18431"/>
    <cellStyle name="常规 19 3 19 6" xfId="18433"/>
    <cellStyle name="常规 19 3 19 7" xfId="18435"/>
    <cellStyle name="常规 19 3 2" xfId="12663"/>
    <cellStyle name="常规 19 3 2 10" xfId="16110"/>
    <cellStyle name="常规 19 3 2 10 2" xfId="18437"/>
    <cellStyle name="常规 19 3 2 10 3" xfId="18440"/>
    <cellStyle name="常规 19 3 2 10 4" xfId="18443"/>
    <cellStyle name="常规 19 3 2 10 5" xfId="18445"/>
    <cellStyle name="常规 19 3 2 10 6" xfId="18447"/>
    <cellStyle name="常规 19 3 2 10 7" xfId="18448"/>
    <cellStyle name="常规 19 3 2 10 8" xfId="18449"/>
    <cellStyle name="常规 19 3 2 11" xfId="18450"/>
    <cellStyle name="常规 19 3 2 11 2" xfId="18452"/>
    <cellStyle name="常规 19 3 2 11 3" xfId="18455"/>
    <cellStyle name="常规 19 3 2 11 4" xfId="18458"/>
    <cellStyle name="常规 19 3 2 11 5" xfId="18460"/>
    <cellStyle name="常规 19 3 2 11 6" xfId="18461"/>
    <cellStyle name="常规 19 3 2 11 7" xfId="18462"/>
    <cellStyle name="常规 19 3 2 11 8" xfId="18464"/>
    <cellStyle name="常规 19 3 2 12" xfId="18465"/>
    <cellStyle name="常规 19 3 2 12 2" xfId="18467"/>
    <cellStyle name="常规 19 3 2 12 3" xfId="18468"/>
    <cellStyle name="常规 19 3 2 12 4" xfId="18469"/>
    <cellStyle name="常规 19 3 2 12 5" xfId="18470"/>
    <cellStyle name="常规 19 3 2 12 6" xfId="18472"/>
    <cellStyle name="常规 19 3 2 12 7" xfId="18473"/>
    <cellStyle name="常规 19 3 2 12 8" xfId="18475"/>
    <cellStyle name="常规 19 3 2 13" xfId="18476"/>
    <cellStyle name="常规 19 3 2 13 2" xfId="18477"/>
    <cellStyle name="常规 19 3 2 13 3" xfId="18478"/>
    <cellStyle name="常规 19 3 2 13 4" xfId="12153"/>
    <cellStyle name="常规 19 3 2 13 5" xfId="12155"/>
    <cellStyle name="常规 19 3 2 13 6" xfId="18479"/>
    <cellStyle name="常规 19 3 2 13 7" xfId="18480"/>
    <cellStyle name="常规 19 3 2 13 8" xfId="18482"/>
    <cellStyle name="常规 19 3 2 14" xfId="18483"/>
    <cellStyle name="常规 19 3 2 14 2" xfId="2005"/>
    <cellStyle name="常规 19 3 2 14 3" xfId="18484"/>
    <cellStyle name="常规 19 3 2 14 4" xfId="822"/>
    <cellStyle name="常规 19 3 2 14 5" xfId="2585"/>
    <cellStyle name="常规 19 3 2 14 6" xfId="4357"/>
    <cellStyle name="常规 19 3 2 14 7" xfId="18486"/>
    <cellStyle name="常规 19 3 2 14 8" xfId="18489"/>
    <cellStyle name="常规 19 3 2 15" xfId="18490"/>
    <cellStyle name="常规 19 3 2 15 2" xfId="2065"/>
    <cellStyle name="常规 19 3 2 15 3" xfId="3221"/>
    <cellStyle name="常规 19 3 2 15 4" xfId="3245"/>
    <cellStyle name="常规 19 3 2 15 5" xfId="18493"/>
    <cellStyle name="常规 19 3 2 15 6" xfId="18495"/>
    <cellStyle name="常规 19 3 2 15 7" xfId="18497"/>
    <cellStyle name="常规 19 3 2 15 8" xfId="18500"/>
    <cellStyle name="常规 19 3 2 16" xfId="18501"/>
    <cellStyle name="常规 19 3 2 16 2" xfId="2091"/>
    <cellStyle name="常规 19 3 2 16 3" xfId="1849"/>
    <cellStyle name="常规 19 3 2 16 4" xfId="3271"/>
    <cellStyle name="常规 19 3 2 16 5" xfId="18503"/>
    <cellStyle name="常规 19 3 2 16 6" xfId="18504"/>
    <cellStyle name="常规 19 3 2 16 7" xfId="18506"/>
    <cellStyle name="常规 19 3 2 17" xfId="18508"/>
    <cellStyle name="常规 19 3 2 18" xfId="18514"/>
    <cellStyle name="常规 19 3 2 19" xfId="18521"/>
    <cellStyle name="常规 19 3 2 2" xfId="12443"/>
    <cellStyle name="常规 19 3 2 2 10" xfId="3465"/>
    <cellStyle name="常规 19 3 2 2 10 2" xfId="49"/>
    <cellStyle name="常规 19 3 2 2 10 3" xfId="5704"/>
    <cellStyle name="常规 19 3 2 2 10 4" xfId="9260"/>
    <cellStyle name="常规 19 3 2 2 10 5" xfId="9265"/>
    <cellStyle name="常规 19 3 2 2 10 6" xfId="18523"/>
    <cellStyle name="常规 19 3 2 2 10 7" xfId="18525"/>
    <cellStyle name="常规 19 3 2 2 10 8" xfId="18527"/>
    <cellStyle name="常规 19 3 2 2 11" xfId="5709"/>
    <cellStyle name="常规 19 3 2 2 11 2" xfId="5717"/>
    <cellStyle name="常规 19 3 2 2 11 3" xfId="5727"/>
    <cellStyle name="常规 19 3 2 2 11 4" xfId="9226"/>
    <cellStyle name="常规 19 3 2 2 11 5" xfId="9228"/>
    <cellStyle name="常规 19 3 2 2 11 6" xfId="18528"/>
    <cellStyle name="常规 19 3 2 2 11 7" xfId="10929"/>
    <cellStyle name="常规 19 3 2 2 11 8" xfId="7131"/>
    <cellStyle name="常规 19 3 2 2 12" xfId="5738"/>
    <cellStyle name="常规 19 3 2 2 12 2" xfId="18533"/>
    <cellStyle name="常规 19 3 2 2 12 3" xfId="18537"/>
    <cellStyle name="常规 19 3 2 2 12 4" xfId="18540"/>
    <cellStyle name="常规 19 3 2 2 12 5" xfId="18542"/>
    <cellStyle name="常规 19 3 2 2 12 6" xfId="18544"/>
    <cellStyle name="常规 19 3 2 2 12 7" xfId="18546"/>
    <cellStyle name="常规 19 3 2 2 12 8" xfId="18548"/>
    <cellStyle name="常规 19 3 2 2 13" xfId="18550"/>
    <cellStyle name="常规 19 3 2 2 13 2" xfId="18553"/>
    <cellStyle name="常规 19 3 2 2 13 3" xfId="18557"/>
    <cellStyle name="常规 19 3 2 2 13 4" xfId="18559"/>
    <cellStyle name="常规 19 3 2 2 13 5" xfId="18561"/>
    <cellStyle name="常规 19 3 2 2 13 6" xfId="18563"/>
    <cellStyle name="常规 19 3 2 2 13 7" xfId="18565"/>
    <cellStyle name="常规 19 3 2 2 13 8" xfId="18568"/>
    <cellStyle name="常规 19 3 2 2 14" xfId="18569"/>
    <cellStyle name="常规 19 3 2 2 14 2" xfId="18571"/>
    <cellStyle name="常规 19 3 2 2 14 3" xfId="18574"/>
    <cellStyle name="常规 19 3 2 2 14 4" xfId="18576"/>
    <cellStyle name="常规 19 3 2 2 14 5" xfId="18578"/>
    <cellStyle name="常规 19 3 2 2 14 6" xfId="18580"/>
    <cellStyle name="常规 19 3 2 2 14 7" xfId="18582"/>
    <cellStyle name="常规 19 3 2 2 14 8" xfId="18585"/>
    <cellStyle name="常规 19 3 2 2 15" xfId="18586"/>
    <cellStyle name="常规 19 3 2 2 15 2" xfId="11846"/>
    <cellStyle name="常规 19 3 2 2 15 3" xfId="11861"/>
    <cellStyle name="常规 19 3 2 2 15 4" xfId="11865"/>
    <cellStyle name="常规 19 3 2 2 15 5" xfId="18589"/>
    <cellStyle name="常规 19 3 2 2 15 6" xfId="18591"/>
    <cellStyle name="常规 19 3 2 2 15 7" xfId="18595"/>
    <cellStyle name="常规 19 3 2 2 16" xfId="18596"/>
    <cellStyle name="常规 19 3 2 2 17" xfId="11494"/>
    <cellStyle name="常规 19 3 2 2 18" xfId="466"/>
    <cellStyle name="常规 19 3 2 2 19" xfId="18598"/>
    <cellStyle name="常规 19 3 2 2 2" xfId="10653"/>
    <cellStyle name="常规 19 3 2 2 2 10" xfId="37"/>
    <cellStyle name="常规 19 3 2 2 2 10 2" xfId="18601"/>
    <cellStyle name="常规 19 3 2 2 2 10 3" xfId="18603"/>
    <cellStyle name="常规 19 3 2 2 2 10 4" xfId="18606"/>
    <cellStyle name="常规 19 3 2 2 2 10 5" xfId="18612"/>
    <cellStyle name="常规 19 3 2 2 2 10 6" xfId="2271"/>
    <cellStyle name="常规 19 3 2 2 2 10 7" xfId="2451"/>
    <cellStyle name="常规 19 3 2 2 2 10 8" xfId="2546"/>
    <cellStyle name="常规 19 3 2 2 2 11" xfId="436"/>
    <cellStyle name="常规 19 3 2 2 2 11 2" xfId="8611"/>
    <cellStyle name="常规 19 3 2 2 2 11 3" xfId="8647"/>
    <cellStyle name="常规 19 3 2 2 2 11 4" xfId="18615"/>
    <cellStyle name="常规 19 3 2 2 2 11 5" xfId="18619"/>
    <cellStyle name="常规 19 3 2 2 2 11 6" xfId="2635"/>
    <cellStyle name="常规 19 3 2 2 2 11 7" xfId="2675"/>
    <cellStyle name="常规 19 3 2 2 2 11 8" xfId="2738"/>
    <cellStyle name="常规 19 3 2 2 2 12" xfId="18622"/>
    <cellStyle name="常规 19 3 2 2 2 12 2" xfId="18626"/>
    <cellStyle name="常规 19 3 2 2 2 12 3" xfId="18630"/>
    <cellStyle name="常规 19 3 2 2 2 12 4" xfId="18634"/>
    <cellStyle name="常规 19 3 2 2 2 12 5" xfId="18640"/>
    <cellStyle name="常规 19 3 2 2 2 12 6" xfId="18646"/>
    <cellStyle name="常规 19 3 2 2 2 12 7" xfId="16007"/>
    <cellStyle name="常规 19 3 2 2 2 12 8" xfId="16009"/>
    <cellStyle name="常规 19 3 2 2 2 13" xfId="18650"/>
    <cellStyle name="常规 19 3 2 2 2 13 2" xfId="18655"/>
    <cellStyle name="常规 19 3 2 2 2 13 3" xfId="18659"/>
    <cellStyle name="常规 19 3 2 2 2 13 4" xfId="18664"/>
    <cellStyle name="常规 19 3 2 2 2 13 5" xfId="18668"/>
    <cellStyle name="常规 19 3 2 2 2 13 6" xfId="18672"/>
    <cellStyle name="常规 19 3 2 2 2 13 7" xfId="16014"/>
    <cellStyle name="常规 19 3 2 2 2 14" xfId="18677"/>
    <cellStyle name="常规 19 3 2 2 2 15" xfId="18681"/>
    <cellStyle name="常规 19 3 2 2 2 16" xfId="18686"/>
    <cellStyle name="常规 19 3 2 2 2 17" xfId="18689"/>
    <cellStyle name="常规 19 3 2 2 2 18" xfId="18692"/>
    <cellStyle name="常规 19 3 2 2 2 19" xfId="18694"/>
    <cellStyle name="常规 19 3 2 2 2 2" xfId="5700"/>
    <cellStyle name="常规 19 3 2 2 2 2 10" xfId="11958"/>
    <cellStyle name="常规 19 3 2 2 2 2 10 2" xfId="106"/>
    <cellStyle name="常规 19 3 2 2 2 2 10 3" xfId="18696"/>
    <cellStyle name="常规 19 3 2 2 2 2 10 4" xfId="12046"/>
    <cellStyle name="常规 19 3 2 2 2 2 10 5" xfId="18697"/>
    <cellStyle name="常规 19 3 2 2 2 2 10 6" xfId="18698"/>
    <cellStyle name="常规 19 3 2 2 2 2 10 7" xfId="18699"/>
    <cellStyle name="常规 19 3 2 2 2 2 10 8" xfId="18700"/>
    <cellStyle name="常规 19 3 2 2 2 2 11" xfId="18701"/>
    <cellStyle name="常规 19 3 2 2 2 2 11 2" xfId="1617"/>
    <cellStyle name="常规 19 3 2 2 2 2 11 3" xfId="18702"/>
    <cellStyle name="常规 19 3 2 2 2 2 11 4" xfId="18703"/>
    <cellStyle name="常规 19 3 2 2 2 2 11 5" xfId="18704"/>
    <cellStyle name="常规 19 3 2 2 2 2 11 6" xfId="18705"/>
    <cellStyle name="常规 19 3 2 2 2 2 11 7" xfId="18707"/>
    <cellStyle name="常规 19 3 2 2 2 2 11 8" xfId="9351"/>
    <cellStyle name="常规 19 3 2 2 2 2 12" xfId="18708"/>
    <cellStyle name="常规 19 3 2 2 2 2 12 2" xfId="18709"/>
    <cellStyle name="常规 19 3 2 2 2 2 12 3" xfId="18710"/>
    <cellStyle name="常规 19 3 2 2 2 2 12 4" xfId="7121"/>
    <cellStyle name="常规 19 3 2 2 2 2 12 5" xfId="7126"/>
    <cellStyle name="常规 19 3 2 2 2 2 12 6" xfId="18711"/>
    <cellStyle name="常规 19 3 2 2 2 2 12 7" xfId="18713"/>
    <cellStyle name="常规 19 3 2 2 2 2 13" xfId="12491"/>
    <cellStyle name="常规 19 3 2 2 2 2 14" xfId="12494"/>
    <cellStyle name="常规 19 3 2 2 2 2 15" xfId="18714"/>
    <cellStyle name="常规 19 3 2 2 2 2 16" xfId="18716"/>
    <cellStyle name="常规 19 3 2 2 2 2 17" xfId="18718"/>
    <cellStyle name="常规 19 3 2 2 2 2 18" xfId="18720"/>
    <cellStyle name="常规 19 3 2 2 2 2 19" xfId="18721"/>
    <cellStyle name="常规 19 3 2 2 2 2 2" xfId="18722"/>
    <cellStyle name="常规 19 3 2 2 2 2 2 10" xfId="18724"/>
    <cellStyle name="常规 19 3 2 2 2 2 2 10 2" xfId="10941"/>
    <cellStyle name="常规 19 3 2 2 2 2 2 10 3" xfId="18725"/>
    <cellStyle name="常规 19 3 2 2 2 2 2 10 4" xfId="18727"/>
    <cellStyle name="常规 19 3 2 2 2 2 2 10 5" xfId="18729"/>
    <cellStyle name="常规 19 3 2 2 2 2 2 10 6" xfId="18730"/>
    <cellStyle name="常规 19 3 2 2 2 2 2 10 7" xfId="18731"/>
    <cellStyle name="常规 19 3 2 2 2 2 2 11" xfId="3006"/>
    <cellStyle name="常规 19 3 2 2 2 2 2 12" xfId="7255"/>
    <cellStyle name="常规 19 3 2 2 2 2 2 13" xfId="6183"/>
    <cellStyle name="常规 19 3 2 2 2 2 2 14" xfId="6236"/>
    <cellStyle name="常规 19 3 2 2 2 2 2 15" xfId="6271"/>
    <cellStyle name="常规 19 3 2 2 2 2 2 16" xfId="18732"/>
    <cellStyle name="常规 19 3 2 2 2 2 2 17" xfId="18734"/>
    <cellStyle name="常规 19 3 2 2 2 2 2 2" xfId="18737"/>
    <cellStyle name="常规 19 3 2 2 2 2 2 2 2" xfId="18740"/>
    <cellStyle name="常规 19 3 2 2 2 2 2 2 3" xfId="18743"/>
    <cellStyle name="常规 19 3 2 2 2 2 2 2 4" xfId="18745"/>
    <cellStyle name="常规 19 3 2 2 2 2 2 2 5" xfId="7239"/>
    <cellStyle name="常规 19 3 2 2 2 2 2 2 6" xfId="7245"/>
    <cellStyle name="常规 19 3 2 2 2 2 2 2 7" xfId="18749"/>
    <cellStyle name="常规 19 3 2 2 2 2 2 2 8" xfId="18753"/>
    <cellStyle name="常规 19 3 2 2 2 2 2 3" xfId="18755"/>
    <cellStyle name="常规 19 3 2 2 2 2 2 3 2" xfId="18757"/>
    <cellStyle name="常规 19 3 2 2 2 2 2 3 3" xfId="18759"/>
    <cellStyle name="常规 19 3 2 2 2 2 2 3 4" xfId="18761"/>
    <cellStyle name="常规 19 3 2 2 2 2 2 3 5" xfId="7851"/>
    <cellStyle name="常规 19 3 2 2 2 2 2 3 6" xfId="7857"/>
    <cellStyle name="常规 19 3 2 2 2 2 2 3 7" xfId="7385"/>
    <cellStyle name="常规 19 3 2 2 2 2 2 3 8" xfId="5949"/>
    <cellStyle name="常规 19 3 2 2 2 2 2 4" xfId="18763"/>
    <cellStyle name="常规 19 3 2 2 2 2 2 4 2" xfId="18764"/>
    <cellStyle name="常规 19 3 2 2 2 2 2 4 3" xfId="17414"/>
    <cellStyle name="常规 19 3 2 2 2 2 2 4 4" xfId="17423"/>
    <cellStyle name="常规 19 3 2 2 2 2 2 4 5" xfId="17427"/>
    <cellStyle name="常规 19 3 2 2 2 2 2 4 6" xfId="17432"/>
    <cellStyle name="常规 19 3 2 2 2 2 2 4 7" xfId="2961"/>
    <cellStyle name="常规 19 3 2 2 2 2 2 4 8" xfId="3042"/>
    <cellStyle name="常规 19 3 2 2 2 2 2 5" xfId="18766"/>
    <cellStyle name="常规 19 3 2 2 2 2 2 5 2" xfId="18769"/>
    <cellStyle name="常规 19 3 2 2 2 2 2 5 3" xfId="18772"/>
    <cellStyle name="常规 19 3 2 2 2 2 2 5 4" xfId="18775"/>
    <cellStyle name="常规 19 3 2 2 2 2 2 5 5" xfId="18780"/>
    <cellStyle name="常规 19 3 2 2 2 2 2 5 6" xfId="18785"/>
    <cellStyle name="常规 19 3 2 2 2 2 2 5 7" xfId="3182"/>
    <cellStyle name="常规 19 3 2 2 2 2 2 5 8" xfId="3298"/>
    <cellStyle name="常规 19 3 2 2 2 2 2 6" xfId="18787"/>
    <cellStyle name="常规 19 3 2 2 2 2 2 6 2" xfId="18788"/>
    <cellStyle name="常规 19 3 2 2 2 2 2 6 3" xfId="18790"/>
    <cellStyle name="常规 19 3 2 2 2 2 2 6 4" xfId="18792"/>
    <cellStyle name="常规 19 3 2 2 2 2 2 6 5" xfId="18795"/>
    <cellStyle name="常规 19 3 2 2 2 2 2 6 6" xfId="18797"/>
    <cellStyle name="常规 19 3 2 2 2 2 2 6 7" xfId="3488"/>
    <cellStyle name="常规 19 3 2 2 2 2 2 6 8" xfId="637"/>
    <cellStyle name="常规 19 3 2 2 2 2 2 7" xfId="18799"/>
    <cellStyle name="常规 19 3 2 2 2 2 2 7 2" xfId="18800"/>
    <cellStyle name="常规 19 3 2 2 2 2 2 7 3" xfId="18801"/>
    <cellStyle name="常规 19 3 2 2 2 2 2 7 4" xfId="18802"/>
    <cellStyle name="常规 19 3 2 2 2 2 2 7 5" xfId="18803"/>
    <cellStyle name="常规 19 3 2 2 2 2 2 7 6" xfId="18804"/>
    <cellStyle name="常规 19 3 2 2 2 2 2 7 7" xfId="3687"/>
    <cellStyle name="常规 19 3 2 2 2 2 2 7 8" xfId="677"/>
    <cellStyle name="常规 19 3 2 2 2 2 2 8" xfId="18806"/>
    <cellStyle name="常规 19 3 2 2 2 2 2 8 2" xfId="18808"/>
    <cellStyle name="常规 19 3 2 2 2 2 2 8 3" xfId="18810"/>
    <cellStyle name="常规 19 3 2 2 2 2 2 8 4" xfId="18811"/>
    <cellStyle name="常规 19 3 2 2 2 2 2 8 5" xfId="18812"/>
    <cellStyle name="常规 19 3 2 2 2 2 2 8 6" xfId="18813"/>
    <cellStyle name="常规 19 3 2 2 2 2 2 8 7" xfId="3777"/>
    <cellStyle name="常规 19 3 2 2 2 2 2 8 8" xfId="3823"/>
    <cellStyle name="常规 19 3 2 2 2 2 2 9" xfId="18816"/>
    <cellStyle name="常规 19 3 2 2 2 2 2 9 2" xfId="10070"/>
    <cellStyle name="常规 19 3 2 2 2 2 2 9 3" xfId="18819"/>
    <cellStyle name="常规 19 3 2 2 2 2 2 9 4" xfId="18822"/>
    <cellStyle name="常规 19 3 2 2 2 2 2 9 5" xfId="18824"/>
    <cellStyle name="常规 19 3 2 2 2 2 2 9 6" xfId="18826"/>
    <cellStyle name="常规 19 3 2 2 2 2 2 9 7" xfId="3858"/>
    <cellStyle name="常规 19 3 2 2 2 2 2 9 8" xfId="3881"/>
    <cellStyle name="常规 19 3 2 2 2 2 3" xfId="18827"/>
    <cellStyle name="常规 19 3 2 2 2 2 3 2" xfId="18829"/>
    <cellStyle name="常规 19 3 2 2 2 2 3 3" xfId="18830"/>
    <cellStyle name="常规 19 3 2 2 2 2 3 4" xfId="18831"/>
    <cellStyle name="常规 19 3 2 2 2 2 3 5" xfId="18832"/>
    <cellStyle name="常规 19 3 2 2 2 2 3 6" xfId="18833"/>
    <cellStyle name="常规 19 3 2 2 2 2 3 7" xfId="12186"/>
    <cellStyle name="常规 19 3 2 2 2 2 3 8" xfId="12189"/>
    <cellStyle name="常规 19 3 2 2 2 2 4" xfId="13535"/>
    <cellStyle name="常规 19 3 2 2 2 2 4 2" xfId="18834"/>
    <cellStyle name="常规 19 3 2 2 2 2 4 3" xfId="18835"/>
    <cellStyle name="常规 19 3 2 2 2 2 4 4" xfId="16357"/>
    <cellStyle name="常规 19 3 2 2 2 2 4 5" xfId="16359"/>
    <cellStyle name="常规 19 3 2 2 2 2 4 6" xfId="16361"/>
    <cellStyle name="常规 19 3 2 2 2 2 4 7" xfId="16363"/>
    <cellStyle name="常规 19 3 2 2 2 2 4 8" xfId="16365"/>
    <cellStyle name="常规 19 3 2 2 2 2 5" xfId="13540"/>
    <cellStyle name="常规 19 3 2 2 2 2 5 2" xfId="18836"/>
    <cellStyle name="常规 19 3 2 2 2 2 5 3" xfId="18837"/>
    <cellStyle name="常规 19 3 2 2 2 2 5 4" xfId="18839"/>
    <cellStyle name="常规 19 3 2 2 2 2 5 5" xfId="18840"/>
    <cellStyle name="常规 19 3 2 2 2 2 5 6" xfId="9556"/>
    <cellStyle name="常规 19 3 2 2 2 2 5 7" xfId="8668"/>
    <cellStyle name="常规 19 3 2 2 2 2 5 8" xfId="8671"/>
    <cellStyle name="常规 19 3 2 2 2 2 6" xfId="13544"/>
    <cellStyle name="常规 19 3 2 2 2 2 6 2" xfId="18841"/>
    <cellStyle name="常规 19 3 2 2 2 2 6 3" xfId="18842"/>
    <cellStyle name="常规 19 3 2 2 2 2 6 4" xfId="18843"/>
    <cellStyle name="常规 19 3 2 2 2 2 6 5" xfId="18844"/>
    <cellStyle name="常规 19 3 2 2 2 2 6 6" xfId="18845"/>
    <cellStyle name="常规 19 3 2 2 2 2 6 7" xfId="8678"/>
    <cellStyle name="常规 19 3 2 2 2 2 6 8" xfId="8687"/>
    <cellStyle name="常规 19 3 2 2 2 2 7" xfId="13548"/>
    <cellStyle name="常规 19 3 2 2 2 2 7 2" xfId="18846"/>
    <cellStyle name="常规 19 3 2 2 2 2 7 3" xfId="18847"/>
    <cellStyle name="常规 19 3 2 2 2 2 7 4" xfId="18848"/>
    <cellStyle name="常规 19 3 2 2 2 2 7 5" xfId="18849"/>
    <cellStyle name="常规 19 3 2 2 2 2 7 6" xfId="18850"/>
    <cellStyle name="常规 19 3 2 2 2 2 7 7" xfId="8697"/>
    <cellStyle name="常规 19 3 2 2 2 2 7 8" xfId="8699"/>
    <cellStyle name="常规 19 3 2 2 2 2 8" xfId="13552"/>
    <cellStyle name="常规 19 3 2 2 2 2 8 2" xfId="18851"/>
    <cellStyle name="常规 19 3 2 2 2 2 8 3" xfId="18852"/>
    <cellStyle name="常规 19 3 2 2 2 2 8 4" xfId="18853"/>
    <cellStyle name="常规 19 3 2 2 2 2 8 5" xfId="18854"/>
    <cellStyle name="常规 19 3 2 2 2 2 8 6" xfId="18855"/>
    <cellStyle name="常规 19 3 2 2 2 2 8 7" xfId="18856"/>
    <cellStyle name="常规 19 3 2 2 2 2 8 8" xfId="18857"/>
    <cellStyle name="常规 19 3 2 2 2 2 9" xfId="13557"/>
    <cellStyle name="常规 19 3 2 2 2 2 9 2" xfId="18858"/>
    <cellStyle name="常规 19 3 2 2 2 2 9 3" xfId="18860"/>
    <cellStyle name="常规 19 3 2 2 2 2 9 4" xfId="18862"/>
    <cellStyle name="常规 19 3 2 2 2 2 9 5" xfId="10001"/>
    <cellStyle name="常规 19 3 2 2 2 2 9 6" xfId="11108"/>
    <cellStyle name="常规 19 3 2 2 2 2 9 7" xfId="18864"/>
    <cellStyle name="常规 19 3 2 2 2 2 9 8" xfId="18866"/>
    <cellStyle name="常规 19 3 2 2 2 20" xfId="18682"/>
    <cellStyle name="常规 19 3 2 2 2 3" xfId="9258"/>
    <cellStyle name="常规 19 3 2 2 2 3 10" xfId="18868"/>
    <cellStyle name="常规 19 3 2 2 2 3 10 2" xfId="7474"/>
    <cellStyle name="常规 19 3 2 2 2 3 10 3" xfId="8136"/>
    <cellStyle name="常规 19 3 2 2 2 3 10 4" xfId="8141"/>
    <cellStyle name="常规 19 3 2 2 2 3 10 5" xfId="18871"/>
    <cellStyle name="常规 19 3 2 2 2 3 10 6" xfId="18874"/>
    <cellStyle name="常规 19 3 2 2 2 3 10 7" xfId="18876"/>
    <cellStyle name="常规 19 3 2 2 2 3 11" xfId="18878"/>
    <cellStyle name="常规 19 3 2 2 2 3 12" xfId="944"/>
    <cellStyle name="常规 19 3 2 2 2 3 13" xfId="1009"/>
    <cellStyle name="常规 19 3 2 2 2 3 14" xfId="341"/>
    <cellStyle name="常规 19 3 2 2 2 3 15" xfId="562"/>
    <cellStyle name="常规 19 3 2 2 2 3 16" xfId="1549"/>
    <cellStyle name="常规 19 3 2 2 2 3 17" xfId="3695"/>
    <cellStyle name="常规 19 3 2 2 2 3 2" xfId="18880"/>
    <cellStyle name="常规 19 3 2 2 2 3 2 2" xfId="18882"/>
    <cellStyle name="常规 19 3 2 2 2 3 2 3" xfId="18884"/>
    <cellStyle name="常规 19 3 2 2 2 3 2 4" xfId="18885"/>
    <cellStyle name="常规 19 3 2 2 2 3 2 5" xfId="6808"/>
    <cellStyle name="常规 19 3 2 2 2 3 2 6" xfId="6878"/>
    <cellStyle name="常规 19 3 2 2 2 3 2 7" xfId="18886"/>
    <cellStyle name="常规 19 3 2 2 2 3 2 8" xfId="18887"/>
    <cellStyle name="常规 19 3 2 2 2 3 3" xfId="18889"/>
    <cellStyle name="常规 19 3 2 2 2 3 3 2" xfId="18890"/>
    <cellStyle name="常规 19 3 2 2 2 3 3 3" xfId="18891"/>
    <cellStyle name="常规 19 3 2 2 2 3 3 4" xfId="18892"/>
    <cellStyle name="常规 19 3 2 2 2 3 3 5" xfId="6635"/>
    <cellStyle name="常规 19 3 2 2 2 3 3 6" xfId="18893"/>
    <cellStyle name="常规 19 3 2 2 2 3 3 7" xfId="18894"/>
    <cellStyle name="常规 19 3 2 2 2 3 3 8" xfId="18895"/>
    <cellStyle name="常规 19 3 2 2 2 3 4" xfId="4043"/>
    <cellStyle name="常规 19 3 2 2 2 3 4 2" xfId="18898"/>
    <cellStyle name="常规 19 3 2 2 2 3 4 3" xfId="18901"/>
    <cellStyle name="常规 19 3 2 2 2 3 4 4" xfId="18903"/>
    <cellStyle name="常规 19 3 2 2 2 3 4 5" xfId="18905"/>
    <cellStyle name="常规 19 3 2 2 2 3 4 6" xfId="18907"/>
    <cellStyle name="常规 19 3 2 2 2 3 4 7" xfId="18908"/>
    <cellStyle name="常规 19 3 2 2 2 3 4 8" xfId="18909"/>
    <cellStyle name="常规 19 3 2 2 2 3 5" xfId="4051"/>
    <cellStyle name="常规 19 3 2 2 2 3 5 2" xfId="18911"/>
    <cellStyle name="常规 19 3 2 2 2 3 5 3" xfId="18913"/>
    <cellStyle name="常规 19 3 2 2 2 3 5 4" xfId="18915"/>
    <cellStyle name="常规 19 3 2 2 2 3 5 5" xfId="18917"/>
    <cellStyle name="常规 19 3 2 2 2 3 5 6" xfId="18919"/>
    <cellStyle name="常规 19 3 2 2 2 3 5 7" xfId="2660"/>
    <cellStyle name="常规 19 3 2 2 2 3 5 8" xfId="1988"/>
    <cellStyle name="常规 19 3 2 2 2 3 6" xfId="4913"/>
    <cellStyle name="常规 19 3 2 2 2 3 6 2" xfId="18921"/>
    <cellStyle name="常规 19 3 2 2 2 3 6 3" xfId="18923"/>
    <cellStyle name="常规 19 3 2 2 2 3 6 4" xfId="18925"/>
    <cellStyle name="常规 19 3 2 2 2 3 6 5" xfId="1689"/>
    <cellStyle name="常规 19 3 2 2 2 3 6 6" xfId="2099"/>
    <cellStyle name="常规 19 3 2 2 2 3 6 7" xfId="2179"/>
    <cellStyle name="常规 19 3 2 2 2 3 6 8" xfId="2115"/>
    <cellStyle name="常规 19 3 2 2 2 3 7" xfId="4328"/>
    <cellStyle name="常规 19 3 2 2 2 3 7 2" xfId="18512"/>
    <cellStyle name="常规 19 3 2 2 2 3 7 3" xfId="18517"/>
    <cellStyle name="常规 19 3 2 2 2 3 7 4" xfId="18519"/>
    <cellStyle name="常规 19 3 2 2 2 3 7 5" xfId="2273"/>
    <cellStyle name="常规 19 3 2 2 2 3 7 6" xfId="2455"/>
    <cellStyle name="常规 19 3 2 2 2 3 7 7" xfId="2549"/>
    <cellStyle name="常规 19 3 2 2 2 3 7 8" xfId="2190"/>
    <cellStyle name="常规 19 3 2 2 2 3 8" xfId="4340"/>
    <cellStyle name="常规 19 3 2 2 2 3 8 2" xfId="8649"/>
    <cellStyle name="常规 19 3 2 2 2 3 8 3" xfId="8654"/>
    <cellStyle name="常规 19 3 2 2 2 3 8 4" xfId="18926"/>
    <cellStyle name="常规 19 3 2 2 2 3 8 5" xfId="2638"/>
    <cellStyle name="常规 19 3 2 2 2 3 8 6" xfId="2678"/>
    <cellStyle name="常规 19 3 2 2 2 3 8 7" xfId="2741"/>
    <cellStyle name="常规 19 3 2 2 2 3 8 8" xfId="2124"/>
    <cellStyle name="常规 19 3 2 2 2 3 9" xfId="5608"/>
    <cellStyle name="常规 19 3 2 2 2 3 9 2" xfId="18928"/>
    <cellStyle name="常规 19 3 2 2 2 3 9 3" xfId="18930"/>
    <cellStyle name="常规 19 3 2 2 2 3 9 4" xfId="18931"/>
    <cellStyle name="常规 19 3 2 2 2 3 9 5" xfId="2820"/>
    <cellStyle name="常规 19 3 2 2 2 3 9 6" xfId="2844"/>
    <cellStyle name="常规 19 3 2 2 2 3 9 7" xfId="1946"/>
    <cellStyle name="常规 19 3 2 2 2 3 9 8" xfId="2144"/>
    <cellStyle name="常规 19 3 2 2 2 4" xfId="9264"/>
    <cellStyle name="常规 19 3 2 2 2 4 2" xfId="8046"/>
    <cellStyle name="常规 19 3 2 2 2 4 3" xfId="18932"/>
    <cellStyle name="常规 19 3 2 2 2 4 4" xfId="13569"/>
    <cellStyle name="常规 19 3 2 2 2 4 5" xfId="13574"/>
    <cellStyle name="常规 19 3 2 2 2 4 6" xfId="13579"/>
    <cellStyle name="常规 19 3 2 2 2 4 7" xfId="13584"/>
    <cellStyle name="常规 19 3 2 2 2 4 8" xfId="13589"/>
    <cellStyle name="常规 19 3 2 2 2 5" xfId="18522"/>
    <cellStyle name="常规 19 3 2 2 2 5 2" xfId="18935"/>
    <cellStyle name="常规 19 3 2 2 2 5 3" xfId="18937"/>
    <cellStyle name="常规 19 3 2 2 2 5 4" xfId="13613"/>
    <cellStyle name="常规 19 3 2 2 2 5 5" xfId="13619"/>
    <cellStyle name="常规 19 3 2 2 2 5 6" xfId="13624"/>
    <cellStyle name="常规 19 3 2 2 2 5 7" xfId="13629"/>
    <cellStyle name="常规 19 3 2 2 2 5 8" xfId="13634"/>
    <cellStyle name="常规 19 3 2 2 2 6" xfId="18524"/>
    <cellStyle name="常规 19 3 2 2 2 6 2" xfId="18939"/>
    <cellStyle name="常规 19 3 2 2 2 6 3" xfId="18941"/>
    <cellStyle name="常规 19 3 2 2 2 6 4" xfId="13655"/>
    <cellStyle name="常规 19 3 2 2 2 6 5" xfId="13660"/>
    <cellStyle name="常规 19 3 2 2 2 6 6" xfId="9347"/>
    <cellStyle name="常规 19 3 2 2 2 6 7" xfId="9355"/>
    <cellStyle name="常规 19 3 2 2 2 6 8" xfId="13665"/>
    <cellStyle name="常规 19 3 2 2 2 7" xfId="18526"/>
    <cellStyle name="常规 19 3 2 2 2 7 2" xfId="18944"/>
    <cellStyle name="常规 19 3 2 2 2 7 3" xfId="18947"/>
    <cellStyle name="常规 19 3 2 2 2 7 4" xfId="13682"/>
    <cellStyle name="常规 19 3 2 2 2 7 5" xfId="13687"/>
    <cellStyle name="常规 19 3 2 2 2 7 6" xfId="13692"/>
    <cellStyle name="常规 19 3 2 2 2 7 7" xfId="13697"/>
    <cellStyle name="常规 19 3 2 2 2 7 8" xfId="13702"/>
    <cellStyle name="常规 19 3 2 2 2 8" xfId="18948"/>
    <cellStyle name="常规 19 3 2 2 2 8 2" xfId="18950"/>
    <cellStyle name="常规 19 3 2 2 2 8 3" xfId="18952"/>
    <cellStyle name="常规 19 3 2 2 2 8 4" xfId="13716"/>
    <cellStyle name="常规 19 3 2 2 2 8 5" xfId="5317"/>
    <cellStyle name="常规 19 3 2 2 2 8 6" xfId="5352"/>
    <cellStyle name="常规 19 3 2 2 2 8 7" xfId="5366"/>
    <cellStyle name="常规 19 3 2 2 2 8 8" xfId="6397"/>
    <cellStyle name="常规 19 3 2 2 2 9" xfId="18953"/>
    <cellStyle name="常规 19 3 2 2 2 9 2" xfId="18958"/>
    <cellStyle name="常规 19 3 2 2 2 9 3" xfId="18962"/>
    <cellStyle name="常规 19 3 2 2 2 9 4" xfId="18158"/>
    <cellStyle name="常规 19 3 2 2 2 9 5" xfId="18163"/>
    <cellStyle name="常规 19 3 2 2 2 9 6" xfId="18168"/>
    <cellStyle name="常规 19 3 2 2 2 9 7" xfId="18172"/>
    <cellStyle name="常规 19 3 2 2 2 9 8" xfId="18176"/>
    <cellStyle name="常规 19 3 2 2 20" xfId="18587"/>
    <cellStyle name="常规 19 3 2 2 21" xfId="18597"/>
    <cellStyle name="常规 19 3 2 2 22" xfId="11495"/>
    <cellStyle name="常规 19 3 2 2 3" xfId="18963"/>
    <cellStyle name="常规 19 3 2 2 3 10" xfId="542"/>
    <cellStyle name="常规 19 3 2 2 3 10 2" xfId="11560"/>
    <cellStyle name="常规 19 3 2 2 3 10 3" xfId="6389"/>
    <cellStyle name="常规 19 3 2 2 3 10 4" xfId="6391"/>
    <cellStyle name="常规 19 3 2 2 3 10 5" xfId="18965"/>
    <cellStyle name="常规 19 3 2 2 3 10 6" xfId="18967"/>
    <cellStyle name="常规 19 3 2 2 3 10 7" xfId="18969"/>
    <cellStyle name="常规 19 3 2 2 3 10 8" xfId="18970"/>
    <cellStyle name="常规 19 3 2 2 3 11" xfId="7410"/>
    <cellStyle name="常规 19 3 2 2 3 11 2" xfId="7422"/>
    <cellStyle name="常规 19 3 2 2 3 11 3" xfId="7519"/>
    <cellStyle name="常规 19 3 2 2 3 11 4" xfId="7686"/>
    <cellStyle name="常规 19 3 2 2 3 11 5" xfId="7835"/>
    <cellStyle name="常规 19 3 2 2 3 11 6" xfId="7877"/>
    <cellStyle name="常规 19 3 2 2 3 11 7" xfId="3916"/>
    <cellStyle name="常规 19 3 2 2 3 11 8" xfId="4053"/>
    <cellStyle name="常规 19 3 2 2 3 12" xfId="11562"/>
    <cellStyle name="常规 19 3 2 2 3 12 2" xfId="18975"/>
    <cellStyle name="常规 19 3 2 2 3 12 3" xfId="7023"/>
    <cellStyle name="常规 19 3 2 2 3 12 4" xfId="7026"/>
    <cellStyle name="常规 19 3 2 2 3 12 5" xfId="18977"/>
    <cellStyle name="常规 19 3 2 2 3 12 6" xfId="18979"/>
    <cellStyle name="常规 19 3 2 2 3 12 7" xfId="8426"/>
    <cellStyle name="常规 19 3 2 2 3 13" xfId="14606"/>
    <cellStyle name="常规 19 3 2 2 3 14" xfId="5388"/>
    <cellStyle name="常规 19 3 2 2 3 15" xfId="5395"/>
    <cellStyle name="常规 19 3 2 2 3 16" xfId="5170"/>
    <cellStyle name="常规 19 3 2 2 3 17" xfId="1453"/>
    <cellStyle name="常规 19 3 2 2 3 18" xfId="1462"/>
    <cellStyle name="常规 19 3 2 2 3 19" xfId="3054"/>
    <cellStyle name="常规 19 3 2 2 3 2" xfId="5724"/>
    <cellStyle name="常规 19 3 2 2 3 2 10" xfId="18982"/>
    <cellStyle name="常规 19 3 2 2 3 2 10 2" xfId="18985"/>
    <cellStyle name="常规 19 3 2 2 3 2 10 3" xfId="18988"/>
    <cellStyle name="常规 19 3 2 2 3 2 10 4" xfId="15041"/>
    <cellStyle name="常规 19 3 2 2 3 2 10 5" xfId="15043"/>
    <cellStyle name="常规 19 3 2 2 3 2 10 6" xfId="15046"/>
    <cellStyle name="常规 19 3 2 2 3 2 10 7" xfId="15048"/>
    <cellStyle name="常规 19 3 2 2 3 2 11" xfId="18991"/>
    <cellStyle name="常规 19 3 2 2 3 2 12" xfId="18994"/>
    <cellStyle name="常规 19 3 2 2 3 2 13" xfId="18997"/>
    <cellStyle name="常规 19 3 2 2 3 2 14" xfId="19001"/>
    <cellStyle name="常规 19 3 2 2 3 2 15" xfId="19004"/>
    <cellStyle name="常规 19 3 2 2 3 2 16" xfId="19007"/>
    <cellStyle name="常规 19 3 2 2 3 2 17" xfId="17644"/>
    <cellStyle name="常规 19 3 2 2 3 2 2" xfId="19010"/>
    <cellStyle name="常规 19 3 2 2 3 2 2 2" xfId="19013"/>
    <cellStyle name="常规 19 3 2 2 3 2 2 3" xfId="19016"/>
    <cellStyle name="常规 19 3 2 2 3 2 2 4" xfId="19019"/>
    <cellStyle name="常规 19 3 2 2 3 2 2 5" xfId="19022"/>
    <cellStyle name="常规 19 3 2 2 3 2 2 6" xfId="19025"/>
    <cellStyle name="常规 19 3 2 2 3 2 2 7" xfId="19026"/>
    <cellStyle name="常规 19 3 2 2 3 2 2 8" xfId="19027"/>
    <cellStyle name="常规 19 3 2 2 3 2 3" xfId="19030"/>
    <cellStyle name="常规 19 3 2 2 3 2 3 2" xfId="19032"/>
    <cellStyle name="常规 19 3 2 2 3 2 3 3" xfId="19035"/>
    <cellStyle name="常规 19 3 2 2 3 2 3 4" xfId="19038"/>
    <cellStyle name="常规 19 3 2 2 3 2 3 5" xfId="19042"/>
    <cellStyle name="常规 19 3 2 2 3 2 3 6" xfId="19043"/>
    <cellStyle name="常规 19 3 2 2 3 2 3 7" xfId="19044"/>
    <cellStyle name="常规 19 3 2 2 3 2 3 8" xfId="19045"/>
    <cellStyle name="常规 19 3 2 2 3 2 4" xfId="13755"/>
    <cellStyle name="常规 19 3 2 2 3 2 4 2" xfId="19048"/>
    <cellStyle name="常规 19 3 2 2 3 2 4 3" xfId="19051"/>
    <cellStyle name="常规 19 3 2 2 3 2 4 4" xfId="19055"/>
    <cellStyle name="常规 19 3 2 2 3 2 4 5" xfId="19058"/>
    <cellStyle name="常规 19 3 2 2 3 2 4 6" xfId="19060"/>
    <cellStyle name="常规 19 3 2 2 3 2 4 7" xfId="19062"/>
    <cellStyle name="常规 19 3 2 2 3 2 4 8" xfId="19063"/>
    <cellStyle name="常规 19 3 2 2 3 2 5" xfId="13225"/>
    <cellStyle name="常规 19 3 2 2 3 2 5 2" xfId="19065"/>
    <cellStyle name="常规 19 3 2 2 3 2 5 3" xfId="19068"/>
    <cellStyle name="常规 19 3 2 2 3 2 5 4" xfId="19072"/>
    <cellStyle name="常规 19 3 2 2 3 2 5 5" xfId="8311"/>
    <cellStyle name="常规 19 3 2 2 3 2 5 6" xfId="8332"/>
    <cellStyle name="常规 19 3 2 2 3 2 5 7" xfId="8338"/>
    <cellStyle name="常规 19 3 2 2 3 2 5 8" xfId="8784"/>
    <cellStyle name="常规 19 3 2 2 3 2 6" xfId="13226"/>
    <cellStyle name="常规 19 3 2 2 3 2 6 2" xfId="19074"/>
    <cellStyle name="常规 19 3 2 2 3 2 6 3" xfId="19076"/>
    <cellStyle name="常规 19 3 2 2 3 2 6 4" xfId="19079"/>
    <cellStyle name="常规 19 3 2 2 3 2 6 5" xfId="8346"/>
    <cellStyle name="常规 19 3 2 2 3 2 6 6" xfId="6164"/>
    <cellStyle name="常规 19 3 2 2 3 2 6 7" xfId="6167"/>
    <cellStyle name="常规 19 3 2 2 3 2 6 8" xfId="8808"/>
    <cellStyle name="常规 19 3 2 2 3 2 7" xfId="13229"/>
    <cellStyle name="常规 19 3 2 2 3 2 7 2" xfId="19081"/>
    <cellStyle name="常规 19 3 2 2 3 2 7 3" xfId="19084"/>
    <cellStyle name="常规 19 3 2 2 3 2 7 4" xfId="19088"/>
    <cellStyle name="常规 19 3 2 2 3 2 7 5" xfId="8354"/>
    <cellStyle name="常规 19 3 2 2 3 2 7 6" xfId="8358"/>
    <cellStyle name="常规 19 3 2 2 3 2 7 7" xfId="8816"/>
    <cellStyle name="常规 19 3 2 2 3 2 7 8" xfId="8820"/>
    <cellStyle name="常规 19 3 2 2 3 2 8" xfId="13232"/>
    <cellStyle name="常规 19 3 2 2 3 2 8 2" xfId="19090"/>
    <cellStyle name="常规 19 3 2 2 3 2 8 3" xfId="19092"/>
    <cellStyle name="常规 19 3 2 2 3 2 8 4" xfId="19095"/>
    <cellStyle name="常规 19 3 2 2 3 2 8 5" xfId="19098"/>
    <cellStyle name="常规 19 3 2 2 3 2 8 6" xfId="11295"/>
    <cellStyle name="常规 19 3 2 2 3 2 8 7" xfId="7864"/>
    <cellStyle name="常规 19 3 2 2 3 2 8 8" xfId="9250"/>
    <cellStyle name="常规 19 3 2 2 3 2 9" xfId="13236"/>
    <cellStyle name="常规 19 3 2 2 3 2 9 2" xfId="19099"/>
    <cellStyle name="常规 19 3 2 2 3 2 9 3" xfId="19101"/>
    <cellStyle name="常规 19 3 2 2 3 2 9 4" xfId="19103"/>
    <cellStyle name="常规 19 3 2 2 3 2 9 5" xfId="41"/>
    <cellStyle name="常规 19 3 2 2 3 2 9 6" xfId="446"/>
    <cellStyle name="常规 19 3 2 2 3 2 9 7" xfId="365"/>
    <cellStyle name="常规 19 3 2 2 3 2 9 8" xfId="290"/>
    <cellStyle name="常规 19 3 2 2 3 3" xfId="9224"/>
    <cellStyle name="常规 19 3 2 2 3 3 2" xfId="19108"/>
    <cellStyle name="常规 19 3 2 2 3 3 3" xfId="19111"/>
    <cellStyle name="常规 19 3 2 2 3 3 4" xfId="13759"/>
    <cellStyle name="常规 19 3 2 2 3 3 5" xfId="13247"/>
    <cellStyle name="常规 19 3 2 2 3 3 6" xfId="13252"/>
    <cellStyle name="常规 19 3 2 2 3 3 7" xfId="13256"/>
    <cellStyle name="常规 19 3 2 2 3 3 8" xfId="13260"/>
    <cellStyle name="常规 19 3 2 2 3 4" xfId="9230"/>
    <cellStyle name="常规 19 3 2 2 3 4 2" xfId="19114"/>
    <cellStyle name="常规 19 3 2 2 3 4 3" xfId="19116"/>
    <cellStyle name="常规 19 3 2 2 3 4 4" xfId="13762"/>
    <cellStyle name="常规 19 3 2 2 3 4 5" xfId="13765"/>
    <cellStyle name="常规 19 3 2 2 3 4 6" xfId="13768"/>
    <cellStyle name="常规 19 3 2 2 3 4 7" xfId="13771"/>
    <cellStyle name="常规 19 3 2 2 3 4 8" xfId="13772"/>
    <cellStyle name="常规 19 3 2 2 3 5" xfId="18530"/>
    <cellStyle name="常规 19 3 2 2 3 5 2" xfId="19118"/>
    <cellStyle name="常规 19 3 2 2 3 5 3" xfId="19121"/>
    <cellStyle name="常规 19 3 2 2 3 5 4" xfId="13776"/>
    <cellStyle name="常规 19 3 2 2 3 5 5" xfId="13780"/>
    <cellStyle name="常规 19 3 2 2 3 5 6" xfId="13783"/>
    <cellStyle name="常规 19 3 2 2 3 5 7" xfId="13786"/>
    <cellStyle name="常规 19 3 2 2 3 5 8" xfId="13789"/>
    <cellStyle name="常规 19 3 2 2 3 6" xfId="10931"/>
    <cellStyle name="常规 19 3 2 2 3 6 2" xfId="19124"/>
    <cellStyle name="常规 19 3 2 2 3 6 3" xfId="19126"/>
    <cellStyle name="常规 19 3 2 2 3 6 4" xfId="13792"/>
    <cellStyle name="常规 19 3 2 2 3 6 5" xfId="13795"/>
    <cellStyle name="常规 19 3 2 2 3 6 6" xfId="13798"/>
    <cellStyle name="常规 19 3 2 2 3 6 7" xfId="13800"/>
    <cellStyle name="常规 19 3 2 2 3 6 8" xfId="13802"/>
    <cellStyle name="常规 19 3 2 2 3 7" xfId="7133"/>
    <cellStyle name="常规 19 3 2 2 3 7 2" xfId="14577"/>
    <cellStyle name="常规 19 3 2 2 3 7 3" xfId="19128"/>
    <cellStyle name="常规 19 3 2 2 3 7 4" xfId="13808"/>
    <cellStyle name="常规 19 3 2 2 3 7 5" xfId="13810"/>
    <cellStyle name="常规 19 3 2 2 3 7 6" xfId="13812"/>
    <cellStyle name="常规 19 3 2 2 3 7 7" xfId="11483"/>
    <cellStyle name="常规 19 3 2 2 3 7 8" xfId="11486"/>
    <cellStyle name="常规 19 3 2 2 3 8" xfId="19130"/>
    <cellStyle name="常规 19 3 2 2 3 8 2" xfId="19133"/>
    <cellStyle name="常规 19 3 2 2 3 8 3" xfId="19136"/>
    <cellStyle name="常规 19 3 2 2 3 8 4" xfId="13818"/>
    <cellStyle name="常规 19 3 2 2 3 8 5" xfId="1854"/>
    <cellStyle name="常规 19 3 2 2 3 8 6" xfId="3276"/>
    <cellStyle name="常规 19 3 2 2 3 8 7" xfId="3667"/>
    <cellStyle name="常规 19 3 2 2 3 8 8" xfId="3753"/>
    <cellStyle name="常规 19 3 2 2 3 9" xfId="19138"/>
    <cellStyle name="常规 19 3 2 2 3 9 2" xfId="12123"/>
    <cellStyle name="常规 19 3 2 2 3 9 3" xfId="19140"/>
    <cellStyle name="常规 19 3 2 2 3 9 4" xfId="19141"/>
    <cellStyle name="常规 19 3 2 2 3 9 5" xfId="19142"/>
    <cellStyle name="常规 19 3 2 2 3 9 6" xfId="19143"/>
    <cellStyle name="常规 19 3 2 2 3 9 7" xfId="19144"/>
    <cellStyle name="常规 19 3 2 2 3 9 8" xfId="19145"/>
    <cellStyle name="常规 19 3 2 2 4" xfId="19146"/>
    <cellStyle name="常规 19 3 2 2 4 10" xfId="19148"/>
    <cellStyle name="常规 19 3 2 2 4 10 2" xfId="10087"/>
    <cellStyle name="常规 19 3 2 2 4 10 3" xfId="19151"/>
    <cellStyle name="常规 19 3 2 2 4 10 4" xfId="19153"/>
    <cellStyle name="常规 19 3 2 2 4 10 5" xfId="11934"/>
    <cellStyle name="常规 19 3 2 2 4 10 6" xfId="5588"/>
    <cellStyle name="常规 19 3 2 2 4 10 7" xfId="8481"/>
    <cellStyle name="常规 19 3 2 2 4 10 8" xfId="19155"/>
    <cellStyle name="常规 19 3 2 2 4 11" xfId="10105"/>
    <cellStyle name="常规 19 3 2 2 4 11 2" xfId="19156"/>
    <cellStyle name="常规 19 3 2 2 4 11 3" xfId="19157"/>
    <cellStyle name="常规 19 3 2 2 4 11 4" xfId="19158"/>
    <cellStyle name="常规 19 3 2 2 4 11 5" xfId="11944"/>
    <cellStyle name="常规 19 3 2 2 4 11 6" xfId="11948"/>
    <cellStyle name="常规 19 3 2 2 4 11 7" xfId="11950"/>
    <cellStyle name="常规 19 3 2 2 4 11 8" xfId="19159"/>
    <cellStyle name="常规 19 3 2 2 4 12" xfId="14623"/>
    <cellStyle name="常规 19 3 2 2 4 12 2" xfId="19160"/>
    <cellStyle name="常规 19 3 2 2 4 12 3" xfId="19161"/>
    <cellStyle name="常规 19 3 2 2 4 12 4" xfId="19162"/>
    <cellStyle name="常规 19 3 2 2 4 12 5" xfId="19163"/>
    <cellStyle name="常规 19 3 2 2 4 12 6" xfId="19164"/>
    <cellStyle name="常规 19 3 2 2 4 12 7" xfId="19165"/>
    <cellStyle name="常规 19 3 2 2 4 13" xfId="14627"/>
    <cellStyle name="常规 19 3 2 2 4 14" xfId="14631"/>
    <cellStyle name="常规 19 3 2 2 4 15" xfId="14635"/>
    <cellStyle name="常规 19 3 2 2 4 16" xfId="14639"/>
    <cellStyle name="常规 19 3 2 2 4 17" xfId="14642"/>
    <cellStyle name="常规 19 3 2 2 4 18" xfId="19166"/>
    <cellStyle name="常规 19 3 2 2 4 19" xfId="19167"/>
    <cellStyle name="常规 19 3 2 2 4 2" xfId="18534"/>
    <cellStyle name="常规 19 3 2 2 4 2 10" xfId="9229"/>
    <cellStyle name="常规 19 3 2 2 4 2 10 2" xfId="19112"/>
    <cellStyle name="常规 19 3 2 2 4 2 10 3" xfId="19115"/>
    <cellStyle name="常规 19 3 2 2 4 2 10 4" xfId="13761"/>
    <cellStyle name="常规 19 3 2 2 4 2 10 5" xfId="13764"/>
    <cellStyle name="常规 19 3 2 2 4 2 10 6" xfId="13767"/>
    <cellStyle name="常规 19 3 2 2 4 2 10 7" xfId="13770"/>
    <cellStyle name="常规 19 3 2 2 4 2 11" xfId="18529"/>
    <cellStyle name="常规 19 3 2 2 4 2 12" xfId="10930"/>
    <cellStyle name="常规 19 3 2 2 4 2 13" xfId="7132"/>
    <cellStyle name="常规 19 3 2 2 4 2 14" xfId="19129"/>
    <cellStyle name="常规 19 3 2 2 4 2 15" xfId="19137"/>
    <cellStyle name="常规 19 3 2 2 4 2 16" xfId="7619"/>
    <cellStyle name="常规 19 3 2 2 4 2 17" xfId="812"/>
    <cellStyle name="常规 19 3 2 2 4 2 2" xfId="19169"/>
    <cellStyle name="常规 19 3 2 2 4 2 2 2" xfId="19172"/>
    <cellStyle name="常规 19 3 2 2 4 2 2 3" xfId="19174"/>
    <cellStyle name="常规 19 3 2 2 4 2 2 4" xfId="19177"/>
    <cellStyle name="常规 19 3 2 2 4 2 2 5" xfId="19181"/>
    <cellStyle name="常规 19 3 2 2 4 2 2 6" xfId="19182"/>
    <cellStyle name="常规 19 3 2 2 4 2 2 7" xfId="19183"/>
    <cellStyle name="常规 19 3 2 2 4 2 2 8" xfId="19184"/>
    <cellStyle name="常规 19 3 2 2 4 2 3" xfId="19186"/>
    <cellStyle name="常规 19 3 2 2 4 2 3 2" xfId="19189"/>
    <cellStyle name="常规 19 3 2 2 4 2 3 3" xfId="19192"/>
    <cellStyle name="常规 19 3 2 2 4 2 3 4" xfId="19195"/>
    <cellStyle name="常规 19 3 2 2 4 2 3 5" xfId="19197"/>
    <cellStyle name="常规 19 3 2 2 4 2 3 6" xfId="19198"/>
    <cellStyle name="常规 19 3 2 2 4 2 3 7" xfId="19199"/>
    <cellStyle name="常规 19 3 2 2 4 2 3 8" xfId="19200"/>
    <cellStyle name="常规 19 3 2 2 4 2 4" xfId="19202"/>
    <cellStyle name="常规 19 3 2 2 4 2 4 2" xfId="19205"/>
    <cellStyle name="常规 19 3 2 2 4 2 4 3" xfId="19207"/>
    <cellStyle name="常规 19 3 2 2 4 2 4 4" xfId="19210"/>
    <cellStyle name="常规 19 3 2 2 4 2 4 5" xfId="19214"/>
    <cellStyle name="常规 19 3 2 2 4 2 4 6" xfId="19216"/>
    <cellStyle name="常规 19 3 2 2 4 2 4 7" xfId="19219"/>
    <cellStyle name="常规 19 3 2 2 4 2 4 8" xfId="19222"/>
    <cellStyle name="常规 19 3 2 2 4 2 5" xfId="19224"/>
    <cellStyle name="常规 19 3 2 2 4 2 5 2" xfId="19227"/>
    <cellStyle name="常规 19 3 2 2 4 2 5 3" xfId="19229"/>
    <cellStyle name="常规 19 3 2 2 4 2 5 4" xfId="19232"/>
    <cellStyle name="常规 19 3 2 2 4 2 5 5" xfId="2620"/>
    <cellStyle name="常规 19 3 2 2 4 2 5 6" xfId="2815"/>
    <cellStyle name="常规 19 3 2 2 4 2 5 7" xfId="2855"/>
    <cellStyle name="常规 19 3 2 2 4 2 5 8" xfId="2870"/>
    <cellStyle name="常规 19 3 2 2 4 2 6" xfId="19233"/>
    <cellStyle name="常规 19 3 2 2 4 2 6 2" xfId="19236"/>
    <cellStyle name="常规 19 3 2 2 4 2 6 3" xfId="19238"/>
    <cellStyle name="常规 19 3 2 2 4 2 6 4" xfId="19240"/>
    <cellStyle name="常规 19 3 2 2 4 2 6 5" xfId="8411"/>
    <cellStyle name="常规 19 3 2 2 4 2 6 6" xfId="8413"/>
    <cellStyle name="常规 19 3 2 2 4 2 6 7" xfId="47"/>
    <cellStyle name="常规 19 3 2 2 4 2 6 8" xfId="5701"/>
    <cellStyle name="常规 19 3 2 2 4 2 7" xfId="18531"/>
    <cellStyle name="常规 19 3 2 2 4 2 7 2" xfId="19242"/>
    <cellStyle name="常规 19 3 2 2 4 2 7 3" xfId="19244"/>
    <cellStyle name="常规 19 3 2 2 4 2 7 4" xfId="19247"/>
    <cellStyle name="常规 19 3 2 2 4 2 7 5" xfId="8417"/>
    <cellStyle name="常规 19 3 2 2 4 2 7 6" xfId="8419"/>
    <cellStyle name="常规 19 3 2 2 4 2 7 7" xfId="5715"/>
    <cellStyle name="常规 19 3 2 2 4 2 7 8" xfId="5725"/>
    <cellStyle name="常规 19 3 2 2 4 2 8" xfId="18535"/>
    <cellStyle name="常规 19 3 2 2 4 2 8 2" xfId="19170"/>
    <cellStyle name="常规 19 3 2 2 4 2 8 3" xfId="19187"/>
    <cellStyle name="常规 19 3 2 2 4 2 8 4" xfId="19203"/>
    <cellStyle name="常规 19 3 2 2 4 2 8 5" xfId="19225"/>
    <cellStyle name="常规 19 3 2 2 4 2 8 6" xfId="19234"/>
    <cellStyle name="常规 19 3 2 2 4 2 8 7" xfId="18532"/>
    <cellStyle name="常规 19 3 2 2 4 2 8 8" xfId="18536"/>
    <cellStyle name="常规 19 3 2 2 4 2 9" xfId="18538"/>
    <cellStyle name="常规 19 3 2 2 4 2 9 2" xfId="19249"/>
    <cellStyle name="常规 19 3 2 2 4 2 9 3" xfId="19251"/>
    <cellStyle name="常规 19 3 2 2 4 2 9 4" xfId="19253"/>
    <cellStyle name="常规 19 3 2 2 4 2 9 5" xfId="19255"/>
    <cellStyle name="常规 19 3 2 2 4 2 9 6" xfId="19257"/>
    <cellStyle name="常规 19 3 2 2 4 2 9 7" xfId="18551"/>
    <cellStyle name="常规 19 3 2 2 4 2 9 8" xfId="18554"/>
    <cellStyle name="常规 19 3 2 2 4 3" xfId="18539"/>
    <cellStyle name="常规 19 3 2 2 4 3 2" xfId="19250"/>
    <cellStyle name="常规 19 3 2 2 4 3 3" xfId="19252"/>
    <cellStyle name="常规 19 3 2 2 4 3 4" xfId="19254"/>
    <cellStyle name="常规 19 3 2 2 4 3 5" xfId="19256"/>
    <cellStyle name="常规 19 3 2 2 4 3 6" xfId="19258"/>
    <cellStyle name="常规 19 3 2 2 4 3 7" xfId="18552"/>
    <cellStyle name="常规 19 3 2 2 4 3 8" xfId="18555"/>
    <cellStyle name="常规 19 3 2 2 4 4" xfId="18541"/>
    <cellStyle name="常规 19 3 2 2 4 4 2" xfId="19259"/>
    <cellStyle name="常规 19 3 2 2 4 4 3" xfId="19260"/>
    <cellStyle name="常规 19 3 2 2 4 4 4" xfId="19261"/>
    <cellStyle name="常规 19 3 2 2 4 4 5" xfId="19262"/>
    <cellStyle name="常规 19 3 2 2 4 4 6" xfId="19263"/>
    <cellStyle name="常规 19 3 2 2 4 4 7" xfId="18570"/>
    <cellStyle name="常规 19 3 2 2 4 4 8" xfId="18572"/>
    <cellStyle name="常规 19 3 2 2 4 5" xfId="18543"/>
    <cellStyle name="常规 19 3 2 2 4 5 2" xfId="17407"/>
    <cellStyle name="常规 19 3 2 2 4 5 3" xfId="17411"/>
    <cellStyle name="常规 19 3 2 2 4 5 4" xfId="19265"/>
    <cellStyle name="常规 19 3 2 2 4 5 5" xfId="11741"/>
    <cellStyle name="常规 19 3 2 2 4 5 6" xfId="11806"/>
    <cellStyle name="常规 19 3 2 2 4 5 7" xfId="11844"/>
    <cellStyle name="常规 19 3 2 2 4 5 8" xfId="11858"/>
    <cellStyle name="常规 19 3 2 2 4 6" xfId="18545"/>
    <cellStyle name="常规 19 3 2 2 4 6 2" xfId="19267"/>
    <cellStyle name="常规 19 3 2 2 4 6 3" xfId="19270"/>
    <cellStyle name="常规 19 3 2 2 4 6 4" xfId="19273"/>
    <cellStyle name="常规 19 3 2 2 4 6 5" xfId="11867"/>
    <cellStyle name="常规 19 3 2 2 4 6 6" xfId="11892"/>
    <cellStyle name="常规 19 3 2 2 4 6 7" xfId="11899"/>
    <cellStyle name="常规 19 3 2 2 4 6 8" xfId="16565"/>
    <cellStyle name="常规 19 3 2 2 4 7" xfId="18547"/>
    <cellStyle name="常规 19 3 2 2 4 7 2" xfId="19275"/>
    <cellStyle name="常规 19 3 2 2 4 7 3" xfId="19277"/>
    <cellStyle name="常规 19 3 2 2 4 7 4" xfId="19278"/>
    <cellStyle name="常规 19 3 2 2 4 7 5" xfId="3325"/>
    <cellStyle name="常规 19 3 2 2 4 7 6" xfId="3336"/>
    <cellStyle name="常规 19 3 2 2 4 7 7" xfId="4444"/>
    <cellStyle name="常规 19 3 2 2 4 7 8" xfId="11917"/>
    <cellStyle name="常规 19 3 2 2 4 8" xfId="19279"/>
    <cellStyle name="常规 19 3 2 2 4 8 2" xfId="9365"/>
    <cellStyle name="常规 19 3 2 2 4 8 3" xfId="19281"/>
    <cellStyle name="常规 19 3 2 2 4 8 4" xfId="19282"/>
    <cellStyle name="常规 19 3 2 2 4 8 5" xfId="8626"/>
    <cellStyle name="常规 19 3 2 2 4 8 6" xfId="11928"/>
    <cellStyle name="常规 19 3 2 2 4 8 7" xfId="11930"/>
    <cellStyle name="常规 19 3 2 2 4 8 8" xfId="19283"/>
    <cellStyle name="常规 19 3 2 2 4 9" xfId="19147"/>
    <cellStyle name="常规 19 3 2 2 4 9 2" xfId="10086"/>
    <cellStyle name="常规 19 3 2 2 4 9 3" xfId="19150"/>
    <cellStyle name="常规 19 3 2 2 4 9 4" xfId="19152"/>
    <cellStyle name="常规 19 3 2 2 4 9 5" xfId="11932"/>
    <cellStyle name="常规 19 3 2 2 4 9 6" xfId="5586"/>
    <cellStyle name="常规 19 3 2 2 4 9 7" xfId="8479"/>
    <cellStyle name="常规 19 3 2 2 4 9 8" xfId="19154"/>
    <cellStyle name="常规 19 3 2 2 5" xfId="15447"/>
    <cellStyle name="常规 19 3 2 2 5 10" xfId="10972"/>
    <cellStyle name="常规 19 3 2 2 5 10 2" xfId="10973"/>
    <cellStyle name="常规 19 3 2 2 5 10 3" xfId="10979"/>
    <cellStyle name="常规 19 3 2 2 5 10 4" xfId="189"/>
    <cellStyle name="常规 19 3 2 2 5 10 5" xfId="1211"/>
    <cellStyle name="常规 19 3 2 2 5 10 6" xfId="19285"/>
    <cellStyle name="常规 19 3 2 2 5 10 7" xfId="2760"/>
    <cellStyle name="常规 19 3 2 2 5 11" xfId="7761"/>
    <cellStyle name="常规 19 3 2 2 5 12" xfId="7784"/>
    <cellStyle name="常规 19 3 2 2 5 13" xfId="11021"/>
    <cellStyle name="常规 19 3 2 2 5 14" xfId="11037"/>
    <cellStyle name="常规 19 3 2 2 5 15" xfId="11038"/>
    <cellStyle name="常规 19 3 2 2 5 16" xfId="19286"/>
    <cellStyle name="常规 19 3 2 2 5 17" xfId="19288"/>
    <cellStyle name="常规 19 3 2 2 5 2" xfId="18556"/>
    <cellStyle name="常规 19 3 2 2 5 2 2" xfId="19290"/>
    <cellStyle name="常规 19 3 2 2 5 2 3" xfId="19292"/>
    <cellStyle name="常规 19 3 2 2 5 2 4" xfId="19295"/>
    <cellStyle name="常规 19 3 2 2 5 2 5" xfId="4310"/>
    <cellStyle name="常规 19 3 2 2 5 2 6" xfId="68"/>
    <cellStyle name="常规 19 3 2 2 5 2 7" xfId="1124"/>
    <cellStyle name="常规 19 3 2 2 5 2 8" xfId="2689"/>
    <cellStyle name="常规 19 3 2 2 5 3" xfId="18558"/>
    <cellStyle name="常规 19 3 2 2 5 3 2" xfId="19296"/>
    <cellStyle name="常规 19 3 2 2 5 3 3" xfId="19297"/>
    <cellStyle name="常规 19 3 2 2 5 3 4" xfId="19299"/>
    <cellStyle name="常规 19 3 2 2 5 3 5" xfId="2422"/>
    <cellStyle name="常规 19 3 2 2 5 3 6" xfId="1134"/>
    <cellStyle name="常规 19 3 2 2 5 3 7" xfId="1149"/>
    <cellStyle name="常规 19 3 2 2 5 3 8" xfId="2377"/>
    <cellStyle name="常规 19 3 2 2 5 4" xfId="18560"/>
    <cellStyle name="常规 19 3 2 2 5 4 2" xfId="19300"/>
    <cellStyle name="常规 19 3 2 2 5 4 3" xfId="19301"/>
    <cellStyle name="常规 19 3 2 2 5 4 4" xfId="19303"/>
    <cellStyle name="常规 19 3 2 2 5 4 5" xfId="2539"/>
    <cellStyle name="常规 19 3 2 2 5 4 6" xfId="122"/>
    <cellStyle name="常规 19 3 2 2 5 4 7" xfId="3009"/>
    <cellStyle name="常规 19 3 2 2 5 4 8" xfId="19305"/>
    <cellStyle name="常规 19 3 2 2 5 5" xfId="18562"/>
    <cellStyle name="常规 19 3 2 2 5 5 2" xfId="19308"/>
    <cellStyle name="常规 19 3 2 2 5 5 3" xfId="19310"/>
    <cellStyle name="常规 19 3 2 2 5 5 4" xfId="19312"/>
    <cellStyle name="常规 19 3 2 2 5 5 5" xfId="2609"/>
    <cellStyle name="常规 19 3 2 2 5 5 6" xfId="2919"/>
    <cellStyle name="常规 19 3 2 2 5 5 7" xfId="2927"/>
    <cellStyle name="常规 19 3 2 2 5 5 8" xfId="11963"/>
    <cellStyle name="常规 19 3 2 2 5 6" xfId="18564"/>
    <cellStyle name="常规 19 3 2 2 5 6 2" xfId="19314"/>
    <cellStyle name="常规 19 3 2 2 5 6 3" xfId="19316"/>
    <cellStyle name="常规 19 3 2 2 5 6 4" xfId="19317"/>
    <cellStyle name="常规 19 3 2 2 5 6 5" xfId="3363"/>
    <cellStyle name="常规 19 3 2 2 5 6 6" xfId="3386"/>
    <cellStyle name="常规 19 3 2 2 5 6 7" xfId="11970"/>
    <cellStyle name="常规 19 3 2 2 5 6 8" xfId="19318"/>
    <cellStyle name="常规 19 3 2 2 5 7" xfId="18567"/>
    <cellStyle name="常规 19 3 2 2 5 7 2" xfId="19322"/>
    <cellStyle name="常规 19 3 2 2 5 7 3" xfId="19325"/>
    <cellStyle name="常规 19 3 2 2 5 7 4" xfId="19327"/>
    <cellStyle name="常规 19 3 2 2 5 7 5" xfId="3410"/>
    <cellStyle name="常规 19 3 2 2 5 7 6" xfId="11973"/>
    <cellStyle name="常规 19 3 2 2 5 7 7" xfId="19328"/>
    <cellStyle name="常规 19 3 2 2 5 7 8" xfId="19329"/>
    <cellStyle name="常规 19 3 2 2 5 8" xfId="19332"/>
    <cellStyle name="常规 19 3 2 2 5 8 2" xfId="19334"/>
    <cellStyle name="常规 19 3 2 2 5 8 3" xfId="19336"/>
    <cellStyle name="常规 19 3 2 2 5 8 4" xfId="19337"/>
    <cellStyle name="常规 19 3 2 2 5 8 5" xfId="11976"/>
    <cellStyle name="常规 19 3 2 2 5 8 6" xfId="11978"/>
    <cellStyle name="常规 19 3 2 2 5 8 7" xfId="19338"/>
    <cellStyle name="常规 19 3 2 2 5 8 8" xfId="19339"/>
    <cellStyle name="常规 19 3 2 2 5 9" xfId="19341"/>
    <cellStyle name="常规 19 3 2 2 5 9 2" xfId="12176"/>
    <cellStyle name="常规 19 3 2 2 5 9 3" xfId="19343"/>
    <cellStyle name="常规 19 3 2 2 5 9 4" xfId="19345"/>
    <cellStyle name="常规 19 3 2 2 5 9 5" xfId="19347"/>
    <cellStyle name="常规 19 3 2 2 5 9 6" xfId="19348"/>
    <cellStyle name="常规 19 3 2 2 5 9 7" xfId="19349"/>
    <cellStyle name="常规 19 3 2 2 5 9 8" xfId="19350"/>
    <cellStyle name="常规 19 3 2 2 6" xfId="15449"/>
    <cellStyle name="常规 19 3 2 2 6 2" xfId="18573"/>
    <cellStyle name="常规 19 3 2 2 6 3" xfId="18575"/>
    <cellStyle name="常规 19 3 2 2 6 4" xfId="18577"/>
    <cellStyle name="常规 19 3 2 2 6 5" xfId="18579"/>
    <cellStyle name="常规 19 3 2 2 6 6" xfId="18581"/>
    <cellStyle name="常规 19 3 2 2 6 7" xfId="18584"/>
    <cellStyle name="常规 19 3 2 2 6 8" xfId="19352"/>
    <cellStyle name="常规 19 3 2 2 7" xfId="15451"/>
    <cellStyle name="常规 19 3 2 2 7 2" xfId="11859"/>
    <cellStyle name="常规 19 3 2 2 7 3" xfId="11863"/>
    <cellStyle name="常规 19 3 2 2 7 4" xfId="18588"/>
    <cellStyle name="常规 19 3 2 2 7 5" xfId="18590"/>
    <cellStyle name="常规 19 3 2 2 7 6" xfId="18593"/>
    <cellStyle name="常规 19 3 2 2 7 7" xfId="19355"/>
    <cellStyle name="常规 19 3 2 2 7 8" xfId="19357"/>
    <cellStyle name="常规 19 3 2 2 8" xfId="1238"/>
    <cellStyle name="常规 19 3 2 2 8 2" xfId="16566"/>
    <cellStyle name="常规 19 3 2 2 8 3" xfId="16568"/>
    <cellStyle name="常规 19 3 2 2 8 4" xfId="16570"/>
    <cellStyle name="常规 19 3 2 2 8 5" xfId="19358"/>
    <cellStyle name="常规 19 3 2 2 8 6" xfId="19359"/>
    <cellStyle name="常规 19 3 2 2 8 7" xfId="19361"/>
    <cellStyle name="常规 19 3 2 2 8 8" xfId="19363"/>
    <cellStyle name="常规 19 3 2 2 9" xfId="2771"/>
    <cellStyle name="常规 19 3 2 2 9 2" xfId="11918"/>
    <cellStyle name="常规 19 3 2 2 9 3" xfId="19364"/>
    <cellStyle name="常规 19 3 2 2 9 4" xfId="19365"/>
    <cellStyle name="常规 19 3 2 2 9 5" xfId="19366"/>
    <cellStyle name="常规 19 3 2 2 9 6" xfId="19367"/>
    <cellStyle name="常规 19 3 2 2 9 7" xfId="17982"/>
    <cellStyle name="常规 19 3 2 2 9 8" xfId="17986"/>
    <cellStyle name="常规 19 3 2 20" xfId="18491"/>
    <cellStyle name="常规 19 3 2 21" xfId="18502"/>
    <cellStyle name="常规 19 3 2 22" xfId="18509"/>
    <cellStyle name="常规 19 3 2 23" xfId="18515"/>
    <cellStyle name="常规 19 3 2 3" xfId="19369"/>
    <cellStyle name="常规 19 3 2 3 10" xfId="19371"/>
    <cellStyle name="常规 19 3 2 3 10 2" xfId="17280"/>
    <cellStyle name="常规 19 3 2 3 10 3" xfId="17283"/>
    <cellStyle name="常规 19 3 2 3 10 4" xfId="17286"/>
    <cellStyle name="常规 19 3 2 3 10 5" xfId="7498"/>
    <cellStyle name="常规 19 3 2 3 10 6" xfId="7506"/>
    <cellStyle name="常规 19 3 2 3 10 7" xfId="17290"/>
    <cellStyle name="常规 19 3 2 3 10 8" xfId="19374"/>
    <cellStyle name="常规 19 3 2 3 11" xfId="9461"/>
    <cellStyle name="常规 19 3 2 3 11 2" xfId="19375"/>
    <cellStyle name="常规 19 3 2 3 11 3" xfId="19376"/>
    <cellStyle name="常规 19 3 2 3 11 4" xfId="19378"/>
    <cellStyle name="常规 19 3 2 3 11 5" xfId="19379"/>
    <cellStyle name="常规 19 3 2 3 11 6" xfId="19381"/>
    <cellStyle name="常规 19 3 2 3 11 7" xfId="19383"/>
    <cellStyle name="常规 19 3 2 3 11 8" xfId="19385"/>
    <cellStyle name="常规 19 3 2 3 12" xfId="9463"/>
    <cellStyle name="常规 19 3 2 3 12 2" xfId="19386"/>
    <cellStyle name="常规 19 3 2 3 12 3" xfId="19387"/>
    <cellStyle name="常规 19 3 2 3 12 4" xfId="19388"/>
    <cellStyle name="常规 19 3 2 3 12 5" xfId="19389"/>
    <cellStyle name="常规 19 3 2 3 12 6" xfId="19391"/>
    <cellStyle name="常规 19 3 2 3 12 7" xfId="19393"/>
    <cellStyle name="常规 19 3 2 3 12 8" xfId="19395"/>
    <cellStyle name="常规 19 3 2 3 13" xfId="17686"/>
    <cellStyle name="常规 19 3 2 3 13 2" xfId="19396"/>
    <cellStyle name="常规 19 3 2 3 13 3" xfId="19397"/>
    <cellStyle name="常规 19 3 2 3 13 4" xfId="19398"/>
    <cellStyle name="常规 19 3 2 3 13 5" xfId="19399"/>
    <cellStyle name="常规 19 3 2 3 13 6" xfId="19401"/>
    <cellStyle name="常规 19 3 2 3 13 7" xfId="19403"/>
    <cellStyle name="常规 19 3 2 3 14" xfId="17690"/>
    <cellStyle name="常规 19 3 2 3 15" xfId="17694"/>
    <cellStyle name="常规 19 3 2 3 16" xfId="17700"/>
    <cellStyle name="常规 19 3 2 3 17" xfId="17706"/>
    <cellStyle name="常规 19 3 2 3 18" xfId="8884"/>
    <cellStyle name="常规 19 3 2 3 19" xfId="8890"/>
    <cellStyle name="常规 19 3 2 3 2" xfId="19405"/>
    <cellStyle name="常规 19 3 2 3 2 10" xfId="10814"/>
    <cellStyle name="常规 19 3 2 3 2 10 2" xfId="18088"/>
    <cellStyle name="常规 19 3 2 3 2 10 3" xfId="18093"/>
    <cellStyle name="常规 19 3 2 3 2 10 4" xfId="19406"/>
    <cellStyle name="常规 19 3 2 3 2 10 5" xfId="7552"/>
    <cellStyle name="常规 19 3 2 3 2 10 6" xfId="7556"/>
    <cellStyle name="常规 19 3 2 3 2 10 7" xfId="19407"/>
    <cellStyle name="常规 19 3 2 3 2 10 8" xfId="19409"/>
    <cellStyle name="常规 19 3 2 3 2 11" xfId="19410"/>
    <cellStyle name="常规 19 3 2 3 2 11 2" xfId="18109"/>
    <cellStyle name="常规 19 3 2 3 2 11 3" xfId="18115"/>
    <cellStyle name="常规 19 3 2 3 2 11 4" xfId="19412"/>
    <cellStyle name="常规 19 3 2 3 2 11 5" xfId="8180"/>
    <cellStyle name="常规 19 3 2 3 2 11 6" xfId="8188"/>
    <cellStyle name="常规 19 3 2 3 2 11 7" xfId="19413"/>
    <cellStyle name="常规 19 3 2 3 2 11 8" xfId="19414"/>
    <cellStyle name="常规 19 3 2 3 2 12" xfId="19416"/>
    <cellStyle name="常规 19 3 2 3 2 12 2" xfId="18127"/>
    <cellStyle name="常规 19 3 2 3 2 12 3" xfId="19418"/>
    <cellStyle name="常规 19 3 2 3 2 12 4" xfId="19419"/>
    <cellStyle name="常规 19 3 2 3 2 12 5" xfId="8199"/>
    <cellStyle name="常规 19 3 2 3 2 12 6" xfId="8205"/>
    <cellStyle name="常规 19 3 2 3 2 12 7" xfId="19421"/>
    <cellStyle name="常规 19 3 2 3 2 13" xfId="19423"/>
    <cellStyle name="常规 19 3 2 3 2 14" xfId="8277"/>
    <cellStyle name="常规 19 3 2 3 2 15" xfId="1483"/>
    <cellStyle name="常规 19 3 2 3 2 16" xfId="19426"/>
    <cellStyle name="常规 19 3 2 3 2 17" xfId="19428"/>
    <cellStyle name="常规 19 3 2 3 2 18" xfId="19430"/>
    <cellStyle name="常规 19 3 2 3 2 19" xfId="19431"/>
    <cellStyle name="常规 19 3 2 3 2 2" xfId="4026"/>
    <cellStyle name="常规 19 3 2 3 2 2 10" xfId="18146"/>
    <cellStyle name="常规 19 3 2 3 2 2 10 2" xfId="5579"/>
    <cellStyle name="常规 19 3 2 3 2 2 10 3" xfId="15432"/>
    <cellStyle name="常规 19 3 2 3 2 2 10 4" xfId="9596"/>
    <cellStyle name="常规 19 3 2 3 2 2 10 5" xfId="9603"/>
    <cellStyle name="常规 19 3 2 3 2 2 10 6" xfId="15436"/>
    <cellStyle name="常规 19 3 2 3 2 2 10 7" xfId="15440"/>
    <cellStyle name="常规 19 3 2 3 2 2 11" xfId="18150"/>
    <cellStyle name="常规 19 3 2 3 2 2 12" xfId="18154"/>
    <cellStyle name="常规 19 3 2 3 2 2 13" xfId="19433"/>
    <cellStyle name="常规 19 3 2 3 2 2 14" xfId="19435"/>
    <cellStyle name="常规 19 3 2 3 2 2 15" xfId="19437"/>
    <cellStyle name="常规 19 3 2 3 2 2 16" xfId="19438"/>
    <cellStyle name="常规 19 3 2 3 2 2 17" xfId="19439"/>
    <cellStyle name="常规 19 3 2 3 2 2 2" xfId="4037"/>
    <cellStyle name="常规 19 3 2 3 2 2 2 2" xfId="4044"/>
    <cellStyle name="常规 19 3 2 3 2 2 2 3" xfId="4052"/>
    <cellStyle name="常规 19 3 2 3 2 2 2 4" xfId="4914"/>
    <cellStyle name="常规 19 3 2 3 2 2 2 5" xfId="4329"/>
    <cellStyle name="常规 19 3 2 3 2 2 2 6" xfId="4341"/>
    <cellStyle name="常规 19 3 2 3 2 2 2 7" xfId="5609"/>
    <cellStyle name="常规 19 3 2 3 2 2 2 8" xfId="13564"/>
    <cellStyle name="常规 19 3 2 3 2 2 3" xfId="1867"/>
    <cellStyle name="常规 19 3 2 3 2 2 3 2" xfId="13570"/>
    <cellStyle name="常规 19 3 2 3 2 2 3 3" xfId="13575"/>
    <cellStyle name="常规 19 3 2 3 2 2 3 4" xfId="13580"/>
    <cellStyle name="常规 19 3 2 3 2 2 3 5" xfId="13585"/>
    <cellStyle name="常规 19 3 2 3 2 2 3 6" xfId="13590"/>
    <cellStyle name="常规 19 3 2 3 2 2 3 7" xfId="13595"/>
    <cellStyle name="常规 19 3 2 3 2 2 3 8" xfId="13601"/>
    <cellStyle name="常规 19 3 2 3 2 2 4" xfId="13608"/>
    <cellStyle name="常规 19 3 2 3 2 2 4 2" xfId="13614"/>
    <cellStyle name="常规 19 3 2 3 2 2 4 3" xfId="13620"/>
    <cellStyle name="常规 19 3 2 3 2 2 4 4" xfId="13625"/>
    <cellStyle name="常规 19 3 2 3 2 2 4 5" xfId="13630"/>
    <cellStyle name="常规 19 3 2 3 2 2 4 6" xfId="13635"/>
    <cellStyle name="常规 19 3 2 3 2 2 4 7" xfId="13639"/>
    <cellStyle name="常规 19 3 2 3 2 2 4 8" xfId="13643"/>
    <cellStyle name="常规 19 3 2 3 2 2 5" xfId="13650"/>
    <cellStyle name="常规 19 3 2 3 2 2 5 2" xfId="13656"/>
    <cellStyle name="常规 19 3 2 3 2 2 5 3" xfId="13661"/>
    <cellStyle name="常规 19 3 2 3 2 2 5 4" xfId="9348"/>
    <cellStyle name="常规 19 3 2 3 2 2 5 5" xfId="9356"/>
    <cellStyle name="常规 19 3 2 3 2 2 5 6" xfId="13666"/>
    <cellStyle name="常规 19 3 2 3 2 2 5 7" xfId="13670"/>
    <cellStyle name="常规 19 3 2 3 2 2 5 8" xfId="11280"/>
    <cellStyle name="常规 19 3 2 3 2 2 6" xfId="13677"/>
    <cellStyle name="常规 19 3 2 3 2 2 6 2" xfId="13683"/>
    <cellStyle name="常规 19 3 2 3 2 2 6 3" xfId="13688"/>
    <cellStyle name="常规 19 3 2 3 2 2 6 4" xfId="13693"/>
    <cellStyle name="常规 19 3 2 3 2 2 6 5" xfId="13698"/>
    <cellStyle name="常规 19 3 2 3 2 2 6 6" xfId="13703"/>
    <cellStyle name="常规 19 3 2 3 2 2 6 7" xfId="11534"/>
    <cellStyle name="常规 19 3 2 3 2 2 6 8" xfId="11539"/>
    <cellStyle name="常规 19 3 2 3 2 2 7" xfId="13711"/>
    <cellStyle name="常规 19 3 2 3 2 2 7 2" xfId="13717"/>
    <cellStyle name="常规 19 3 2 3 2 2 7 3" xfId="5318"/>
    <cellStyle name="常规 19 3 2 3 2 2 7 4" xfId="5353"/>
    <cellStyle name="常规 19 3 2 3 2 2 7 5" xfId="5367"/>
    <cellStyle name="常规 19 3 2 3 2 2 7 6" xfId="6398"/>
    <cellStyle name="常规 19 3 2 3 2 2 7 7" xfId="7015"/>
    <cellStyle name="常规 19 3 2 3 2 2 7 8" xfId="7030"/>
    <cellStyle name="常规 19 3 2 3 2 2 8" xfId="14034"/>
    <cellStyle name="常规 19 3 2 3 2 2 8 2" xfId="18159"/>
    <cellStyle name="常规 19 3 2 3 2 2 8 3" xfId="18164"/>
    <cellStyle name="常规 19 3 2 3 2 2 8 4" xfId="18169"/>
    <cellStyle name="常规 19 3 2 3 2 2 8 5" xfId="18173"/>
    <cellStyle name="常规 19 3 2 3 2 2 8 6" xfId="18177"/>
    <cellStyle name="常规 19 3 2 3 2 2 8 7" xfId="18180"/>
    <cellStyle name="常规 19 3 2 3 2 2 8 8" xfId="18184"/>
    <cellStyle name="常规 19 3 2 3 2 2 9" xfId="14038"/>
    <cellStyle name="常规 19 3 2 3 2 2 9 2" xfId="19440"/>
    <cellStyle name="常规 19 3 2 3 2 2 9 3" xfId="19441"/>
    <cellStyle name="常规 19 3 2 3 2 2 9 4" xfId="19442"/>
    <cellStyle name="常规 19 3 2 3 2 2 9 5" xfId="19443"/>
    <cellStyle name="常规 19 3 2 3 2 2 9 6" xfId="19444"/>
    <cellStyle name="常规 19 3 2 3 2 2 9 7" xfId="19445"/>
    <cellStyle name="常规 19 3 2 3 2 2 9 8" xfId="19446"/>
    <cellStyle name="常规 19 3 2 3 2 3" xfId="355"/>
    <cellStyle name="常规 19 3 2 3 2 3 2" xfId="497"/>
    <cellStyle name="常规 19 3 2 3 2 3 3" xfId="3164"/>
    <cellStyle name="常规 19 3 2 3 2 3 4" xfId="4282"/>
    <cellStyle name="常规 19 3 2 3 2 3 5" xfId="4070"/>
    <cellStyle name="常规 19 3 2 3 2 3 6" xfId="4084"/>
    <cellStyle name="常规 19 3 2 3 2 3 7" xfId="2944"/>
    <cellStyle name="常规 19 3 2 3 2 3 8" xfId="14045"/>
    <cellStyle name="常规 19 3 2 3 2 4" xfId="3167"/>
    <cellStyle name="常规 19 3 2 3 2 4 2" xfId="13825"/>
    <cellStyle name="常规 19 3 2 3 2 4 3" xfId="13829"/>
    <cellStyle name="常规 19 3 2 3 2 4 4" xfId="13836"/>
    <cellStyle name="常规 19 3 2 3 2 4 5" xfId="13843"/>
    <cellStyle name="常规 19 3 2 3 2 4 6" xfId="8587"/>
    <cellStyle name="常规 19 3 2 3 2 4 7" xfId="8607"/>
    <cellStyle name="常规 19 3 2 3 2 4 8" xfId="8643"/>
    <cellStyle name="常规 19 3 2 3 2 5" xfId="519"/>
    <cellStyle name="常规 19 3 2 3 2 5 2" xfId="13851"/>
    <cellStyle name="常规 19 3 2 3 2 5 3" xfId="13856"/>
    <cellStyle name="常规 19 3 2 3 2 5 4" xfId="13864"/>
    <cellStyle name="常规 19 3 2 3 2 5 5" xfId="13871"/>
    <cellStyle name="常规 19 3 2 3 2 5 6" xfId="10395"/>
    <cellStyle name="常规 19 3 2 3 2 5 7" xfId="10402"/>
    <cellStyle name="常规 19 3 2 3 2 5 8" xfId="14059"/>
    <cellStyle name="常规 19 3 2 3 2 6" xfId="19448"/>
    <cellStyle name="常规 19 3 2 3 2 6 2" xfId="13882"/>
    <cellStyle name="常规 19 3 2 3 2 6 3" xfId="13888"/>
    <cellStyle name="常规 19 3 2 3 2 6 4" xfId="6946"/>
    <cellStyle name="常规 19 3 2 3 2 6 5" xfId="6955"/>
    <cellStyle name="常规 19 3 2 3 2 6 6" xfId="10411"/>
    <cellStyle name="常规 19 3 2 3 2 6 7" xfId="10418"/>
    <cellStyle name="常规 19 3 2 3 2 6 8" xfId="14071"/>
    <cellStyle name="常规 19 3 2 3 2 7" xfId="19450"/>
    <cellStyle name="常规 19 3 2 3 2 7 2" xfId="13900"/>
    <cellStyle name="常规 19 3 2 3 2 7 3" xfId="13906"/>
    <cellStyle name="常规 19 3 2 3 2 7 4" xfId="13913"/>
    <cellStyle name="常规 19 3 2 3 2 7 5" xfId="13920"/>
    <cellStyle name="常规 19 3 2 3 2 7 6" xfId="13387"/>
    <cellStyle name="常规 19 3 2 3 2 7 7" xfId="13400"/>
    <cellStyle name="常规 19 3 2 3 2 7 8" xfId="938"/>
    <cellStyle name="常规 19 3 2 3 2 8" xfId="19453"/>
    <cellStyle name="常规 19 3 2 3 2 8 2" xfId="13931"/>
    <cellStyle name="常规 19 3 2 3 2 8 3" xfId="13936"/>
    <cellStyle name="常规 19 3 2 3 2 8 4" xfId="13943"/>
    <cellStyle name="常规 19 3 2 3 2 8 5" xfId="5975"/>
    <cellStyle name="常规 19 3 2 3 2 8 6" xfId="5987"/>
    <cellStyle name="常规 19 3 2 3 2 8 7" xfId="6506"/>
    <cellStyle name="常规 19 3 2 3 2 8 8" xfId="1109"/>
    <cellStyle name="常规 19 3 2 3 2 9" xfId="19456"/>
    <cellStyle name="常规 19 3 2 3 2 9 2" xfId="13953"/>
    <cellStyle name="常规 19 3 2 3 2 9 3" xfId="13957"/>
    <cellStyle name="常规 19 3 2 3 2 9 4" xfId="13963"/>
    <cellStyle name="常规 19 3 2 3 2 9 5" xfId="5996"/>
    <cellStyle name="常规 19 3 2 3 2 9 6" xfId="6003"/>
    <cellStyle name="常规 19 3 2 3 2 9 7" xfId="18202"/>
    <cellStyle name="常规 19 3 2 3 2 9 8" xfId="18279"/>
    <cellStyle name="常规 19 3 2 3 20" xfId="17695"/>
    <cellStyle name="常规 19 3 2 3 3" xfId="19458"/>
    <cellStyle name="常规 19 3 2 3 3 10" xfId="19459"/>
    <cellStyle name="常规 19 3 2 3 3 10 2" xfId="18212"/>
    <cellStyle name="常规 19 3 2 3 3 10 3" xfId="18217"/>
    <cellStyle name="常规 19 3 2 3 3 10 4" xfId="19462"/>
    <cellStyle name="常规 19 3 2 3 3 10 5" xfId="19465"/>
    <cellStyle name="常规 19 3 2 3 3 10 6" xfId="19468"/>
    <cellStyle name="常规 19 3 2 3 3 10 7" xfId="19472"/>
    <cellStyle name="常规 19 3 2 3 3 11" xfId="19474"/>
    <cellStyle name="常规 19 3 2 3 3 12" xfId="19477"/>
    <cellStyle name="常规 19 3 2 3 3 13" xfId="19479"/>
    <cellStyle name="常规 19 3 2 3 3 14" xfId="19481"/>
    <cellStyle name="常规 19 3 2 3 3 15" xfId="19484"/>
    <cellStyle name="常规 19 3 2 3 3 16" xfId="19487"/>
    <cellStyle name="常规 19 3 2 3 3 17" xfId="9305"/>
    <cellStyle name="常规 19 3 2 3 3 2" xfId="4265"/>
    <cellStyle name="常规 19 3 2 3 3 2 2" xfId="4272"/>
    <cellStyle name="常规 19 3 2 3 3 2 3" xfId="4289"/>
    <cellStyle name="常规 19 3 2 3 3 2 4" xfId="13003"/>
    <cellStyle name="常规 19 3 2 3 3 2 5" xfId="6654"/>
    <cellStyle name="常规 19 3 2 3 3 2 6" xfId="6666"/>
    <cellStyle name="常规 19 3 2 3 3 2 7" xfId="14075"/>
    <cellStyle name="常规 19 3 2 3 3 2 8" xfId="18276"/>
    <cellStyle name="常规 19 3 2 3 3 3" xfId="586"/>
    <cellStyle name="常规 19 3 2 3 3 3 2" xfId="4297"/>
    <cellStyle name="常规 19 3 2 3 3 3 3" xfId="2953"/>
    <cellStyle name="常规 19 3 2 3 3 3 4" xfId="14086"/>
    <cellStyle name="常规 19 3 2 3 3 3 5" xfId="6960"/>
    <cellStyle name="常规 19 3 2 3 3 3 6" xfId="6966"/>
    <cellStyle name="常规 19 3 2 3 3 3 7" xfId="18286"/>
    <cellStyle name="常规 19 3 2 3 3 3 8" xfId="19488"/>
    <cellStyle name="常规 19 3 2 3 3 4" xfId="1592"/>
    <cellStyle name="常规 19 3 2 3 3 4 2" xfId="14098"/>
    <cellStyle name="常规 19 3 2 3 3 4 3" xfId="14103"/>
    <cellStyle name="常规 19 3 2 3 3 4 4" xfId="14108"/>
    <cellStyle name="常规 19 3 2 3 3 4 5" xfId="7340"/>
    <cellStyle name="常规 19 3 2 3 3 4 6" xfId="7346"/>
    <cellStyle name="常规 19 3 2 3 3 4 7" xfId="18295"/>
    <cellStyle name="常规 19 3 2 3 3 4 8" xfId="19489"/>
    <cellStyle name="常规 19 3 2 3 3 5" xfId="19012"/>
    <cellStyle name="常规 19 3 2 3 3 5 2" xfId="14121"/>
    <cellStyle name="常规 19 3 2 3 3 5 3" xfId="14128"/>
    <cellStyle name="常规 19 3 2 3 3 5 4" xfId="14134"/>
    <cellStyle name="常规 19 3 2 3 3 5 5" xfId="14140"/>
    <cellStyle name="常规 19 3 2 3 3 5 6" xfId="10427"/>
    <cellStyle name="常规 19 3 2 3 3 5 7" xfId="18305"/>
    <cellStyle name="常规 19 3 2 3 3 5 8" xfId="19491"/>
    <cellStyle name="常规 19 3 2 3 3 6" xfId="19015"/>
    <cellStyle name="常规 19 3 2 3 3 6 2" xfId="14150"/>
    <cellStyle name="常规 19 3 2 3 3 6 3" xfId="14156"/>
    <cellStyle name="常规 19 3 2 3 3 6 4" xfId="14161"/>
    <cellStyle name="常规 19 3 2 3 3 6 5" xfId="14166"/>
    <cellStyle name="常规 19 3 2 3 3 6 6" xfId="14171"/>
    <cellStyle name="常规 19 3 2 3 3 6 7" xfId="18314"/>
    <cellStyle name="常规 19 3 2 3 3 6 8" xfId="19493"/>
    <cellStyle name="常规 19 3 2 3 3 7" xfId="19018"/>
    <cellStyle name="常规 19 3 2 3 3 7 2" xfId="14181"/>
    <cellStyle name="常规 19 3 2 3 3 7 3" xfId="14187"/>
    <cellStyle name="常规 19 3 2 3 3 7 4" xfId="14191"/>
    <cellStyle name="常规 19 3 2 3 3 7 5" xfId="14195"/>
    <cellStyle name="常规 19 3 2 3 3 7 6" xfId="14199"/>
    <cellStyle name="常规 19 3 2 3 3 7 7" xfId="18321"/>
    <cellStyle name="常规 19 3 2 3 3 7 8" xfId="19495"/>
    <cellStyle name="常规 19 3 2 3 3 8" xfId="19021"/>
    <cellStyle name="常规 19 3 2 3 3 8 2" xfId="14206"/>
    <cellStyle name="常规 19 3 2 3 3 8 3" xfId="14212"/>
    <cellStyle name="常规 19 3 2 3 3 8 4" xfId="14217"/>
    <cellStyle name="常规 19 3 2 3 3 8 5" xfId="3541"/>
    <cellStyle name="常规 19 3 2 3 3 8 6" xfId="3557"/>
    <cellStyle name="常规 19 3 2 3 3 8 7" xfId="18329"/>
    <cellStyle name="常规 19 3 2 3 3 8 8" xfId="19496"/>
    <cellStyle name="常规 19 3 2 3 3 9" xfId="19024"/>
    <cellStyle name="常规 19 3 2 3 3 9 2" xfId="14232"/>
    <cellStyle name="常规 19 3 2 3 3 9 3" xfId="14239"/>
    <cellStyle name="常规 19 3 2 3 3 9 4" xfId="14245"/>
    <cellStyle name="常规 19 3 2 3 3 9 5" xfId="4637"/>
    <cellStyle name="常规 19 3 2 3 3 9 6" xfId="4611"/>
    <cellStyle name="常规 19 3 2 3 3 9 7" xfId="11750"/>
    <cellStyle name="常规 19 3 2 3 3 9 8" xfId="19498"/>
    <cellStyle name="常规 19 3 2 3 4" xfId="19500"/>
    <cellStyle name="常规 19 3 2 3 4 2" xfId="2690"/>
    <cellStyle name="常规 19 3 2 3 4 3" xfId="2729"/>
    <cellStyle name="常规 19 3 2 3 4 4" xfId="3731"/>
    <cellStyle name="常规 19 3 2 3 4 5" xfId="19031"/>
    <cellStyle name="常规 19 3 2 3 4 6" xfId="19034"/>
    <cellStyle name="常规 19 3 2 3 4 7" xfId="19037"/>
    <cellStyle name="常规 19 3 2 3 4 8" xfId="19041"/>
    <cellStyle name="常规 19 3 2 3 5" xfId="15458"/>
    <cellStyle name="常规 19 3 2 3 5 2" xfId="2378"/>
    <cellStyle name="常规 19 3 2 3 5 3" xfId="19502"/>
    <cellStyle name="常规 19 3 2 3 5 4" xfId="19504"/>
    <cellStyle name="常规 19 3 2 3 5 5" xfId="19046"/>
    <cellStyle name="常规 19 3 2 3 5 6" xfId="19050"/>
    <cellStyle name="常规 19 3 2 3 5 7" xfId="19054"/>
    <cellStyle name="常规 19 3 2 3 5 8" xfId="19057"/>
    <cellStyle name="常规 19 3 2 3 6" xfId="15463"/>
    <cellStyle name="常规 19 3 2 3 6 2" xfId="19306"/>
    <cellStyle name="常规 19 3 2 3 6 3" xfId="19506"/>
    <cellStyle name="常规 19 3 2 3 6 4" xfId="19507"/>
    <cellStyle name="常规 19 3 2 3 6 5" xfId="19064"/>
    <cellStyle name="常规 19 3 2 3 6 6" xfId="19067"/>
    <cellStyle name="常规 19 3 2 3 6 7" xfId="19071"/>
    <cellStyle name="常规 19 3 2 3 6 8" xfId="8309"/>
    <cellStyle name="常规 19 3 2 3 7" xfId="15468"/>
    <cellStyle name="常规 19 3 2 3 7 2" xfId="11964"/>
    <cellStyle name="常规 19 3 2 3 7 3" xfId="19509"/>
    <cellStyle name="常规 19 3 2 3 7 4" xfId="19510"/>
    <cellStyle name="常规 19 3 2 3 7 5" xfId="19073"/>
    <cellStyle name="常规 19 3 2 3 7 6" xfId="19075"/>
    <cellStyle name="常规 19 3 2 3 7 7" xfId="19078"/>
    <cellStyle name="常规 19 3 2 3 7 8" xfId="8344"/>
    <cellStyle name="常规 19 3 2 3 8" xfId="15471"/>
    <cellStyle name="常规 19 3 2 3 8 2" xfId="19319"/>
    <cellStyle name="常规 19 3 2 3 8 3" xfId="19511"/>
    <cellStyle name="常规 19 3 2 3 8 4" xfId="19512"/>
    <cellStyle name="常规 19 3 2 3 8 5" xfId="19080"/>
    <cellStyle name="常规 19 3 2 3 8 6" xfId="19083"/>
    <cellStyle name="常规 19 3 2 3 8 7" xfId="19087"/>
    <cellStyle name="常规 19 3 2 3 8 8" xfId="8352"/>
    <cellStyle name="常规 19 3 2 3 9" xfId="15474"/>
    <cellStyle name="常规 19 3 2 3 9 2" xfId="19330"/>
    <cellStyle name="常规 19 3 2 3 9 3" xfId="19513"/>
    <cellStyle name="常规 19 3 2 3 9 4" xfId="19514"/>
    <cellStyle name="常规 19 3 2 3 9 5" xfId="19089"/>
    <cellStyle name="常规 19 3 2 3 9 6" xfId="19091"/>
    <cellStyle name="常规 19 3 2 3 9 7" xfId="19094"/>
    <cellStyle name="常规 19 3 2 3 9 8" xfId="19097"/>
    <cellStyle name="常规 19 3 2 4" xfId="19516"/>
    <cellStyle name="常规 19 3 2 4 10" xfId="19518"/>
    <cellStyle name="常规 19 3 2 4 10 2" xfId="7973"/>
    <cellStyle name="常规 19 3 2 4 10 3" xfId="19520"/>
    <cellStyle name="常规 19 3 2 4 10 4" xfId="19521"/>
    <cellStyle name="常规 19 3 2 4 10 5" xfId="19522"/>
    <cellStyle name="常规 19 3 2 4 10 6" xfId="19523"/>
    <cellStyle name="常规 19 3 2 4 10 7" xfId="19524"/>
    <cellStyle name="常规 19 3 2 4 10 8" xfId="19525"/>
    <cellStyle name="常规 19 3 2 4 11" xfId="19528"/>
    <cellStyle name="常规 19 3 2 4 11 2" xfId="7897"/>
    <cellStyle name="常规 19 3 2 4 11 3" xfId="19529"/>
    <cellStyle name="常规 19 3 2 4 11 4" xfId="19530"/>
    <cellStyle name="常规 19 3 2 4 11 5" xfId="19531"/>
    <cellStyle name="常规 19 3 2 4 11 6" xfId="19532"/>
    <cellStyle name="常规 19 3 2 4 11 7" xfId="19533"/>
    <cellStyle name="常规 19 3 2 4 11 8" xfId="19534"/>
    <cellStyle name="常规 19 3 2 4 12" xfId="19537"/>
    <cellStyle name="常规 19 3 2 4 12 2" xfId="11819"/>
    <cellStyle name="常规 19 3 2 4 12 3" xfId="11826"/>
    <cellStyle name="常规 19 3 2 4 12 4" xfId="19539"/>
    <cellStyle name="常规 19 3 2 4 12 5" xfId="19541"/>
    <cellStyle name="常规 19 3 2 4 12 6" xfId="19543"/>
    <cellStyle name="常规 19 3 2 4 12 7" xfId="19545"/>
    <cellStyle name="常规 19 3 2 4 13" xfId="19547"/>
    <cellStyle name="常规 19 3 2 4 14" xfId="19549"/>
    <cellStyle name="常规 19 3 2 4 15" xfId="19552"/>
    <cellStyle name="常规 19 3 2 4 16" xfId="10841"/>
    <cellStyle name="常规 19 3 2 4 17" xfId="10844"/>
    <cellStyle name="常规 19 3 2 4 18" xfId="5057"/>
    <cellStyle name="常规 19 3 2 4 19" xfId="19553"/>
    <cellStyle name="常规 19 3 2 4 2" xfId="19555"/>
    <cellStyle name="常规 19 3 2 4 2 10" xfId="19557"/>
    <cellStyle name="常规 19 3 2 4 2 10 2" xfId="19561"/>
    <cellStyle name="常规 19 3 2 4 2 10 3" xfId="19564"/>
    <cellStyle name="常规 19 3 2 4 2 10 4" xfId="19566"/>
    <cellStyle name="常规 19 3 2 4 2 10 5" xfId="14671"/>
    <cellStyle name="常规 19 3 2 4 2 10 6" xfId="8725"/>
    <cellStyle name="常规 19 3 2 4 2 10 7" xfId="8730"/>
    <cellStyle name="常规 19 3 2 4 2 11" xfId="19567"/>
    <cellStyle name="常规 19 3 2 4 2 12" xfId="19568"/>
    <cellStyle name="常规 19 3 2 4 2 13" xfId="19569"/>
    <cellStyle name="常规 19 3 2 4 2 14" xfId="19570"/>
    <cellStyle name="常规 19 3 2 4 2 15" xfId="19571"/>
    <cellStyle name="常规 19 3 2 4 2 16" xfId="19572"/>
    <cellStyle name="常规 19 3 2 4 2 17" xfId="19573"/>
    <cellStyle name="常规 19 3 2 4 2 2" xfId="8912"/>
    <cellStyle name="常规 19 3 2 4 2 2 2" xfId="14757"/>
    <cellStyle name="常规 19 3 2 4 2 2 3" xfId="14771"/>
    <cellStyle name="常规 19 3 2 4 2 2 4" xfId="14294"/>
    <cellStyle name="常规 19 3 2 4 2 2 5" xfId="14301"/>
    <cellStyle name="常规 19 3 2 4 2 2 6" xfId="14308"/>
    <cellStyle name="常规 19 3 2 4 2 2 7" xfId="14314"/>
    <cellStyle name="常规 19 3 2 4 2 2 8" xfId="14318"/>
    <cellStyle name="常规 19 3 2 4 2 3" xfId="3445"/>
    <cellStyle name="常规 19 3 2 4 2 3 2" xfId="1789"/>
    <cellStyle name="常规 19 3 2 4 2 3 3" xfId="1840"/>
    <cellStyle name="常规 19 3 2 4 2 3 4" xfId="1892"/>
    <cellStyle name="常规 19 3 2 4 2 3 5" xfId="1933"/>
    <cellStyle name="常规 19 3 2 4 2 3 6" xfId="14331"/>
    <cellStyle name="常规 19 3 2 4 2 3 7" xfId="14337"/>
    <cellStyle name="常规 19 3 2 4 2 3 8" xfId="14340"/>
    <cellStyle name="常规 19 3 2 4 2 4" xfId="3452"/>
    <cellStyle name="常规 19 3 2 4 2 4 2" xfId="14876"/>
    <cellStyle name="常规 19 3 2 4 2 4 3" xfId="14881"/>
    <cellStyle name="常规 19 3 2 4 2 4 4" xfId="14352"/>
    <cellStyle name="常规 19 3 2 4 2 4 5" xfId="14359"/>
    <cellStyle name="常规 19 3 2 4 2 4 6" xfId="10525"/>
    <cellStyle name="常规 19 3 2 4 2 4 7" xfId="10540"/>
    <cellStyle name="常规 19 3 2 4 2 4 8" xfId="14361"/>
    <cellStyle name="常规 19 3 2 4 2 5" xfId="16727"/>
    <cellStyle name="常规 19 3 2 4 2 5 2" xfId="14890"/>
    <cellStyle name="常规 19 3 2 4 2 5 3" xfId="14895"/>
    <cellStyle name="常规 19 3 2 4 2 5 4" xfId="14374"/>
    <cellStyle name="常规 19 3 2 4 2 5 5" xfId="14379"/>
    <cellStyle name="常规 19 3 2 4 2 5 6" xfId="10554"/>
    <cellStyle name="常规 19 3 2 4 2 5 7" xfId="10563"/>
    <cellStyle name="常规 19 3 2 4 2 5 8" xfId="14381"/>
    <cellStyle name="常规 19 3 2 4 2 6" xfId="5679"/>
    <cellStyle name="常规 19 3 2 4 2 6 2" xfId="6821"/>
    <cellStyle name="常规 19 3 2 4 2 6 3" xfId="6828"/>
    <cellStyle name="常规 19 3 2 4 2 6 4" xfId="14388"/>
    <cellStyle name="常规 19 3 2 4 2 6 5" xfId="14394"/>
    <cellStyle name="常规 19 3 2 4 2 6 6" xfId="14402"/>
    <cellStyle name="常规 19 3 2 4 2 6 7" xfId="14407"/>
    <cellStyle name="常规 19 3 2 4 2 6 8" xfId="14409"/>
    <cellStyle name="常规 19 3 2 4 2 7" xfId="4365"/>
    <cellStyle name="常规 19 3 2 4 2 7 2" xfId="14913"/>
    <cellStyle name="常规 19 3 2 4 2 7 3" xfId="14920"/>
    <cellStyle name="常规 19 3 2 4 2 7 4" xfId="14417"/>
    <cellStyle name="常规 19 3 2 4 2 7 5" xfId="14423"/>
    <cellStyle name="常规 19 3 2 4 2 7 6" xfId="14430"/>
    <cellStyle name="常规 19 3 2 4 2 7 7" xfId="14435"/>
    <cellStyle name="常规 19 3 2 4 2 7 8" xfId="14437"/>
    <cellStyle name="常规 19 3 2 4 2 8" xfId="4375"/>
    <cellStyle name="常规 19 3 2 4 2 8 2" xfId="7087"/>
    <cellStyle name="常规 19 3 2 4 2 8 3" xfId="7110"/>
    <cellStyle name="常规 19 3 2 4 2 8 4" xfId="1359"/>
    <cellStyle name="常规 19 3 2 4 2 8 5" xfId="1369"/>
    <cellStyle name="常规 19 3 2 4 2 8 6" xfId="6046"/>
    <cellStyle name="常规 19 3 2 4 2 8 7" xfId="261"/>
    <cellStyle name="常规 19 3 2 4 2 8 8" xfId="7933"/>
    <cellStyle name="常规 19 3 2 4 2 9" xfId="7140"/>
    <cellStyle name="常规 19 3 2 4 2 9 2" xfId="2557"/>
    <cellStyle name="常规 19 3 2 4 2 9 3" xfId="7152"/>
    <cellStyle name="常规 19 3 2 4 2 9 4" xfId="1201"/>
    <cellStyle name="常规 19 3 2 4 2 9 5" xfId="2824"/>
    <cellStyle name="常规 19 3 2 4 2 9 6" xfId="6058"/>
    <cellStyle name="常规 19 3 2 4 2 9 7" xfId="19577"/>
    <cellStyle name="常规 19 3 2 4 2 9 8" xfId="19579"/>
    <cellStyle name="常规 19 3 2 4 3" xfId="19581"/>
    <cellStyle name="常规 19 3 2 4 3 2" xfId="9114"/>
    <cellStyle name="常规 19 3 2 4 3 3" xfId="3462"/>
    <cellStyle name="常规 19 3 2 4 3 4" xfId="3470"/>
    <cellStyle name="常规 19 3 2 4 3 5" xfId="19582"/>
    <cellStyle name="常规 19 3 2 4 3 6" xfId="5734"/>
    <cellStyle name="常规 19 3 2 4 3 7" xfId="4230"/>
    <cellStyle name="常规 19 3 2 4 3 8" xfId="373"/>
    <cellStyle name="常规 19 3 2 4 4" xfId="19585"/>
    <cellStyle name="常规 19 3 2 4 4 2" xfId="19587"/>
    <cellStyle name="常规 19 3 2 4 4 3" xfId="19589"/>
    <cellStyle name="常规 19 3 2 4 4 4" xfId="19590"/>
    <cellStyle name="常规 19 3 2 4 4 5" xfId="19591"/>
    <cellStyle name="常规 19 3 2 4 4 6" xfId="7225"/>
    <cellStyle name="常规 19 3 2 4 4 7" xfId="7229"/>
    <cellStyle name="常规 19 3 2 4 4 8" xfId="7221"/>
    <cellStyle name="常规 19 3 2 4 5" xfId="19593"/>
    <cellStyle name="常规 19 3 2 4 5 2" xfId="19595"/>
    <cellStyle name="常规 19 3 2 4 5 3" xfId="18741"/>
    <cellStyle name="常规 19 3 2 4 5 4" xfId="18744"/>
    <cellStyle name="常规 19 3 2 4 5 5" xfId="18746"/>
    <cellStyle name="常规 19 3 2 4 5 6" xfId="7240"/>
    <cellStyle name="常规 19 3 2 4 5 7" xfId="7246"/>
    <cellStyle name="常规 19 3 2 4 5 8" xfId="18750"/>
    <cellStyle name="常规 19 3 2 4 6" xfId="19598"/>
    <cellStyle name="常规 19 3 2 4 6 2" xfId="19600"/>
    <cellStyle name="常规 19 3 2 4 6 3" xfId="18758"/>
    <cellStyle name="常规 19 3 2 4 6 4" xfId="18760"/>
    <cellStyle name="常规 19 3 2 4 6 5" xfId="18762"/>
    <cellStyle name="常规 19 3 2 4 6 6" xfId="7852"/>
    <cellStyle name="常规 19 3 2 4 6 7" xfId="7858"/>
    <cellStyle name="常规 19 3 2 4 6 8" xfId="7386"/>
    <cellStyle name="常规 19 3 2 4 7" xfId="19603"/>
    <cellStyle name="常规 19 3 2 4 7 2" xfId="12049"/>
    <cellStyle name="常规 19 3 2 4 7 3" xfId="18765"/>
    <cellStyle name="常规 19 3 2 4 7 4" xfId="17415"/>
    <cellStyle name="常规 19 3 2 4 7 5" xfId="17424"/>
    <cellStyle name="常规 19 3 2 4 7 6" xfId="17428"/>
    <cellStyle name="常规 19 3 2 4 7 7" xfId="17433"/>
    <cellStyle name="常规 19 3 2 4 7 8" xfId="2962"/>
    <cellStyle name="常规 19 3 2 4 8" xfId="19607"/>
    <cellStyle name="常规 19 3 2 4 8 2" xfId="19610"/>
    <cellStyle name="常规 19 3 2 4 8 3" xfId="18770"/>
    <cellStyle name="常规 19 3 2 4 8 4" xfId="18773"/>
    <cellStyle name="常规 19 3 2 4 8 5" xfId="18776"/>
    <cellStyle name="常规 19 3 2 4 8 6" xfId="18781"/>
    <cellStyle name="常规 19 3 2 4 8 7" xfId="18786"/>
    <cellStyle name="常规 19 3 2 4 8 8" xfId="3183"/>
    <cellStyle name="常规 19 3 2 4 9" xfId="19612"/>
    <cellStyle name="常规 19 3 2 4 9 2" xfId="19613"/>
    <cellStyle name="常规 19 3 2 4 9 3" xfId="18789"/>
    <cellStyle name="常规 19 3 2 4 9 4" xfId="18791"/>
    <cellStyle name="常规 19 3 2 4 9 5" xfId="18793"/>
    <cellStyle name="常规 19 3 2 4 9 6" xfId="18796"/>
    <cellStyle name="常规 19 3 2 4 9 7" xfId="18798"/>
    <cellStyle name="常规 19 3 2 4 9 8" xfId="3489"/>
    <cellStyle name="常规 19 3 2 5" xfId="19615"/>
    <cellStyle name="常规 19 3 2 5 10" xfId="19617"/>
    <cellStyle name="常规 19 3 2 5 10 2" xfId="2336"/>
    <cellStyle name="常规 19 3 2 5 10 3" xfId="19618"/>
    <cellStyle name="常规 19 3 2 5 10 4" xfId="19619"/>
    <cellStyle name="常规 19 3 2 5 10 5" xfId="19620"/>
    <cellStyle name="常规 19 3 2 5 10 6" xfId="19621"/>
    <cellStyle name="常规 19 3 2 5 10 7" xfId="19622"/>
    <cellStyle name="常规 19 3 2 5 10 8" xfId="19623"/>
    <cellStyle name="常规 19 3 2 5 11" xfId="3893"/>
    <cellStyle name="常规 19 3 2 5 11 2" xfId="19625"/>
    <cellStyle name="常规 19 3 2 5 11 3" xfId="19627"/>
    <cellStyle name="常规 19 3 2 5 11 4" xfId="19628"/>
    <cellStyle name="常规 19 3 2 5 11 5" xfId="19629"/>
    <cellStyle name="常规 19 3 2 5 11 6" xfId="19630"/>
    <cellStyle name="常规 19 3 2 5 11 7" xfId="19631"/>
    <cellStyle name="常规 19 3 2 5 11 8" xfId="12506"/>
    <cellStyle name="常规 19 3 2 5 12" xfId="3899"/>
    <cellStyle name="常规 19 3 2 5 12 2" xfId="7642"/>
    <cellStyle name="常规 19 3 2 5 12 3" xfId="7648"/>
    <cellStyle name="常规 19 3 2 5 12 4" xfId="8225"/>
    <cellStyle name="常规 19 3 2 5 12 5" xfId="8228"/>
    <cellStyle name="常规 19 3 2 5 12 6" xfId="19632"/>
    <cellStyle name="常规 19 3 2 5 12 7" xfId="19633"/>
    <cellStyle name="常规 19 3 2 5 13" xfId="7655"/>
    <cellStyle name="常规 19 3 2 5 14" xfId="7658"/>
    <cellStyle name="常规 19 3 2 5 15" xfId="5556"/>
    <cellStyle name="常规 19 3 2 5 16" xfId="5558"/>
    <cellStyle name="常规 19 3 2 5 17" xfId="11897"/>
    <cellStyle name="常规 19 3 2 5 18" xfId="16119"/>
    <cellStyle name="常规 19 3 2 5 19" xfId="16121"/>
    <cellStyle name="常规 19 3 2 5 2" xfId="11910"/>
    <cellStyle name="常规 19 3 2 5 2 10" xfId="11091"/>
    <cellStyle name="常规 19 3 2 5 2 10 2" xfId="12117"/>
    <cellStyle name="常规 19 3 2 5 2 10 3" xfId="18955"/>
    <cellStyle name="常规 19 3 2 5 2 10 4" xfId="18960"/>
    <cellStyle name="常规 19 3 2 5 2 10 5" xfId="18156"/>
    <cellStyle name="常规 19 3 2 5 2 10 6" xfId="18161"/>
    <cellStyle name="常规 19 3 2 5 2 10 7" xfId="18166"/>
    <cellStyle name="常规 19 3 2 5 2 11" xfId="19634"/>
    <cellStyle name="常规 19 3 2 5 2 12" xfId="13491"/>
    <cellStyle name="常规 19 3 2 5 2 13" xfId="13498"/>
    <cellStyle name="常规 19 3 2 5 2 14" xfId="15490"/>
    <cellStyle name="常规 19 3 2 5 2 15" xfId="5320"/>
    <cellStyle name="常规 19 3 2 5 2 16" xfId="5356"/>
    <cellStyle name="常规 19 3 2 5 2 17" xfId="5371"/>
    <cellStyle name="常规 19 3 2 5 2 2" xfId="16945"/>
    <cellStyle name="常规 19 3 2 5 2 2 2" xfId="537"/>
    <cellStyle name="常规 19 3 2 5 2 2 3" xfId="15129"/>
    <cellStyle name="常规 19 3 2 5 2 2 4" xfId="15132"/>
    <cellStyle name="常规 19 3 2 5 2 2 5" xfId="15135"/>
    <cellStyle name="常规 19 3 2 5 2 2 6" xfId="15139"/>
    <cellStyle name="常规 19 3 2 5 2 2 7" xfId="19635"/>
    <cellStyle name="常规 19 3 2 5 2 2 8" xfId="19636"/>
    <cellStyle name="常规 19 3 2 5 2 3" xfId="611"/>
    <cellStyle name="常规 19 3 2 5 2 3 2" xfId="619"/>
    <cellStyle name="常规 19 3 2 5 2 3 3" xfId="656"/>
    <cellStyle name="常规 19 3 2 5 2 3 4" xfId="15143"/>
    <cellStyle name="常规 19 3 2 5 2 3 5" xfId="15146"/>
    <cellStyle name="常规 19 3 2 5 2 3 6" xfId="15149"/>
    <cellStyle name="常规 19 3 2 5 2 3 7" xfId="19637"/>
    <cellStyle name="常规 19 3 2 5 2 3 8" xfId="19638"/>
    <cellStyle name="常规 19 3 2 5 2 4" xfId="710"/>
    <cellStyle name="常规 19 3 2 5 2 4 2" xfId="719"/>
    <cellStyle name="常规 19 3 2 5 2 4 3" xfId="15153"/>
    <cellStyle name="常规 19 3 2 5 2 4 4" xfId="15156"/>
    <cellStyle name="常规 19 3 2 5 2 4 5" xfId="13290"/>
    <cellStyle name="常规 19 3 2 5 2 4 6" xfId="13295"/>
    <cellStyle name="常规 19 3 2 5 2 4 7" xfId="13300"/>
    <cellStyle name="常规 19 3 2 5 2 4 8" xfId="2314"/>
    <cellStyle name="常规 19 3 2 5 2 5" xfId="16947"/>
    <cellStyle name="常规 19 3 2 5 2 5 2" xfId="861"/>
    <cellStyle name="常规 19 3 2 5 2 5 3" xfId="15161"/>
    <cellStyle name="常规 19 3 2 5 2 5 4" xfId="15166"/>
    <cellStyle name="常规 19 3 2 5 2 5 5" xfId="13311"/>
    <cellStyle name="常规 19 3 2 5 2 5 6" xfId="13315"/>
    <cellStyle name="常规 19 3 2 5 2 5 7" xfId="989"/>
    <cellStyle name="常规 19 3 2 5 2 5 8" xfId="5927"/>
    <cellStyle name="常规 19 3 2 5 2 6" xfId="6843"/>
    <cellStyle name="常规 19 3 2 5 2 6 2" xfId="15171"/>
    <cellStyle name="常规 19 3 2 5 2 6 3" xfId="15175"/>
    <cellStyle name="常规 19 3 2 5 2 6 4" xfId="4948"/>
    <cellStyle name="常规 19 3 2 5 2 6 5" xfId="4968"/>
    <cellStyle name="常规 19 3 2 5 2 6 6" xfId="4984"/>
    <cellStyle name="常规 19 3 2 5 2 6 7" xfId="5000"/>
    <cellStyle name="常规 19 3 2 5 2 6 8" xfId="13326"/>
    <cellStyle name="常规 19 3 2 5 2 7" xfId="6846"/>
    <cellStyle name="常规 19 3 2 5 2 7 2" xfId="15181"/>
    <cellStyle name="常规 19 3 2 5 2 7 3" xfId="15186"/>
    <cellStyle name="常规 19 3 2 5 2 7 4" xfId="1430"/>
    <cellStyle name="常规 19 3 2 5 2 7 5" xfId="1438"/>
    <cellStyle name="常规 19 3 2 5 2 7 6" xfId="5037"/>
    <cellStyle name="常规 19 3 2 5 2 7 7" xfId="6439"/>
    <cellStyle name="常规 19 3 2 5 2 7 8" xfId="6445"/>
    <cellStyle name="常规 19 3 2 5 2 8" xfId="19640"/>
    <cellStyle name="常规 19 3 2 5 2 8 2" xfId="15193"/>
    <cellStyle name="常规 19 3 2 5 2 8 3" xfId="15197"/>
    <cellStyle name="常规 19 3 2 5 2 8 4" xfId="5050"/>
    <cellStyle name="常规 19 3 2 5 2 8 5" xfId="5093"/>
    <cellStyle name="常规 19 3 2 5 2 8 6" xfId="5118"/>
    <cellStyle name="常规 19 3 2 5 2 8 7" xfId="8059"/>
    <cellStyle name="常规 19 3 2 5 2 8 8" xfId="8078"/>
    <cellStyle name="常规 19 3 2 5 2 9" xfId="15771"/>
    <cellStyle name="常规 19 3 2 5 2 9 2" xfId="15203"/>
    <cellStyle name="常规 19 3 2 5 2 9 3" xfId="15206"/>
    <cellStyle name="常规 19 3 2 5 2 9 4" xfId="5128"/>
    <cellStyle name="常规 19 3 2 5 2 9 5" xfId="5132"/>
    <cellStyle name="常规 19 3 2 5 2 9 6" xfId="7443"/>
    <cellStyle name="常规 19 3 2 5 2 9 7" xfId="8087"/>
    <cellStyle name="常规 19 3 2 5 2 9 8" xfId="8095"/>
    <cellStyle name="常规 19 3 2 5 3" xfId="11913"/>
    <cellStyle name="常规 19 3 2 5 3 2" xfId="19641"/>
    <cellStyle name="常规 19 3 2 5 3 3" xfId="1088"/>
    <cellStyle name="常规 19 3 2 5 3 4" xfId="1164"/>
    <cellStyle name="常规 19 3 2 5 3 5" xfId="19642"/>
    <cellStyle name="常规 19 3 2 5 3 6" xfId="19645"/>
    <cellStyle name="常规 19 3 2 5 3 7" xfId="19648"/>
    <cellStyle name="常规 19 3 2 5 3 8" xfId="19651"/>
    <cellStyle name="常规 19 3 2 5 4" xfId="19654"/>
    <cellStyle name="常规 19 3 2 5 4 2" xfId="19656"/>
    <cellStyle name="常规 19 3 2 5 4 3" xfId="19658"/>
    <cellStyle name="常规 19 3 2 5 4 4" xfId="19659"/>
    <cellStyle name="常规 19 3 2 5 4 5" xfId="19660"/>
    <cellStyle name="常规 19 3 2 5 4 6" xfId="7263"/>
    <cellStyle name="常规 19 3 2 5 4 7" xfId="7267"/>
    <cellStyle name="常规 19 3 2 5 4 8" xfId="19663"/>
    <cellStyle name="常规 19 3 2 5 5" xfId="19665"/>
    <cellStyle name="常规 19 3 2 5 5 2" xfId="19667"/>
    <cellStyle name="常规 19 3 2 5 5 3" xfId="19669"/>
    <cellStyle name="常规 19 3 2 5 5 4" xfId="19670"/>
    <cellStyle name="常规 19 3 2 5 5 5" xfId="19671"/>
    <cellStyle name="常规 19 3 2 5 5 6" xfId="19674"/>
    <cellStyle name="常规 19 3 2 5 5 7" xfId="19678"/>
    <cellStyle name="常规 19 3 2 5 5 8" xfId="19681"/>
    <cellStyle name="常规 19 3 2 5 6" xfId="19683"/>
    <cellStyle name="常规 19 3 2 5 6 2" xfId="19684"/>
    <cellStyle name="常规 19 3 2 5 6 3" xfId="19685"/>
    <cellStyle name="常规 19 3 2 5 6 4" xfId="19686"/>
    <cellStyle name="常规 19 3 2 5 6 5" xfId="19687"/>
    <cellStyle name="常规 19 3 2 5 6 6" xfId="19690"/>
    <cellStyle name="常规 19 3 2 5 6 7" xfId="9881"/>
    <cellStyle name="常规 19 3 2 5 6 8" xfId="8369"/>
    <cellStyle name="常规 19 3 2 5 7" xfId="19691"/>
    <cellStyle name="常规 19 3 2 5 7 2" xfId="12143"/>
    <cellStyle name="常规 19 3 2 5 7 3" xfId="19692"/>
    <cellStyle name="常规 19 3 2 5 7 4" xfId="19693"/>
    <cellStyle name="常规 19 3 2 5 7 5" xfId="19694"/>
    <cellStyle name="常规 19 3 2 5 7 6" xfId="19697"/>
    <cellStyle name="常规 19 3 2 5 7 7" xfId="19700"/>
    <cellStyle name="常规 19 3 2 5 7 8" xfId="8383"/>
    <cellStyle name="常规 19 3 2 5 8" xfId="19701"/>
    <cellStyle name="常规 19 3 2 5 8 2" xfId="19702"/>
    <cellStyle name="常规 19 3 2 5 8 3" xfId="19703"/>
    <cellStyle name="常规 19 3 2 5 8 4" xfId="19705"/>
    <cellStyle name="常规 19 3 2 5 8 5" xfId="19706"/>
    <cellStyle name="常规 19 3 2 5 8 6" xfId="19710"/>
    <cellStyle name="常规 19 3 2 5 8 7" xfId="19714"/>
    <cellStyle name="常规 19 3 2 5 8 8" xfId="19716"/>
    <cellStyle name="常规 19 3 2 5 9" xfId="19717"/>
    <cellStyle name="常规 19 3 2 5 9 2" xfId="19718"/>
    <cellStyle name="常规 19 3 2 5 9 3" xfId="19719"/>
    <cellStyle name="常规 19 3 2 5 9 4" xfId="19720"/>
    <cellStyle name="常规 19 3 2 5 9 5" xfId="19721"/>
    <cellStyle name="常规 19 3 2 5 9 6" xfId="19723"/>
    <cellStyle name="常规 19 3 2 5 9 7" xfId="19725"/>
    <cellStyle name="常规 19 3 2 5 9 8" xfId="19726"/>
    <cellStyle name="常规 19 3 2 6" xfId="19728"/>
    <cellStyle name="常规 19 3 2 6 10" xfId="9583"/>
    <cellStyle name="常规 19 3 2 6 10 2" xfId="19730"/>
    <cellStyle name="常规 19 3 2 6 10 3" xfId="19731"/>
    <cellStyle name="常规 19 3 2 6 10 4" xfId="15727"/>
    <cellStyle name="常规 19 3 2 6 10 5" xfId="15729"/>
    <cellStyle name="常规 19 3 2 6 10 6" xfId="15731"/>
    <cellStyle name="常规 19 3 2 6 10 7" xfId="15733"/>
    <cellStyle name="常规 19 3 2 6 11" xfId="9585"/>
    <cellStyle name="常规 19 3 2 6 12" xfId="9984"/>
    <cellStyle name="常规 19 3 2 6 13" xfId="9986"/>
    <cellStyle name="常规 19 3 2 6 14" xfId="19734"/>
    <cellStyle name="常规 19 3 2 6 15" xfId="19737"/>
    <cellStyle name="常规 19 3 2 6 16" xfId="19739"/>
    <cellStyle name="常规 19 3 2 6 17" xfId="16160"/>
    <cellStyle name="常规 19 3 2 6 2" xfId="19740"/>
    <cellStyle name="常规 19 3 2 6 2 2" xfId="17198"/>
    <cellStyle name="常规 19 3 2 6 2 3" xfId="17202"/>
    <cellStyle name="常规 19 3 2 6 2 4" xfId="17207"/>
    <cellStyle name="常规 19 3 2 6 2 5" xfId="17212"/>
    <cellStyle name="常规 19 3 2 6 2 6" xfId="17219"/>
    <cellStyle name="常规 19 3 2 6 2 7" xfId="19743"/>
    <cellStyle name="常规 19 3 2 6 2 8" xfId="19746"/>
    <cellStyle name="常规 19 3 2 6 3" xfId="19748"/>
    <cellStyle name="常规 19 3 2 6 3 2" xfId="9456"/>
    <cellStyle name="常规 19 3 2 6 3 3" xfId="18403"/>
    <cellStyle name="常规 19 3 2 6 3 4" xfId="18405"/>
    <cellStyle name="常规 19 3 2 6 3 5" xfId="18407"/>
    <cellStyle name="常规 19 3 2 6 3 6" xfId="19751"/>
    <cellStyle name="常规 19 3 2 6 3 7" xfId="19757"/>
    <cellStyle name="常规 19 3 2 6 3 8" xfId="19762"/>
    <cellStyle name="常规 19 3 2 6 4" xfId="19764"/>
    <cellStyle name="常规 19 3 2 6 4 2" xfId="18414"/>
    <cellStyle name="常规 19 3 2 6 4 3" xfId="18417"/>
    <cellStyle name="常规 19 3 2 6 4 4" xfId="18419"/>
    <cellStyle name="常规 19 3 2 6 4 5" xfId="18421"/>
    <cellStyle name="常规 19 3 2 6 4 6" xfId="19767"/>
    <cellStyle name="常规 19 3 2 6 4 7" xfId="19770"/>
    <cellStyle name="常规 19 3 2 6 4 8" xfId="19772"/>
    <cellStyle name="常规 19 3 2 6 5" xfId="19774"/>
    <cellStyle name="常规 19 3 2 6 5 2" xfId="18430"/>
    <cellStyle name="常规 19 3 2 6 5 3" xfId="18432"/>
    <cellStyle name="常规 19 3 2 6 5 4" xfId="18434"/>
    <cellStyle name="常规 19 3 2 6 5 5" xfId="19775"/>
    <cellStyle name="常规 19 3 2 6 5 6" xfId="19777"/>
    <cellStyle name="常规 19 3 2 6 5 7" xfId="19780"/>
    <cellStyle name="常规 19 3 2 6 5 8" xfId="19783"/>
    <cellStyle name="常规 19 3 2 6 6" xfId="19784"/>
    <cellStyle name="常规 19 3 2 6 6 2" xfId="19785"/>
    <cellStyle name="常规 19 3 2 6 6 3" xfId="19786"/>
    <cellStyle name="常规 19 3 2 6 6 4" xfId="19787"/>
    <cellStyle name="常规 19 3 2 6 6 5" xfId="19789"/>
    <cellStyle name="常规 19 3 2 6 6 6" xfId="19793"/>
    <cellStyle name="常规 19 3 2 6 6 7" xfId="19797"/>
    <cellStyle name="常规 19 3 2 6 6 8" xfId="6857"/>
    <cellStyle name="常规 19 3 2 6 7" xfId="19798"/>
    <cellStyle name="常规 19 3 2 6 7 2" xfId="19799"/>
    <cellStyle name="常规 19 3 2 6 7 3" xfId="19800"/>
    <cellStyle name="常规 19 3 2 6 7 4" xfId="19801"/>
    <cellStyle name="常规 19 3 2 6 7 5" xfId="15107"/>
    <cellStyle name="常规 19 3 2 6 7 6" xfId="15114"/>
    <cellStyle name="常规 19 3 2 6 7 7" xfId="15118"/>
    <cellStyle name="常规 19 3 2 6 7 8" xfId="15121"/>
    <cellStyle name="常规 19 3 2 6 8" xfId="19802"/>
    <cellStyle name="常规 19 3 2 6 8 2" xfId="9051"/>
    <cellStyle name="常规 19 3 2 6 8 3" xfId="9065"/>
    <cellStyle name="常规 19 3 2 6 8 4" xfId="9094"/>
    <cellStyle name="常规 19 3 2 6 8 5" xfId="9098"/>
    <cellStyle name="常规 19 3 2 6 8 6" xfId="9102"/>
    <cellStyle name="常规 19 3 2 6 8 7" xfId="19806"/>
    <cellStyle name="常规 19 3 2 6 8 8" xfId="19810"/>
    <cellStyle name="常规 19 3 2 6 9" xfId="19811"/>
    <cellStyle name="常规 19 3 2 6 9 2" xfId="9157"/>
    <cellStyle name="常规 19 3 2 6 9 3" xfId="9173"/>
    <cellStyle name="常规 19 3 2 6 9 4" xfId="9197"/>
    <cellStyle name="常规 19 3 2 6 9 5" xfId="9200"/>
    <cellStyle name="常规 19 3 2 6 9 6" xfId="9207"/>
    <cellStyle name="常规 19 3 2 6 9 7" xfId="19812"/>
    <cellStyle name="常规 19 3 2 6 9 8" xfId="19813"/>
    <cellStyle name="常规 19 3 2 7" xfId="19814"/>
    <cellStyle name="常规 19 3 2 7 2" xfId="19815"/>
    <cellStyle name="常规 19 3 2 7 3" xfId="19816"/>
    <cellStyle name="常规 19 3 2 7 4" xfId="19818"/>
    <cellStyle name="常规 19 3 2 7 5" xfId="19820"/>
    <cellStyle name="常规 19 3 2 7 6" xfId="19821"/>
    <cellStyle name="常规 19 3 2 7 7" xfId="19822"/>
    <cellStyle name="常规 19 3 2 7 8" xfId="19823"/>
    <cellStyle name="常规 19 3 2 8" xfId="19825"/>
    <cellStyle name="常规 19 3 2 8 2" xfId="11600"/>
    <cellStyle name="常规 19 3 2 8 3" xfId="9538"/>
    <cellStyle name="常规 19 3 2 8 4" xfId="8567"/>
    <cellStyle name="常规 19 3 2 8 5" xfId="8573"/>
    <cellStyle name="常规 19 3 2 8 6" xfId="9025"/>
    <cellStyle name="常规 19 3 2 8 7" xfId="12780"/>
    <cellStyle name="常规 19 3 2 8 8" xfId="12782"/>
    <cellStyle name="常规 19 3 2 9" xfId="1661"/>
    <cellStyle name="常规 19 3 2 9 2" xfId="6779"/>
    <cellStyle name="常规 19 3 2 9 3" xfId="6796"/>
    <cellStyle name="常规 19 3 2 9 4" xfId="4420"/>
    <cellStyle name="常规 19 3 2 9 5" xfId="4431"/>
    <cellStyle name="常规 19 3 2 9 6" xfId="19826"/>
    <cellStyle name="常规 19 3 2 9 7" xfId="19827"/>
    <cellStyle name="常规 19 3 2 9 8" xfId="19828"/>
    <cellStyle name="常规 19 3 20" xfId="7004"/>
    <cellStyle name="常规 19 3 21" xfId="8447"/>
    <cellStyle name="常规 19 3 22" xfId="11302"/>
    <cellStyle name="常规 19 3 23" xfId="16273"/>
    <cellStyle name="常规 19 3 24" xfId="16276"/>
    <cellStyle name="常规 19 3 25" xfId="16278"/>
    <cellStyle name="常规 19 3 26" xfId="12198"/>
    <cellStyle name="常规 19 3 3" xfId="12666"/>
    <cellStyle name="常规 19 3 3 10" xfId="9393"/>
    <cellStyle name="常规 19 3 3 10 2" xfId="9396"/>
    <cellStyle name="常规 19 3 3 10 3" xfId="9398"/>
    <cellStyle name="常规 19 3 3 10 4" xfId="17436"/>
    <cellStyle name="常规 19 3 3 10 5" xfId="17439"/>
    <cellStyle name="常规 19 3 3 10 6" xfId="8542"/>
    <cellStyle name="常规 19 3 3 10 7" xfId="8547"/>
    <cellStyle name="常规 19 3 3 10 8" xfId="8977"/>
    <cellStyle name="常规 19 3 3 11" xfId="9401"/>
    <cellStyle name="常规 19 3 3 11 2" xfId="19830"/>
    <cellStyle name="常规 19 3 3 11 3" xfId="19832"/>
    <cellStyle name="常规 19 3 3 11 4" xfId="17444"/>
    <cellStyle name="常规 19 3 3 11 5" xfId="17449"/>
    <cellStyle name="常规 19 3 3 11 6" xfId="17454"/>
    <cellStyle name="常规 19 3 3 11 7" xfId="17458"/>
    <cellStyle name="常规 19 3 3 11 8" xfId="17462"/>
    <cellStyle name="常规 19 3 3 12" xfId="9773"/>
    <cellStyle name="常规 19 3 3 12 2" xfId="9777"/>
    <cellStyle name="常规 19 3 3 12 3" xfId="9781"/>
    <cellStyle name="常规 19 3 3 12 4" xfId="17467"/>
    <cellStyle name="常规 19 3 3 12 5" xfId="17472"/>
    <cellStyle name="常规 19 3 3 12 6" xfId="17475"/>
    <cellStyle name="常规 19 3 3 12 7" xfId="17477"/>
    <cellStyle name="常规 19 3 3 12 8" xfId="17479"/>
    <cellStyle name="常规 19 3 3 13" xfId="9783"/>
    <cellStyle name="常规 19 3 3 13 2" xfId="19835"/>
    <cellStyle name="常规 19 3 3 13 3" xfId="19837"/>
    <cellStyle name="常规 19 3 3 13 4" xfId="17484"/>
    <cellStyle name="常规 19 3 3 13 5" xfId="17487"/>
    <cellStyle name="常规 19 3 3 13 6" xfId="17489"/>
    <cellStyle name="常规 19 3 3 13 7" xfId="17491"/>
    <cellStyle name="常规 19 3 3 13 8" xfId="17494"/>
    <cellStyle name="常规 19 3 3 14" xfId="5967"/>
    <cellStyle name="常规 19 3 3 14 2" xfId="19840"/>
    <cellStyle name="常规 19 3 3 14 3" xfId="19843"/>
    <cellStyle name="常规 19 3 3 14 4" xfId="17499"/>
    <cellStyle name="常规 19 3 3 14 5" xfId="17504"/>
    <cellStyle name="常规 19 3 3 14 6" xfId="17509"/>
    <cellStyle name="常规 19 3 3 14 7" xfId="17513"/>
    <cellStyle name="常规 19 3 3 14 8" xfId="17516"/>
    <cellStyle name="常规 19 3 3 15" xfId="5978"/>
    <cellStyle name="常规 19 3 3 15 2" xfId="19845"/>
    <cellStyle name="常规 19 3 3 15 3" xfId="19847"/>
    <cellStyle name="常规 19 3 3 15 4" xfId="17521"/>
    <cellStyle name="常规 19 3 3 15 5" xfId="17524"/>
    <cellStyle name="常规 19 3 3 15 6" xfId="17527"/>
    <cellStyle name="常规 19 3 3 15 7" xfId="9170"/>
    <cellStyle name="常规 19 3 3 16" xfId="19849"/>
    <cellStyle name="常规 19 3 3 17" xfId="19851"/>
    <cellStyle name="常规 19 3 3 18" xfId="19853"/>
    <cellStyle name="常规 19 3 3 19" xfId="19854"/>
    <cellStyle name="常规 19 3 3 2" xfId="12668"/>
    <cellStyle name="常规 19 3 3 2 10" xfId="19856"/>
    <cellStyle name="常规 19 3 3 2 10 2" xfId="19858"/>
    <cellStyle name="常规 19 3 3 2 10 3" xfId="2766"/>
    <cellStyle name="常规 19 3 3 2 10 4" xfId="6559"/>
    <cellStyle name="常规 19 3 3 2 10 5" xfId="6564"/>
    <cellStyle name="常规 19 3 3 2 10 6" xfId="9592"/>
    <cellStyle name="常规 19 3 3 2 10 7" xfId="5070"/>
    <cellStyle name="常规 19 3 3 2 10 8" xfId="3026"/>
    <cellStyle name="常规 19 3 3 2 11" xfId="19861"/>
    <cellStyle name="常规 19 3 3 2 11 2" xfId="6019"/>
    <cellStyle name="常规 19 3 3 2 11 3" xfId="6026"/>
    <cellStyle name="常规 19 3 3 2 11 4" xfId="14761"/>
    <cellStyle name="常规 19 3 3 2 11 5" xfId="14765"/>
    <cellStyle name="常规 19 3 3 2 11 6" xfId="9609"/>
    <cellStyle name="常规 19 3 3 2 11 7" xfId="9616"/>
    <cellStyle name="常规 19 3 3 2 11 8" xfId="1800"/>
    <cellStyle name="常规 19 3 3 2 12" xfId="19862"/>
    <cellStyle name="常规 19 3 3 2 12 2" xfId="19863"/>
    <cellStyle name="常规 19 3 3 2 12 3" xfId="14774"/>
    <cellStyle name="常规 19 3 3 2 12 4" xfId="14778"/>
    <cellStyle name="常规 19 3 3 2 12 5" xfId="9073"/>
    <cellStyle name="常规 19 3 3 2 12 6" xfId="157"/>
    <cellStyle name="常规 19 3 3 2 12 7" xfId="14784"/>
    <cellStyle name="常规 19 3 3 2 12 8" xfId="14790"/>
    <cellStyle name="常规 19 3 3 2 13" xfId="19865"/>
    <cellStyle name="常规 19 3 3 2 13 2" xfId="19866"/>
    <cellStyle name="常规 19 3 3 2 13 3" xfId="14798"/>
    <cellStyle name="常规 19 3 3 2 13 4" xfId="14803"/>
    <cellStyle name="常规 19 3 3 2 13 5" xfId="14807"/>
    <cellStyle name="常规 19 3 3 2 13 6" xfId="14812"/>
    <cellStyle name="常规 19 3 3 2 13 7" xfId="14818"/>
    <cellStyle name="常规 19 3 3 2 14" xfId="19868"/>
    <cellStyle name="常规 19 3 3 2 15" xfId="19869"/>
    <cellStyle name="常规 19 3 3 2 16" xfId="19871"/>
    <cellStyle name="常规 19 3 3 2 17" xfId="19872"/>
    <cellStyle name="常规 19 3 3 2 18" xfId="1274"/>
    <cellStyle name="常规 19 3 3 2 19" xfId="1281"/>
    <cellStyle name="常规 19 3 3 2 2" xfId="10668"/>
    <cellStyle name="常规 19 3 3 2 2 10" xfId="19874"/>
    <cellStyle name="常规 19 3 3 2 2 10 2" xfId="19876"/>
    <cellStyle name="常规 19 3 3 2 2 10 3" xfId="14901"/>
    <cellStyle name="常规 19 3 3 2 2 10 4" xfId="14907"/>
    <cellStyle name="常规 19 3 3 2 2 10 5" xfId="14914"/>
    <cellStyle name="常规 19 3 3 2 2 10 6" xfId="14921"/>
    <cellStyle name="常规 19 3 3 2 2 10 7" xfId="14418"/>
    <cellStyle name="常规 19 3 3 2 2 10 8" xfId="14424"/>
    <cellStyle name="常规 19 3 3 2 2 11" xfId="19878"/>
    <cellStyle name="常规 19 3 3 2 2 11 2" xfId="19880"/>
    <cellStyle name="常规 19 3 3 2 2 11 3" xfId="14924"/>
    <cellStyle name="常规 19 3 3 2 2 11 4" xfId="14930"/>
    <cellStyle name="常规 19 3 3 2 2 11 5" xfId="7088"/>
    <cellStyle name="常规 19 3 3 2 2 11 6" xfId="7111"/>
    <cellStyle name="常规 19 3 3 2 2 11 7" xfId="1360"/>
    <cellStyle name="常规 19 3 3 2 2 11 8" xfId="1370"/>
    <cellStyle name="常规 19 3 3 2 2 12" xfId="19882"/>
    <cellStyle name="常规 19 3 3 2 2 12 2" xfId="19883"/>
    <cellStyle name="常规 19 3 3 2 2 12 3" xfId="14932"/>
    <cellStyle name="常规 19 3 3 2 2 12 4" xfId="768"/>
    <cellStyle name="常规 19 3 3 2 2 12 5" xfId="2558"/>
    <cellStyle name="常规 19 3 3 2 2 12 6" xfId="7153"/>
    <cellStyle name="常规 19 3 3 2 2 12 7" xfId="1202"/>
    <cellStyle name="常规 19 3 3 2 2 13" xfId="19885"/>
    <cellStyle name="常规 19 3 3 2 2 14" xfId="19889"/>
    <cellStyle name="常规 19 3 3 2 2 15" xfId="19893"/>
    <cellStyle name="常规 19 3 3 2 2 16" xfId="19896"/>
    <cellStyle name="常规 19 3 3 2 2 17" xfId="4867"/>
    <cellStyle name="常规 19 3 3 2 2 18" xfId="4877"/>
    <cellStyle name="常规 19 3 3 2 2 19" xfId="2275"/>
    <cellStyle name="常规 19 3 3 2 2 2" xfId="8960"/>
    <cellStyle name="常规 19 3 3 2 2 2 10" xfId="16240"/>
    <cellStyle name="常规 19 3 3 2 2 2 10 2" xfId="19898"/>
    <cellStyle name="常规 19 3 3 2 2 2 10 3" xfId="19899"/>
    <cellStyle name="常规 19 3 3 2 2 2 10 4" xfId="19900"/>
    <cellStyle name="常规 19 3 3 2 2 2 10 5" xfId="19901"/>
    <cellStyle name="常规 19 3 3 2 2 2 10 6" xfId="19902"/>
    <cellStyle name="常规 19 3 3 2 2 2 10 7" xfId="19903"/>
    <cellStyle name="常规 19 3 3 2 2 2 11" xfId="16242"/>
    <cellStyle name="常规 19 3 3 2 2 2 12" xfId="16245"/>
    <cellStyle name="常规 19 3 3 2 2 2 13" xfId="16248"/>
    <cellStyle name="常规 19 3 3 2 2 2 14" xfId="19905"/>
    <cellStyle name="常规 19 3 3 2 2 2 15" xfId="19906"/>
    <cellStyle name="常规 19 3 3 2 2 2 16" xfId="19908"/>
    <cellStyle name="常规 19 3 3 2 2 2 17" xfId="19911"/>
    <cellStyle name="常规 19 3 3 2 2 2 2" xfId="19914"/>
    <cellStyle name="常规 19 3 3 2 2 2 2 2" xfId="19915"/>
    <cellStyle name="常规 19 3 3 2 2 2 2 3" xfId="7200"/>
    <cellStyle name="常规 19 3 3 2 2 2 2 4" xfId="8744"/>
    <cellStyle name="常规 19 3 3 2 2 2 2 5" xfId="19917"/>
    <cellStyle name="常规 19 3 3 2 2 2 2 6" xfId="19920"/>
    <cellStyle name="常规 19 3 3 2 2 2 2 7" xfId="19923"/>
    <cellStyle name="常规 19 3 3 2 2 2 2 8" xfId="19926"/>
    <cellStyle name="常规 19 3 3 2 2 2 3" xfId="19859"/>
    <cellStyle name="常规 19 3 3 2 2 2 3 2" xfId="19927"/>
    <cellStyle name="常规 19 3 3 2 2 2 3 3" xfId="19928"/>
    <cellStyle name="常规 19 3 3 2 2 2 3 4" xfId="19930"/>
    <cellStyle name="常规 19 3 3 2 2 2 3 5" xfId="19932"/>
    <cellStyle name="常规 19 3 3 2 2 2 3 6" xfId="19935"/>
    <cellStyle name="常规 19 3 3 2 2 2 3 7" xfId="19938"/>
    <cellStyle name="常规 19 3 3 2 2 2 3 8" xfId="19942"/>
    <cellStyle name="常规 19 3 3 2 2 2 4" xfId="2767"/>
    <cellStyle name="常规 19 3 3 2 2 2 4 2" xfId="19943"/>
    <cellStyle name="常规 19 3 3 2 2 2 4 3" xfId="19944"/>
    <cellStyle name="常规 19 3 3 2 2 2 4 4" xfId="19946"/>
    <cellStyle name="常规 19 3 3 2 2 2 4 5" xfId="19948"/>
    <cellStyle name="常规 19 3 3 2 2 2 4 6" xfId="19950"/>
    <cellStyle name="常规 19 3 3 2 2 2 4 7" xfId="19952"/>
    <cellStyle name="常规 19 3 3 2 2 2 4 8" xfId="19955"/>
    <cellStyle name="常规 19 3 3 2 2 2 5" xfId="6560"/>
    <cellStyle name="常规 19 3 3 2 2 2 5 2" xfId="19956"/>
    <cellStyle name="常规 19 3 3 2 2 2 5 3" xfId="19957"/>
    <cellStyle name="常规 19 3 3 2 2 2 5 4" xfId="19959"/>
    <cellStyle name="常规 19 3 3 2 2 2 5 5" xfId="19961"/>
    <cellStyle name="常规 19 3 3 2 2 2 5 6" xfId="9684"/>
    <cellStyle name="常规 19 3 3 2 2 2 5 7" xfId="8996"/>
    <cellStyle name="常规 19 3 3 2 2 2 5 8" xfId="9011"/>
    <cellStyle name="常规 19 3 3 2 2 2 6" xfId="6565"/>
    <cellStyle name="常规 19 3 3 2 2 2 6 2" xfId="19962"/>
    <cellStyle name="常规 19 3 3 2 2 2 6 3" xfId="19963"/>
    <cellStyle name="常规 19 3 3 2 2 2 6 4" xfId="19964"/>
    <cellStyle name="常规 19 3 3 2 2 2 6 5" xfId="19965"/>
    <cellStyle name="常规 19 3 3 2 2 2 6 6" xfId="19966"/>
    <cellStyle name="常规 19 3 3 2 2 2 6 7" xfId="9023"/>
    <cellStyle name="常规 19 3 3 2 2 2 6 8" xfId="9036"/>
    <cellStyle name="常规 19 3 3 2 2 2 7" xfId="9593"/>
    <cellStyle name="常规 19 3 3 2 2 2 7 2" xfId="19968"/>
    <cellStyle name="常规 19 3 3 2 2 2 7 3" xfId="19970"/>
    <cellStyle name="常规 19 3 3 2 2 2 7 4" xfId="19973"/>
    <cellStyle name="常规 19 3 3 2 2 2 7 5" xfId="19976"/>
    <cellStyle name="常规 19 3 3 2 2 2 7 6" xfId="19978"/>
    <cellStyle name="常规 19 3 3 2 2 2 7 7" xfId="9042"/>
    <cellStyle name="常规 19 3 3 2 2 2 7 8" xfId="9047"/>
    <cellStyle name="常规 19 3 3 2 2 2 8" xfId="5071"/>
    <cellStyle name="常规 19 3 3 2 2 2 8 2" xfId="17030"/>
    <cellStyle name="常规 19 3 3 2 2 2 8 3" xfId="17050"/>
    <cellStyle name="常规 19 3 3 2 2 2 8 4" xfId="17062"/>
    <cellStyle name="常规 19 3 3 2 2 2 8 5" xfId="17071"/>
    <cellStyle name="常规 19 3 3 2 2 2 8 6" xfId="59"/>
    <cellStyle name="常规 19 3 3 2 2 2 8 7" xfId="6790"/>
    <cellStyle name="常规 19 3 3 2 2 2 8 8" xfId="17098"/>
    <cellStyle name="常规 19 3 3 2 2 2 9" xfId="3027"/>
    <cellStyle name="常规 19 3 3 2 2 2 9 2" xfId="1244"/>
    <cellStyle name="常规 19 3 3 2 2 2 9 3" xfId="2777"/>
    <cellStyle name="常规 19 3 3 2 2 2 9 4" xfId="11028"/>
    <cellStyle name="常规 19 3 3 2 2 2 9 5" xfId="17121"/>
    <cellStyle name="常规 19 3 3 2 2 2 9 6" xfId="17126"/>
    <cellStyle name="常规 19 3 3 2 2 2 9 7" xfId="17131"/>
    <cellStyle name="常规 19 3 3 2 2 2 9 8" xfId="17134"/>
    <cellStyle name="常规 19 3 3 2 2 3" xfId="19979"/>
    <cellStyle name="常规 19 3 3 2 2 3 2" xfId="14276"/>
    <cellStyle name="常规 19 3 3 2 2 3 3" xfId="6020"/>
    <cellStyle name="常规 19 3 3 2 2 3 4" xfId="6027"/>
    <cellStyle name="常规 19 3 3 2 2 3 5" xfId="14762"/>
    <cellStyle name="常规 19 3 3 2 2 3 6" xfId="14766"/>
    <cellStyle name="常规 19 3 3 2 2 3 7" xfId="9610"/>
    <cellStyle name="常规 19 3 3 2 2 3 8" xfId="9617"/>
    <cellStyle name="常规 19 3 3 2 2 4" xfId="19980"/>
    <cellStyle name="常规 19 3 3 2 2 4 2" xfId="19982"/>
    <cellStyle name="常规 19 3 3 2 2 4 3" xfId="19864"/>
    <cellStyle name="常规 19 3 3 2 2 4 4" xfId="14775"/>
    <cellStyle name="常规 19 3 3 2 2 4 5" xfId="14779"/>
    <cellStyle name="常规 19 3 3 2 2 4 6" xfId="9074"/>
    <cellStyle name="常规 19 3 3 2 2 4 7" xfId="158"/>
    <cellStyle name="常规 19 3 3 2 2 4 8" xfId="14785"/>
    <cellStyle name="常规 19 3 3 2 2 5" xfId="19983"/>
    <cellStyle name="常规 19 3 3 2 2 5 2" xfId="19985"/>
    <cellStyle name="常规 19 3 3 2 2 5 3" xfId="19867"/>
    <cellStyle name="常规 19 3 3 2 2 5 4" xfId="14799"/>
    <cellStyle name="常规 19 3 3 2 2 5 5" xfId="14804"/>
    <cellStyle name="常规 19 3 3 2 2 5 6" xfId="14808"/>
    <cellStyle name="常规 19 3 3 2 2 5 7" xfId="14813"/>
    <cellStyle name="常规 19 3 3 2 2 5 8" xfId="14819"/>
    <cellStyle name="常规 19 3 3 2 2 6" xfId="19986"/>
    <cellStyle name="常规 19 3 3 2 2 6 2" xfId="19987"/>
    <cellStyle name="常规 19 3 3 2 2 6 3" xfId="19988"/>
    <cellStyle name="常规 19 3 3 2 2 6 4" xfId="220"/>
    <cellStyle name="常规 19 3 3 2 2 6 5" xfId="178"/>
    <cellStyle name="常规 19 3 3 2 2 6 6" xfId="109"/>
    <cellStyle name="常规 19 3 3 2 2 6 7" xfId="229"/>
    <cellStyle name="常规 19 3 3 2 2 6 8" xfId="485"/>
    <cellStyle name="常规 19 3 3 2 2 7" xfId="19990"/>
    <cellStyle name="常规 19 3 3 2 2 7 2" xfId="5528"/>
    <cellStyle name="常规 19 3 3 2 2 7 3" xfId="19992"/>
    <cellStyle name="常规 19 3 3 2 2 7 4" xfId="14836"/>
    <cellStyle name="常规 19 3 3 2 2 7 5" xfId="14839"/>
    <cellStyle name="常规 19 3 3 2 2 7 6" xfId="14842"/>
    <cellStyle name="常规 19 3 3 2 2 7 7" xfId="14846"/>
    <cellStyle name="常规 19 3 3 2 2 7 8" xfId="14851"/>
    <cellStyle name="常规 19 3 3 2 2 8" xfId="7179"/>
    <cellStyle name="常规 19 3 3 2 2 8 2" xfId="19993"/>
    <cellStyle name="常规 19 3 3 2 2 8 3" xfId="19994"/>
    <cellStyle name="常规 19 3 3 2 2 8 4" xfId="14855"/>
    <cellStyle name="常规 19 3 3 2 2 8 5" xfId="14858"/>
    <cellStyle name="常规 19 3 3 2 2 8 6" xfId="9796"/>
    <cellStyle name="常规 19 3 3 2 2 8 7" xfId="9801"/>
    <cellStyle name="常规 19 3 3 2 2 8 8" xfId="14862"/>
    <cellStyle name="常规 19 3 3 2 2 9" xfId="7739"/>
    <cellStyle name="常规 19 3 3 2 2 9 2" xfId="7747"/>
    <cellStyle name="常规 19 3 3 2 2 9 3" xfId="7751"/>
    <cellStyle name="常规 19 3 3 2 2 9 4" xfId="13360"/>
    <cellStyle name="常规 19 3 3 2 2 9 5" xfId="13364"/>
    <cellStyle name="常规 19 3 3 2 2 9 6" xfId="8975"/>
    <cellStyle name="常规 19 3 3 2 2 9 7" xfId="8987"/>
    <cellStyle name="常规 19 3 3 2 2 9 8" xfId="13372"/>
    <cellStyle name="常规 19 3 3 2 20" xfId="19870"/>
    <cellStyle name="常规 19 3 3 2 3" xfId="19995"/>
    <cellStyle name="常规 19 3 3 2 3 10" xfId="19996"/>
    <cellStyle name="常规 19 3 3 2 3 10 2" xfId="7624"/>
    <cellStyle name="常规 19 3 3 2 3 10 3" xfId="1186"/>
    <cellStyle name="常规 19 3 3 2 3 10 4" xfId="1192"/>
    <cellStyle name="常规 19 3 3 2 3 10 5" xfId="19998"/>
    <cellStyle name="常规 19 3 3 2 3 10 6" xfId="20000"/>
    <cellStyle name="常规 19 3 3 2 3 10 7" xfId="20002"/>
    <cellStyle name="常规 19 3 3 2 3 11" xfId="20003"/>
    <cellStyle name="常规 19 3 3 2 3 12" xfId="20006"/>
    <cellStyle name="常规 19 3 3 2 3 13" xfId="20009"/>
    <cellStyle name="常规 19 3 3 2 3 14" xfId="20011"/>
    <cellStyle name="常规 19 3 3 2 3 15" xfId="15737"/>
    <cellStyle name="常规 19 3 3 2 3 16" xfId="15740"/>
    <cellStyle name="常规 19 3 3 2 3 17" xfId="15743"/>
    <cellStyle name="常规 19 3 3 2 3 2" xfId="20012"/>
    <cellStyle name="常规 19 3 3 2 3 2 2" xfId="20015"/>
    <cellStyle name="常规 19 3 3 2 3 2 3" xfId="20018"/>
    <cellStyle name="常规 19 3 3 2 3 2 4" xfId="16355"/>
    <cellStyle name="常规 19 3 3 2 3 2 5" xfId="16371"/>
    <cellStyle name="常规 19 3 3 2 3 2 6" xfId="16372"/>
    <cellStyle name="常规 19 3 3 2 3 2 7" xfId="16374"/>
    <cellStyle name="常规 19 3 3 2 3 2 8" xfId="16377"/>
    <cellStyle name="常规 19 3 3 2 3 3" xfId="9234"/>
    <cellStyle name="常规 19 3 3 2 3 3 2" xfId="20020"/>
    <cellStyle name="常规 19 3 3 2 3 3 3" xfId="20021"/>
    <cellStyle name="常规 19 3 3 2 3 3 4" xfId="20022"/>
    <cellStyle name="常规 19 3 3 2 3 3 5" xfId="20023"/>
    <cellStyle name="常规 19 3 3 2 3 3 6" xfId="20024"/>
    <cellStyle name="常规 19 3 3 2 3 3 7" xfId="20025"/>
    <cellStyle name="常规 19 3 3 2 3 3 8" xfId="17627"/>
    <cellStyle name="常规 19 3 3 2 3 4" xfId="9237"/>
    <cellStyle name="常规 19 3 3 2 3 4 2" xfId="20027"/>
    <cellStyle name="常规 19 3 3 2 3 4 3" xfId="20028"/>
    <cellStyle name="常规 19 3 3 2 3 4 4" xfId="20029"/>
    <cellStyle name="常规 19 3 3 2 3 4 5" xfId="20030"/>
    <cellStyle name="常规 19 3 3 2 3 4 6" xfId="20031"/>
    <cellStyle name="常规 19 3 3 2 3 4 7" xfId="20032"/>
    <cellStyle name="常规 19 3 3 2 3 4 8" xfId="17636"/>
    <cellStyle name="常规 19 3 3 2 3 5" xfId="20034"/>
    <cellStyle name="常规 19 3 3 2 3 5 2" xfId="18989"/>
    <cellStyle name="常规 19 3 3 2 3 5 3" xfId="18993"/>
    <cellStyle name="常规 19 3 3 2 3 5 4" xfId="18996"/>
    <cellStyle name="常规 19 3 3 2 3 5 5" xfId="18999"/>
    <cellStyle name="常规 19 3 3 2 3 5 6" xfId="19002"/>
    <cellStyle name="常规 19 3 3 2 3 5 7" xfId="19005"/>
    <cellStyle name="常规 19 3 3 2 3 5 8" xfId="17643"/>
    <cellStyle name="常规 19 3 3 2 3 6" xfId="20036"/>
    <cellStyle name="常规 19 3 3 2 3 6 2" xfId="20038"/>
    <cellStyle name="常规 19 3 3 2 3 6 3" xfId="20039"/>
    <cellStyle name="常规 19 3 3 2 3 6 4" xfId="20040"/>
    <cellStyle name="常规 19 3 3 2 3 6 5" xfId="20041"/>
    <cellStyle name="常规 19 3 3 2 3 6 6" xfId="20042"/>
    <cellStyle name="常规 19 3 3 2 3 6 7" xfId="20043"/>
    <cellStyle name="常规 19 3 3 2 3 6 8" xfId="17655"/>
    <cellStyle name="常规 19 3 3 2 3 7" xfId="20045"/>
    <cellStyle name="常规 19 3 3 2 3 7 2" xfId="20046"/>
    <cellStyle name="常规 19 3 3 2 3 7 3" xfId="20047"/>
    <cellStyle name="常规 19 3 3 2 3 7 4" xfId="20048"/>
    <cellStyle name="常规 19 3 3 2 3 7 5" xfId="20049"/>
    <cellStyle name="常规 19 3 3 2 3 7 6" xfId="20050"/>
    <cellStyle name="常规 19 3 3 2 3 7 7" xfId="20051"/>
    <cellStyle name="常规 19 3 3 2 3 7 8" xfId="17662"/>
    <cellStyle name="常规 19 3 3 2 3 8" xfId="7189"/>
    <cellStyle name="常规 19 3 3 2 3 8 2" xfId="20052"/>
    <cellStyle name="常规 19 3 3 2 3 8 3" xfId="13724"/>
    <cellStyle name="常规 19 3 3 2 3 8 4" xfId="13731"/>
    <cellStyle name="常规 19 3 3 2 3 8 5" xfId="13733"/>
    <cellStyle name="常规 19 3 3 2 3 8 6" xfId="13735"/>
    <cellStyle name="常规 19 3 3 2 3 8 7" xfId="13737"/>
    <cellStyle name="常规 19 3 3 2 3 8 8" xfId="13739"/>
    <cellStyle name="常规 19 3 3 2 3 9" xfId="7771"/>
    <cellStyle name="常规 19 3 3 2 3 9 2" xfId="20053"/>
    <cellStyle name="常规 19 3 3 2 3 9 3" xfId="20054"/>
    <cellStyle name="常规 19 3 3 2 3 9 4" xfId="20056"/>
    <cellStyle name="常规 19 3 3 2 3 9 5" xfId="20058"/>
    <cellStyle name="常规 19 3 3 2 3 9 6" xfId="5782"/>
    <cellStyle name="常规 19 3 3 2 3 9 7" xfId="5806"/>
    <cellStyle name="常规 19 3 3 2 3 9 8" xfId="5830"/>
    <cellStyle name="常规 19 3 3 2 4" xfId="20059"/>
    <cellStyle name="常规 19 3 3 2 4 2" xfId="20060"/>
    <cellStyle name="常规 19 3 3 2 4 3" xfId="20061"/>
    <cellStyle name="常规 19 3 3 2 4 4" xfId="20062"/>
    <cellStyle name="常规 19 3 3 2 4 5" xfId="20063"/>
    <cellStyle name="常规 19 3 3 2 4 6" xfId="20064"/>
    <cellStyle name="常规 19 3 3 2 4 7" xfId="20065"/>
    <cellStyle name="常规 19 3 3 2 4 8" xfId="10223"/>
    <cellStyle name="常规 19 3 3 2 5" xfId="20066"/>
    <cellStyle name="常规 19 3 3 2 5 2" xfId="20067"/>
    <cellStyle name="常规 19 3 3 2 5 3" xfId="20068"/>
    <cellStyle name="常规 19 3 3 2 5 4" xfId="20069"/>
    <cellStyle name="常规 19 3 3 2 5 5" xfId="20070"/>
    <cellStyle name="常规 19 3 3 2 5 6" xfId="20071"/>
    <cellStyle name="常规 19 3 3 2 5 7" xfId="20072"/>
    <cellStyle name="常规 19 3 3 2 5 8" xfId="10238"/>
    <cellStyle name="常规 19 3 3 2 6" xfId="20073"/>
    <cellStyle name="常规 19 3 3 2 6 2" xfId="20074"/>
    <cellStyle name="常规 19 3 3 2 6 3" xfId="20075"/>
    <cellStyle name="常规 19 3 3 2 6 4" xfId="20076"/>
    <cellStyle name="常规 19 3 3 2 6 5" xfId="20077"/>
    <cellStyle name="常规 19 3 3 2 6 6" xfId="20078"/>
    <cellStyle name="常规 19 3 3 2 6 7" xfId="20079"/>
    <cellStyle name="常规 19 3 3 2 6 8" xfId="1287"/>
    <cellStyle name="常规 19 3 3 2 7" xfId="20081"/>
    <cellStyle name="常规 19 3 3 2 7 2" xfId="20083"/>
    <cellStyle name="常规 19 3 3 2 7 3" xfId="20085"/>
    <cellStyle name="常规 19 3 3 2 7 4" xfId="20087"/>
    <cellStyle name="常规 19 3 3 2 7 5" xfId="20089"/>
    <cellStyle name="常规 19 3 3 2 7 6" xfId="20090"/>
    <cellStyle name="常规 19 3 3 2 7 7" xfId="20091"/>
    <cellStyle name="常规 19 3 3 2 7 8" xfId="13195"/>
    <cellStyle name="常规 19 3 3 2 8" xfId="20093"/>
    <cellStyle name="常规 19 3 3 2 8 2" xfId="20095"/>
    <cellStyle name="常规 19 3 3 2 8 3" xfId="9520"/>
    <cellStyle name="常规 19 3 3 2 8 4" xfId="9527"/>
    <cellStyle name="常规 19 3 3 2 8 5" xfId="20096"/>
    <cellStyle name="常规 19 3 3 2 8 6" xfId="20097"/>
    <cellStyle name="常规 19 3 3 2 8 7" xfId="13748"/>
    <cellStyle name="常规 19 3 3 2 8 8" xfId="13207"/>
    <cellStyle name="常规 19 3 3 2 9" xfId="20099"/>
    <cellStyle name="常规 19 3 3 2 9 2" xfId="20100"/>
    <cellStyle name="常规 19 3 3 2 9 3" xfId="1675"/>
    <cellStyle name="常规 19 3 3 2 9 4" xfId="1706"/>
    <cellStyle name="常规 19 3 3 2 9 5" xfId="19009"/>
    <cellStyle name="常规 19 3 3 2 9 6" xfId="19028"/>
    <cellStyle name="常规 19 3 3 2 9 7" xfId="13753"/>
    <cellStyle name="常规 19 3 3 2 9 8" xfId="13224"/>
    <cellStyle name="常规 19 3 3 20" xfId="5979"/>
    <cellStyle name="常规 19 3 3 21" xfId="19850"/>
    <cellStyle name="常规 19 3 3 22" xfId="19852"/>
    <cellStyle name="常规 19 3 3 3" xfId="20102"/>
    <cellStyle name="常规 19 3 3 3 10" xfId="10290"/>
    <cellStyle name="常规 19 3 3 3 10 2" xfId="8936"/>
    <cellStyle name="常规 19 3 3 3 10 3" xfId="9446"/>
    <cellStyle name="常规 19 3 3 3 10 4" xfId="12524"/>
    <cellStyle name="常规 19 3 3 3 10 5" xfId="20103"/>
    <cellStyle name="常规 19 3 3 3 10 6" xfId="14472"/>
    <cellStyle name="常规 19 3 3 3 10 7" xfId="14475"/>
    <cellStyle name="常规 19 3 3 3 10 8" xfId="14479"/>
    <cellStyle name="常规 19 3 3 3 11" xfId="10295"/>
    <cellStyle name="常规 19 3 3 3 11 2" xfId="20104"/>
    <cellStyle name="常规 19 3 3 3 11 3" xfId="20106"/>
    <cellStyle name="常规 19 3 3 3 11 4" xfId="20108"/>
    <cellStyle name="常规 19 3 3 3 11 5" xfId="12630"/>
    <cellStyle name="常规 19 3 3 3 11 6" xfId="14492"/>
    <cellStyle name="常规 19 3 3 3 11 7" xfId="14496"/>
    <cellStyle name="常规 19 3 3 3 11 8" xfId="14501"/>
    <cellStyle name="常规 19 3 3 3 12" xfId="13348"/>
    <cellStyle name="常规 19 3 3 3 12 2" xfId="20109"/>
    <cellStyle name="常规 19 3 3 3 12 3" xfId="20110"/>
    <cellStyle name="常规 19 3 3 3 12 4" xfId="20111"/>
    <cellStyle name="常规 19 3 3 3 12 5" xfId="20112"/>
    <cellStyle name="常规 19 3 3 3 12 6" xfId="14511"/>
    <cellStyle name="常规 19 3 3 3 12 7" xfId="14515"/>
    <cellStyle name="常规 19 3 3 3 13" xfId="13351"/>
    <cellStyle name="常规 19 3 3 3 14" xfId="13355"/>
    <cellStyle name="常规 19 3 3 3 15" xfId="18095"/>
    <cellStyle name="常规 19 3 3 3 16" xfId="18098"/>
    <cellStyle name="常规 19 3 3 3 17" xfId="18102"/>
    <cellStyle name="常规 19 3 3 3 18" xfId="18106"/>
    <cellStyle name="常规 19 3 3 3 19" xfId="18112"/>
    <cellStyle name="常规 19 3 3 3 2" xfId="20114"/>
    <cellStyle name="常规 19 3 3 3 2 10" xfId="20115"/>
    <cellStyle name="常规 19 3 3 3 2 10 2" xfId="16657"/>
    <cellStyle name="常规 19 3 3 3 2 10 3" xfId="16662"/>
    <cellStyle name="常规 19 3 3 3 2 10 4" xfId="16666"/>
    <cellStyle name="常规 19 3 3 3 2 10 5" xfId="16669"/>
    <cellStyle name="常规 19 3 3 3 2 10 6" xfId="16671"/>
    <cellStyle name="常规 19 3 3 3 2 10 7" xfId="20117"/>
    <cellStyle name="常规 19 3 3 3 2 11" xfId="20118"/>
    <cellStyle name="常规 19 3 3 3 2 12" xfId="20120"/>
    <cellStyle name="常规 19 3 3 3 2 13" xfId="20121"/>
    <cellStyle name="常规 19 3 3 3 2 14" xfId="20122"/>
    <cellStyle name="常规 19 3 3 3 2 15" xfId="20123"/>
    <cellStyle name="常规 19 3 3 3 2 16" xfId="20124"/>
    <cellStyle name="常规 19 3 3 3 2 17" xfId="20125"/>
    <cellStyle name="常规 19 3 3 3 2 2" xfId="1543"/>
    <cellStyle name="常规 19 3 3 3 2 2 2" xfId="1559"/>
    <cellStyle name="常规 19 3 3 3 2 2 3" xfId="1569"/>
    <cellStyle name="常规 19 3 3 3 2 2 4" xfId="6073"/>
    <cellStyle name="常规 19 3 3 3 2 2 5" xfId="9314"/>
    <cellStyle name="常规 19 3 3 3 2 2 6" xfId="9330"/>
    <cellStyle name="常规 19 3 3 3 2 2 7" xfId="2039"/>
    <cellStyle name="常规 19 3 3 3 2 2 8" xfId="2062"/>
    <cellStyle name="常规 19 3 3 3 2 3" xfId="1577"/>
    <cellStyle name="常规 19 3 3 3 2 3 2" xfId="4778"/>
    <cellStyle name="常规 19 3 3 3 2 3 3" xfId="4783"/>
    <cellStyle name="常规 19 3 3 3 2 3 4" xfId="11198"/>
    <cellStyle name="常规 19 3 3 3 2 3 5" xfId="9336"/>
    <cellStyle name="常规 19 3 3 3 2 3 6" xfId="9342"/>
    <cellStyle name="常规 19 3 3 3 2 3 7" xfId="2082"/>
    <cellStyle name="常规 19 3 3 3 2 3 8" xfId="2088"/>
    <cellStyle name="常规 19 3 3 3 2 4" xfId="4788"/>
    <cellStyle name="常规 19 3 3 3 2 4 2" xfId="11347"/>
    <cellStyle name="常规 19 3 3 3 2 4 3" xfId="11355"/>
    <cellStyle name="常规 19 3 3 3 2 4 4" xfId="11374"/>
    <cellStyle name="常规 19 3 3 3 2 4 5" xfId="11393"/>
    <cellStyle name="常规 19 3 3 3 2 4 6" xfId="10681"/>
    <cellStyle name="常规 19 3 3 3 2 4 7" xfId="10686"/>
    <cellStyle name="常规 19 3 3 3 2 4 8" xfId="20127"/>
    <cellStyle name="常规 19 3 3 3 2 5" xfId="5267"/>
    <cellStyle name="常规 19 3 3 3 2 5 2" xfId="11407"/>
    <cellStyle name="常规 19 3 3 3 2 5 3" xfId="11411"/>
    <cellStyle name="常规 19 3 3 3 2 5 4" xfId="11427"/>
    <cellStyle name="常规 19 3 3 3 2 5 5" xfId="11433"/>
    <cellStyle name="常规 19 3 3 3 2 5 6" xfId="10698"/>
    <cellStyle name="常规 19 3 3 3 2 5 7" xfId="20132"/>
    <cellStyle name="常规 19 3 3 3 2 5 8" xfId="20136"/>
    <cellStyle name="常规 19 3 3 3 2 6" xfId="20138"/>
    <cellStyle name="常规 19 3 3 3 2 6 2" xfId="11453"/>
    <cellStyle name="常规 19 3 3 3 2 6 3" xfId="11459"/>
    <cellStyle name="常规 19 3 3 3 2 6 4" xfId="15638"/>
    <cellStyle name="常规 19 3 3 3 2 6 5" xfId="15642"/>
    <cellStyle name="常规 19 3 3 3 2 6 6" xfId="10704"/>
    <cellStyle name="常规 19 3 3 3 2 6 7" xfId="20142"/>
    <cellStyle name="常规 19 3 3 3 2 6 8" xfId="20147"/>
    <cellStyle name="常规 19 3 3 3 2 7" xfId="20149"/>
    <cellStyle name="常规 19 3 3 3 2 7 2" xfId="11469"/>
    <cellStyle name="常规 19 3 3 3 2 7 3" xfId="11474"/>
    <cellStyle name="常规 19 3 3 3 2 7 4" xfId="15647"/>
    <cellStyle name="常规 19 3 3 3 2 7 5" xfId="15651"/>
    <cellStyle name="常规 19 3 3 3 2 7 6" xfId="15655"/>
    <cellStyle name="常规 19 3 3 3 2 7 7" xfId="20153"/>
    <cellStyle name="常规 19 3 3 3 2 7 8" xfId="2285"/>
    <cellStyle name="常规 19 3 3 3 2 8" xfId="20154"/>
    <cellStyle name="常规 19 3 3 3 2 8 2" xfId="11490"/>
    <cellStyle name="常规 19 3 3 3 2 8 3" xfId="11497"/>
    <cellStyle name="常规 19 3 3 3 2 8 4" xfId="15660"/>
    <cellStyle name="常规 19 3 3 3 2 8 5" xfId="15664"/>
    <cellStyle name="常规 19 3 3 3 2 8 6" xfId="15669"/>
    <cellStyle name="常规 19 3 3 3 2 8 7" xfId="20158"/>
    <cellStyle name="常规 19 3 3 3 2 8 8" xfId="20161"/>
    <cellStyle name="常规 19 3 3 3 2 9" xfId="20162"/>
    <cellStyle name="常规 19 3 3 3 2 9 2" xfId="15674"/>
    <cellStyle name="常规 19 3 3 3 2 9 3" xfId="15677"/>
    <cellStyle name="常规 19 3 3 3 2 9 4" xfId="15683"/>
    <cellStyle name="常规 19 3 3 3 2 9 5" xfId="15687"/>
    <cellStyle name="常规 19 3 3 3 2 9 6" xfId="15692"/>
    <cellStyle name="常规 19 3 3 3 2 9 7" xfId="20167"/>
    <cellStyle name="常规 19 3 3 3 2 9 8" xfId="20172"/>
    <cellStyle name="常规 19 3 3 3 3" xfId="20174"/>
    <cellStyle name="常规 19 3 3 3 3 2" xfId="103"/>
    <cellStyle name="常规 19 3 3 3 3 3" xfId="4920"/>
    <cellStyle name="常规 19 3 3 3 3 4" xfId="4926"/>
    <cellStyle name="常规 19 3 3 3 3 5" xfId="19171"/>
    <cellStyle name="常规 19 3 3 3 3 6" xfId="19173"/>
    <cellStyle name="常规 19 3 3 3 3 7" xfId="19175"/>
    <cellStyle name="常规 19 3 3 3 3 8" xfId="19179"/>
    <cellStyle name="常规 19 3 3 3 4" xfId="20176"/>
    <cellStyle name="常规 19 3 3 3 4 2" xfId="1615"/>
    <cellStyle name="常规 19 3 3 3 4 3" xfId="1333"/>
    <cellStyle name="常规 19 3 3 3 4 4" xfId="5160"/>
    <cellStyle name="常规 19 3 3 3 4 5" xfId="19188"/>
    <cellStyle name="常规 19 3 3 3 4 6" xfId="19190"/>
    <cellStyle name="常规 19 3 3 3 4 7" xfId="19193"/>
    <cellStyle name="常规 19 3 3 3 4 8" xfId="19196"/>
    <cellStyle name="常规 19 3 3 3 5" xfId="20178"/>
    <cellStyle name="常规 19 3 3 3 5 2" xfId="3055"/>
    <cellStyle name="常规 19 3 3 3 5 3" xfId="20180"/>
    <cellStyle name="常规 19 3 3 3 5 4" xfId="20181"/>
    <cellStyle name="常规 19 3 3 3 5 5" xfId="19204"/>
    <cellStyle name="常规 19 3 3 3 5 6" xfId="19206"/>
    <cellStyle name="常规 19 3 3 3 5 7" xfId="19209"/>
    <cellStyle name="常规 19 3 3 3 5 8" xfId="19213"/>
    <cellStyle name="常规 19 3 3 3 6" xfId="20184"/>
    <cellStyle name="常规 19 3 3 3 6 2" xfId="20186"/>
    <cellStyle name="常规 19 3 3 3 6 3" xfId="20188"/>
    <cellStyle name="常规 19 3 3 3 6 4" xfId="20189"/>
    <cellStyle name="常规 19 3 3 3 6 5" xfId="19226"/>
    <cellStyle name="常规 19 3 3 3 6 6" xfId="19228"/>
    <cellStyle name="常规 19 3 3 3 6 7" xfId="19231"/>
    <cellStyle name="常规 19 3 3 3 6 8" xfId="2618"/>
    <cellStyle name="常规 19 3 3 3 7" xfId="20194"/>
    <cellStyle name="常规 19 3 3 3 7 2" xfId="20198"/>
    <cellStyle name="常规 19 3 3 3 7 3" xfId="20201"/>
    <cellStyle name="常规 19 3 3 3 7 4" xfId="20202"/>
    <cellStyle name="常规 19 3 3 3 7 5" xfId="19235"/>
    <cellStyle name="常规 19 3 3 3 7 6" xfId="19237"/>
    <cellStyle name="常规 19 3 3 3 7 7" xfId="19239"/>
    <cellStyle name="常规 19 3 3 3 7 8" xfId="8409"/>
    <cellStyle name="常规 19 3 3 3 8" xfId="20205"/>
    <cellStyle name="常规 19 3 3 3 8 2" xfId="20206"/>
    <cellStyle name="常规 19 3 3 3 8 3" xfId="6640"/>
    <cellStyle name="常规 19 3 3 3 8 4" xfId="6696"/>
    <cellStyle name="常规 19 3 3 3 8 5" xfId="19241"/>
    <cellStyle name="常规 19 3 3 3 8 6" xfId="19243"/>
    <cellStyle name="常规 19 3 3 3 8 7" xfId="19246"/>
    <cellStyle name="常规 19 3 3 3 8 8" xfId="8415"/>
    <cellStyle name="常规 19 3 3 3 9" xfId="20208"/>
    <cellStyle name="常规 19 3 3 3 9 2" xfId="20209"/>
    <cellStyle name="常规 19 3 3 3 9 3" xfId="1823"/>
    <cellStyle name="常规 19 3 3 3 9 4" xfId="6758"/>
    <cellStyle name="常规 19 3 3 3 9 5" xfId="19168"/>
    <cellStyle name="常规 19 3 3 3 9 6" xfId="19185"/>
    <cellStyle name="常规 19 3 3 3 9 7" xfId="19201"/>
    <cellStyle name="常规 19 3 3 3 9 8" xfId="19223"/>
    <cellStyle name="常规 19 3 3 4" xfId="20211"/>
    <cellStyle name="常规 19 3 3 4 10" xfId="6225"/>
    <cellStyle name="常规 19 3 3 4 10 2" xfId="17179"/>
    <cellStyle name="常规 19 3 3 4 10 3" xfId="20212"/>
    <cellStyle name="常规 19 3 3 4 10 4" xfId="20213"/>
    <cellStyle name="常规 19 3 3 4 10 5" xfId="15840"/>
    <cellStyle name="常规 19 3 3 4 10 6" xfId="15847"/>
    <cellStyle name="常规 19 3 3 4 10 7" xfId="15850"/>
    <cellStyle name="常规 19 3 3 4 10 8" xfId="15855"/>
    <cellStyle name="常规 19 3 3 4 11" xfId="6231"/>
    <cellStyle name="常规 19 3 3 4 11 2" xfId="17191"/>
    <cellStyle name="常规 19 3 3 4 11 3" xfId="20215"/>
    <cellStyle name="常规 19 3 3 4 11 4" xfId="20217"/>
    <cellStyle name="常规 19 3 3 4 11 5" xfId="15889"/>
    <cellStyle name="常规 19 3 3 4 11 6" xfId="15895"/>
    <cellStyle name="常规 19 3 3 4 11 7" xfId="15901"/>
    <cellStyle name="常规 19 3 3 4 11 8" xfId="15904"/>
    <cellStyle name="常规 19 3 3 4 12" xfId="6860"/>
    <cellStyle name="常规 19 3 3 4 12 2" xfId="17220"/>
    <cellStyle name="常规 19 3 3 4 12 3" xfId="19744"/>
    <cellStyle name="常规 19 3 3 4 12 4" xfId="19747"/>
    <cellStyle name="常规 19 3 3 4 12 5" xfId="15910"/>
    <cellStyle name="常规 19 3 3 4 12 6" xfId="15914"/>
    <cellStyle name="常规 19 3 3 4 12 7" xfId="15917"/>
    <cellStyle name="常规 19 3 3 4 13" xfId="6866"/>
    <cellStyle name="常规 19 3 3 4 14" xfId="6193"/>
    <cellStyle name="常规 19 3 3 4 15" xfId="6217"/>
    <cellStyle name="常规 19 3 3 4 16" xfId="20220"/>
    <cellStyle name="常规 19 3 3 4 17" xfId="20224"/>
    <cellStyle name="常规 19 3 3 4 18" xfId="20227"/>
    <cellStyle name="常规 19 3 3 4 19" xfId="20229"/>
    <cellStyle name="常规 19 3 3 4 2" xfId="20231"/>
    <cellStyle name="常规 19 3 3 4 2 10" xfId="20233"/>
    <cellStyle name="常规 19 3 3 4 2 10 2" xfId="20234"/>
    <cellStyle name="常规 19 3 3 4 2 10 3" xfId="20235"/>
    <cellStyle name="常规 19 3 3 4 2 10 4" xfId="20236"/>
    <cellStyle name="常规 19 3 3 4 2 10 5" xfId="20238"/>
    <cellStyle name="常规 19 3 3 4 2 10 6" xfId="20240"/>
    <cellStyle name="常规 19 3 3 4 2 10 7" xfId="20243"/>
    <cellStyle name="常规 19 3 3 4 2 11" xfId="20244"/>
    <cellStyle name="常规 19 3 3 4 2 12" xfId="20245"/>
    <cellStyle name="常规 19 3 3 4 2 13" xfId="1087"/>
    <cellStyle name="常规 19 3 3 4 2 14" xfId="2884"/>
    <cellStyle name="常规 19 3 3 4 2 15" xfId="2042"/>
    <cellStyle name="常规 19 3 3 4 2 16" xfId="20247"/>
    <cellStyle name="常规 19 3 3 4 2 17" xfId="20249"/>
    <cellStyle name="常规 19 3 3 4 2 2" xfId="17591"/>
    <cellStyle name="常规 19 3 3 4 2 2 2" xfId="15844"/>
    <cellStyle name="常规 19 3 3 4 2 2 3" xfId="9053"/>
    <cellStyle name="常规 19 3 3 4 2 2 4" xfId="9060"/>
    <cellStyle name="常规 19 3 3 4 2 2 5" xfId="439"/>
    <cellStyle name="常规 19 3 3 4 2 2 6" xfId="362"/>
    <cellStyle name="常规 19 3 3 4 2 2 7" xfId="287"/>
    <cellStyle name="常规 19 3 3 4 2 2 8" xfId="2416"/>
    <cellStyle name="常规 19 3 3 4 2 3" xfId="17594"/>
    <cellStyle name="常规 19 3 3 4 2 3 2" xfId="855"/>
    <cellStyle name="常规 19 3 3 4 2 3 3" xfId="895"/>
    <cellStyle name="常规 19 3 3 4 2 3 4" xfId="910"/>
    <cellStyle name="常规 19 3 3 4 2 3 5" xfId="595"/>
    <cellStyle name="常规 19 3 3 4 2 3 6" xfId="602"/>
    <cellStyle name="常规 19 3 3 4 2 3 7" xfId="2433"/>
    <cellStyle name="常规 19 3 3 4 2 3 8" xfId="2444"/>
    <cellStyle name="常规 19 3 3 4 2 4" xfId="17596"/>
    <cellStyle name="常规 19 3 3 4 2 4 2" xfId="1251"/>
    <cellStyle name="常规 19 3 3 4 2 4 3" xfId="1269"/>
    <cellStyle name="常规 19 3 3 4 2 4 4" xfId="522"/>
    <cellStyle name="常规 19 3 3 4 2 4 5" xfId="15853"/>
    <cellStyle name="常规 19 3 3 4 2 4 6" xfId="10807"/>
    <cellStyle name="常规 19 3 3 4 2 4 7" xfId="20250"/>
    <cellStyle name="常规 19 3 3 4 2 4 8" xfId="20251"/>
    <cellStyle name="常规 19 3 3 4 2 5" xfId="17598"/>
    <cellStyle name="常规 19 3 3 4 2 5 2" xfId="1582"/>
    <cellStyle name="常规 19 3 3 4 2 5 3" xfId="1607"/>
    <cellStyle name="常规 19 3 3 4 2 5 4" xfId="1620"/>
    <cellStyle name="常规 19 3 3 4 2 5 5" xfId="15857"/>
    <cellStyle name="常规 19 3 3 4 2 5 6" xfId="10817"/>
    <cellStyle name="常规 19 3 3 4 2 5 7" xfId="20253"/>
    <cellStyle name="常规 19 3 3 4 2 5 8" xfId="20255"/>
    <cellStyle name="常规 19 3 3 4 2 6" xfId="5912"/>
    <cellStyle name="常规 19 3 3 4 2 6 2" xfId="1777"/>
    <cellStyle name="常规 19 3 3 4 2 6 3" xfId="15860"/>
    <cellStyle name="常规 19 3 3 4 2 6 4" xfId="15862"/>
    <cellStyle name="常规 19 3 3 4 2 6 5" xfId="15864"/>
    <cellStyle name="常规 19 3 3 4 2 6 6" xfId="15867"/>
    <cellStyle name="常规 19 3 3 4 2 6 7" xfId="20259"/>
    <cellStyle name="常规 19 3 3 4 2 6 8" xfId="20261"/>
    <cellStyle name="常规 19 3 3 4 2 7" xfId="6884"/>
    <cellStyle name="常规 19 3 3 4 2 7 2" xfId="15870"/>
    <cellStyle name="常规 19 3 3 4 2 7 3" xfId="15872"/>
    <cellStyle name="常规 19 3 3 4 2 7 4" xfId="15874"/>
    <cellStyle name="常规 19 3 3 4 2 7 5" xfId="15876"/>
    <cellStyle name="常规 19 3 3 4 2 7 6" xfId="15879"/>
    <cellStyle name="常规 19 3 3 4 2 7 7" xfId="20265"/>
    <cellStyle name="常规 19 3 3 4 2 7 8" xfId="20267"/>
    <cellStyle name="常规 19 3 3 4 2 8" xfId="7209"/>
    <cellStyle name="常规 19 3 3 4 2 8 2" xfId="7426"/>
    <cellStyle name="常规 19 3 3 4 2 8 3" xfId="6087"/>
    <cellStyle name="常规 19 3 3 4 2 8 4" xfId="6097"/>
    <cellStyle name="常规 19 3 3 4 2 8 5" xfId="7453"/>
    <cellStyle name="常规 19 3 3 4 2 8 6" xfId="15881"/>
    <cellStyle name="常规 19 3 3 4 2 8 7" xfId="20269"/>
    <cellStyle name="常规 19 3 3 4 2 8 8" xfId="20270"/>
    <cellStyle name="常规 19 3 3 4 2 9" xfId="7463"/>
    <cellStyle name="常规 19 3 3 4 2 9 2" xfId="3808"/>
    <cellStyle name="常规 19 3 3 4 2 9 3" xfId="1502"/>
    <cellStyle name="常规 19 3 3 4 2 9 4" xfId="1518"/>
    <cellStyle name="常规 19 3 3 4 2 9 5" xfId="15883"/>
    <cellStyle name="常规 19 3 3 4 2 9 6" xfId="15886"/>
    <cellStyle name="常规 19 3 3 4 2 9 7" xfId="9550"/>
    <cellStyle name="常规 19 3 3 4 2 9 8" xfId="9562"/>
    <cellStyle name="常规 19 3 3 4 3" xfId="20272"/>
    <cellStyle name="常规 19 3 3 4 3 2" xfId="20273"/>
    <cellStyle name="常规 19 3 3 4 3 3" xfId="20274"/>
    <cellStyle name="常规 19 3 3 4 3 4" xfId="20275"/>
    <cellStyle name="常规 19 3 3 4 3 5" xfId="20276"/>
    <cellStyle name="常规 19 3 3 4 3 6" xfId="20278"/>
    <cellStyle name="常规 19 3 3 4 3 7" xfId="20281"/>
    <cellStyle name="常规 19 3 3 4 3 8" xfId="7526"/>
    <cellStyle name="常规 19 3 3 4 4" xfId="10015"/>
    <cellStyle name="常规 19 3 3 4 4 2" xfId="10022"/>
    <cellStyle name="常规 19 3 3 4 4 3" xfId="10027"/>
    <cellStyle name="常规 19 3 3 4 4 4" xfId="20282"/>
    <cellStyle name="常规 19 3 3 4 4 5" xfId="20283"/>
    <cellStyle name="常规 19 3 3 4 4 6" xfId="7280"/>
    <cellStyle name="常规 19 3 3 4 4 7" xfId="7283"/>
    <cellStyle name="常规 19 3 3 4 4 8" xfId="7697"/>
    <cellStyle name="常规 19 3 3 4 5" xfId="10034"/>
    <cellStyle name="常规 19 3 3 4 5 2" xfId="20285"/>
    <cellStyle name="常规 19 3 3 4 5 3" xfId="20287"/>
    <cellStyle name="常规 19 3 3 4 5 4" xfId="20288"/>
    <cellStyle name="常规 19 3 3 4 5 5" xfId="20289"/>
    <cellStyle name="常规 19 3 3 4 5 6" xfId="20291"/>
    <cellStyle name="常规 19 3 3 4 5 7" xfId="20294"/>
    <cellStyle name="常规 19 3 3 4 5 8" xfId="20297"/>
    <cellStyle name="常规 19 3 3 4 6" xfId="20300"/>
    <cellStyle name="常规 19 3 3 4 6 2" xfId="20301"/>
    <cellStyle name="常规 19 3 3 4 6 3" xfId="20302"/>
    <cellStyle name="常规 19 3 3 4 6 4" xfId="20303"/>
    <cellStyle name="常规 19 3 3 4 6 5" xfId="20304"/>
    <cellStyle name="常规 19 3 3 4 6 6" xfId="20306"/>
    <cellStyle name="常规 19 3 3 4 6 7" xfId="20308"/>
    <cellStyle name="常规 19 3 3 4 6 8" xfId="3263"/>
    <cellStyle name="常规 19 3 3 4 7" xfId="20310"/>
    <cellStyle name="常规 19 3 3 4 7 2" xfId="20311"/>
    <cellStyle name="常规 19 3 3 4 7 3" xfId="20312"/>
    <cellStyle name="常规 19 3 3 4 7 4" xfId="20313"/>
    <cellStyle name="常规 19 3 3 4 7 5" xfId="20314"/>
    <cellStyle name="常规 19 3 3 4 7 6" xfId="20316"/>
    <cellStyle name="常规 19 3 3 4 7 7" xfId="20318"/>
    <cellStyle name="常规 19 3 3 4 7 8" xfId="3925"/>
    <cellStyle name="常规 19 3 3 4 8" xfId="20321"/>
    <cellStyle name="常规 19 3 3 4 8 2" xfId="20322"/>
    <cellStyle name="常规 19 3 3 4 8 3" xfId="6812"/>
    <cellStyle name="常规 19 3 3 4 8 4" xfId="6837"/>
    <cellStyle name="常规 19 3 3 4 8 5" xfId="20324"/>
    <cellStyle name="常规 19 3 3 4 8 6" xfId="20326"/>
    <cellStyle name="常规 19 3 3 4 8 7" xfId="20328"/>
    <cellStyle name="常规 19 3 3 4 8 8" xfId="3196"/>
    <cellStyle name="常规 19 3 3 4 9" xfId="20330"/>
    <cellStyle name="常规 19 3 3 4 9 2" xfId="20331"/>
    <cellStyle name="常规 19 3 3 4 9 3" xfId="20332"/>
    <cellStyle name="常规 19 3 3 4 9 4" xfId="20333"/>
    <cellStyle name="常规 19 3 3 4 9 5" xfId="19289"/>
    <cellStyle name="常规 19 3 3 4 9 6" xfId="19291"/>
    <cellStyle name="常规 19 3 3 4 9 7" xfId="19293"/>
    <cellStyle name="常规 19 3 3 4 9 8" xfId="4307"/>
    <cellStyle name="常规 19 3 3 5" xfId="20335"/>
    <cellStyle name="常规 19 3 3 5 10" xfId="17551"/>
    <cellStyle name="常规 19 3 3 5 10 2" xfId="13124"/>
    <cellStyle name="常规 19 3 3 5 10 3" xfId="13129"/>
    <cellStyle name="常规 19 3 3 5 10 4" xfId="13133"/>
    <cellStyle name="常规 19 3 3 5 10 5" xfId="13136"/>
    <cellStyle name="常规 19 3 3 5 10 6" xfId="13140"/>
    <cellStyle name="常规 19 3 3 5 10 7" xfId="20337"/>
    <cellStyle name="常规 19 3 3 5 11" xfId="20339"/>
    <cellStyle name="常规 19 3 3 5 12" xfId="20340"/>
    <cellStyle name="常规 19 3 3 5 13" xfId="4254"/>
    <cellStyle name="常规 19 3 3 5 14" xfId="20343"/>
    <cellStyle name="常规 19 3 3 5 15" xfId="20345"/>
    <cellStyle name="常规 19 3 3 5 16" xfId="20347"/>
    <cellStyle name="常规 19 3 3 5 17" xfId="20348"/>
    <cellStyle name="常规 19 3 3 5 2" xfId="9707"/>
    <cellStyle name="常规 19 3 3 5 2 2" xfId="12830"/>
    <cellStyle name="常规 19 3 3 5 2 3" xfId="12833"/>
    <cellStyle name="常规 19 3 3 5 2 4" xfId="12836"/>
    <cellStyle name="常规 19 3 3 5 2 5" xfId="12840"/>
    <cellStyle name="常规 19 3 3 5 2 6" xfId="12843"/>
    <cellStyle name="常规 19 3 3 5 2 7" xfId="12845"/>
    <cellStyle name="常规 19 3 3 5 2 8" xfId="20349"/>
    <cellStyle name="常规 19 3 3 5 3" xfId="20350"/>
    <cellStyle name="常规 19 3 3 5 3 2" xfId="5324"/>
    <cellStyle name="常规 19 3 3 5 3 3" xfId="5338"/>
    <cellStyle name="常规 19 3 3 5 3 4" xfId="12851"/>
    <cellStyle name="常规 19 3 3 5 3 5" xfId="12853"/>
    <cellStyle name="常规 19 3 3 5 3 6" xfId="12856"/>
    <cellStyle name="常规 19 3 3 5 3 7" xfId="12859"/>
    <cellStyle name="常规 19 3 3 5 3 8" xfId="20352"/>
    <cellStyle name="常规 19 3 3 5 4" xfId="5347"/>
    <cellStyle name="常规 19 3 3 5 4 2" xfId="12866"/>
    <cellStyle name="常规 19 3 3 5 4 3" xfId="12869"/>
    <cellStyle name="常规 19 3 3 5 4 4" xfId="12871"/>
    <cellStyle name="常规 19 3 3 5 4 5" xfId="12873"/>
    <cellStyle name="常规 19 3 3 5 4 6" xfId="12876"/>
    <cellStyle name="常规 19 3 3 5 4 7" xfId="10264"/>
    <cellStyle name="常规 19 3 3 5 4 8" xfId="20354"/>
    <cellStyle name="常规 19 3 3 5 5" xfId="5361"/>
    <cellStyle name="常规 19 3 3 5 5 2" xfId="12882"/>
    <cellStyle name="常规 19 3 3 5 5 3" xfId="12885"/>
    <cellStyle name="常规 19 3 3 5 5 4" xfId="12887"/>
    <cellStyle name="常规 19 3 3 5 5 5" xfId="12889"/>
    <cellStyle name="常规 19 3 3 5 5 6" xfId="12892"/>
    <cellStyle name="常规 19 3 3 5 5 7" xfId="12895"/>
    <cellStyle name="常规 19 3 3 5 5 8" xfId="20356"/>
    <cellStyle name="常规 19 3 3 5 6" xfId="20358"/>
    <cellStyle name="常规 19 3 3 5 6 2" xfId="12901"/>
    <cellStyle name="常规 19 3 3 5 6 3" xfId="12903"/>
    <cellStyle name="常规 19 3 3 5 6 4" xfId="12905"/>
    <cellStyle name="常规 19 3 3 5 6 5" xfId="12907"/>
    <cellStyle name="常规 19 3 3 5 6 6" xfId="12910"/>
    <cellStyle name="常规 19 3 3 5 6 7" xfId="12913"/>
    <cellStyle name="常规 19 3 3 5 6 8" xfId="4300"/>
    <cellStyle name="常规 19 3 3 5 7" xfId="20359"/>
    <cellStyle name="常规 19 3 3 5 7 2" xfId="20360"/>
    <cellStyle name="常规 19 3 3 5 7 3" xfId="20361"/>
    <cellStyle name="常规 19 3 3 5 7 4" xfId="20362"/>
    <cellStyle name="常规 19 3 3 5 7 5" xfId="20363"/>
    <cellStyle name="常规 19 3 3 5 7 6" xfId="20366"/>
    <cellStyle name="常规 19 3 3 5 7 7" xfId="20369"/>
    <cellStyle name="常规 19 3 3 5 7 8" xfId="8432"/>
    <cellStyle name="常规 19 3 3 5 8" xfId="20371"/>
    <cellStyle name="常规 19 3 3 5 8 2" xfId="20373"/>
    <cellStyle name="常规 19 3 3 5 8 3" xfId="20375"/>
    <cellStyle name="常规 19 3 3 5 8 4" xfId="20376"/>
    <cellStyle name="常规 19 3 3 5 8 5" xfId="20377"/>
    <cellStyle name="常规 19 3 3 5 8 6" xfId="20380"/>
    <cellStyle name="常规 19 3 3 5 8 7" xfId="20383"/>
    <cellStyle name="常规 19 3 3 5 8 8" xfId="20385"/>
    <cellStyle name="常规 19 3 3 5 9" xfId="20387"/>
    <cellStyle name="常规 19 3 3 5 9 2" xfId="20388"/>
    <cellStyle name="常规 19 3 3 5 9 3" xfId="20389"/>
    <cellStyle name="常规 19 3 3 5 9 4" xfId="20390"/>
    <cellStyle name="常规 19 3 3 5 9 5" xfId="20391"/>
    <cellStyle name="常规 19 3 3 5 9 6" xfId="20393"/>
    <cellStyle name="常规 19 3 3 5 9 7" xfId="20395"/>
    <cellStyle name="常规 19 3 3 5 9 8" xfId="20396"/>
    <cellStyle name="常规 19 3 3 6" xfId="20397"/>
    <cellStyle name="常规 19 3 3 6 2" xfId="9714"/>
    <cellStyle name="常规 19 3 3 6 3" xfId="5378"/>
    <cellStyle name="常规 19 3 3 6 4" xfId="5403"/>
    <cellStyle name="常规 19 3 3 6 5" xfId="5413"/>
    <cellStyle name="常规 19 3 3 6 6" xfId="20398"/>
    <cellStyle name="常规 19 3 3 6 7" xfId="20399"/>
    <cellStyle name="常规 19 3 3 6 8" xfId="20400"/>
    <cellStyle name="常规 19 3 3 7" xfId="20401"/>
    <cellStyle name="常规 19 3 3 7 2" xfId="20402"/>
    <cellStyle name="常规 19 3 3 7 3" xfId="20403"/>
    <cellStyle name="常规 19 3 3 7 4" xfId="20405"/>
    <cellStyle name="常规 19 3 3 7 5" xfId="20407"/>
    <cellStyle name="常规 19 3 3 7 6" xfId="20408"/>
    <cellStyle name="常规 19 3 3 7 7" xfId="20409"/>
    <cellStyle name="常规 19 3 3 7 8" xfId="20410"/>
    <cellStyle name="常规 19 3 3 8" xfId="20412"/>
    <cellStyle name="常规 19 3 3 8 2" xfId="20414"/>
    <cellStyle name="常规 19 3 3 8 3" xfId="9678"/>
    <cellStyle name="常规 19 3 3 8 4" xfId="9698"/>
    <cellStyle name="常规 19 3 3 8 5" xfId="9712"/>
    <cellStyle name="常规 19 3 3 8 6" xfId="9722"/>
    <cellStyle name="常规 19 3 3 8 7" xfId="20415"/>
    <cellStyle name="常规 19 3 3 8 8" xfId="20416"/>
    <cellStyle name="常规 19 3 3 9" xfId="1686"/>
    <cellStyle name="常规 19 3 3 9 2" xfId="1973"/>
    <cellStyle name="常规 19 3 3 9 3" xfId="2019"/>
    <cellStyle name="常规 19 3 3 9 4" xfId="2075"/>
    <cellStyle name="常规 19 3 3 9 5" xfId="1045"/>
    <cellStyle name="常规 19 3 3 9 6" xfId="20417"/>
    <cellStyle name="常规 19 3 3 9 7" xfId="20418"/>
    <cellStyle name="常规 19 3 3 9 8" xfId="20419"/>
    <cellStyle name="常规 19 3 4" xfId="12453"/>
    <cellStyle name="常规 19 3 4 10" xfId="20421"/>
    <cellStyle name="常规 19 3 4 10 2" xfId="20423"/>
    <cellStyle name="常规 19 3 4 10 3" xfId="20425"/>
    <cellStyle name="常规 19 3 4 10 4" xfId="20427"/>
    <cellStyle name="常规 19 3 4 10 5" xfId="20429"/>
    <cellStyle name="常规 19 3 4 10 6" xfId="20431"/>
    <cellStyle name="常规 19 3 4 10 7" xfId="10367"/>
    <cellStyle name="常规 19 3 4 10 8" xfId="10369"/>
    <cellStyle name="常规 19 3 4 11" xfId="20433"/>
    <cellStyle name="常规 19 3 4 11 2" xfId="15561"/>
    <cellStyle name="常规 19 3 4 11 3" xfId="20436"/>
    <cellStyle name="常规 19 3 4 11 4" xfId="20438"/>
    <cellStyle name="常规 19 3 4 11 5" xfId="20440"/>
    <cellStyle name="常规 19 3 4 11 6" xfId="20443"/>
    <cellStyle name="常规 19 3 4 11 7" xfId="20446"/>
    <cellStyle name="常规 19 3 4 11 8" xfId="20448"/>
    <cellStyle name="常规 19 3 4 12" xfId="20449"/>
    <cellStyle name="常规 19 3 4 12 2" xfId="20451"/>
    <cellStyle name="常规 19 3 4 12 3" xfId="20453"/>
    <cellStyle name="常规 19 3 4 12 4" xfId="20455"/>
    <cellStyle name="常规 19 3 4 12 5" xfId="20457"/>
    <cellStyle name="常规 19 3 4 12 6" xfId="20460"/>
    <cellStyle name="常规 19 3 4 12 7" xfId="20462"/>
    <cellStyle name="常规 19 3 4 12 8" xfId="20464"/>
    <cellStyle name="常规 19 3 4 13" xfId="20465"/>
    <cellStyle name="常规 19 3 4 13 2" xfId="20466"/>
    <cellStyle name="常规 19 3 4 13 3" xfId="20467"/>
    <cellStyle name="常规 19 3 4 13 4" xfId="20468"/>
    <cellStyle name="常规 19 3 4 13 5" xfId="20469"/>
    <cellStyle name="常规 19 3 4 13 6" xfId="20470"/>
    <cellStyle name="常规 19 3 4 13 7" xfId="20471"/>
    <cellStyle name="常规 19 3 4 13 8" xfId="20473"/>
    <cellStyle name="常规 19 3 4 14" xfId="20474"/>
    <cellStyle name="常规 19 3 4 14 2" xfId="20476"/>
    <cellStyle name="常规 19 3 4 14 3" xfId="20478"/>
    <cellStyle name="常规 19 3 4 14 4" xfId="20480"/>
    <cellStyle name="常规 19 3 4 14 5" xfId="20483"/>
    <cellStyle name="常规 19 3 4 14 6" xfId="20485"/>
    <cellStyle name="常规 19 3 4 14 7" xfId="20487"/>
    <cellStyle name="常规 19 3 4 14 8" xfId="20488"/>
    <cellStyle name="常规 19 3 4 15" xfId="20489"/>
    <cellStyle name="常规 19 3 4 15 2" xfId="20491"/>
    <cellStyle name="常规 19 3 4 15 3" xfId="20492"/>
    <cellStyle name="常规 19 3 4 15 4" xfId="20493"/>
    <cellStyle name="常规 19 3 4 15 5" xfId="20494"/>
    <cellStyle name="常规 19 3 4 15 6" xfId="20495"/>
    <cellStyle name="常规 19 3 4 15 7" xfId="20496"/>
    <cellStyle name="常规 19 3 4 16" xfId="20497"/>
    <cellStyle name="常规 19 3 4 17" xfId="20499"/>
    <cellStyle name="常规 19 3 4 18" xfId="20501"/>
    <cellStyle name="常规 19 3 4 19" xfId="20502"/>
    <cellStyle name="常规 19 3 4 2" xfId="12456"/>
    <cellStyle name="常规 19 3 4 2 10" xfId="3080"/>
    <cellStyle name="常规 19 3 4 2 10 2" xfId="3087"/>
    <cellStyle name="常规 19 3 4 2 10 3" xfId="3134"/>
    <cellStyle name="常规 19 3 4 2 10 4" xfId="1680"/>
    <cellStyle name="常规 19 3 4 2 10 5" xfId="1702"/>
    <cellStyle name="常规 19 3 4 2 10 6" xfId="7144"/>
    <cellStyle name="常规 19 3 4 2 10 7" xfId="7147"/>
    <cellStyle name="常规 19 3 4 2 10 8" xfId="7628"/>
    <cellStyle name="常规 19 3 4 2 11" xfId="20503"/>
    <cellStyle name="常规 19 3 4 2 11 2" xfId="20505"/>
    <cellStyle name="常规 19 3 4 2 11 3" xfId="3169"/>
    <cellStyle name="常规 19 3 4 2 11 4" xfId="520"/>
    <cellStyle name="常规 19 3 4 2 11 5" xfId="20506"/>
    <cellStyle name="常规 19 3 4 2 11 6" xfId="7156"/>
    <cellStyle name="常规 19 3 4 2 11 7" xfId="7158"/>
    <cellStyle name="常规 19 3 4 2 11 8" xfId="7635"/>
    <cellStyle name="常规 19 3 4 2 12" xfId="20507"/>
    <cellStyle name="常规 19 3 4 2 12 2" xfId="20508"/>
    <cellStyle name="常规 19 3 4 2 12 3" xfId="20509"/>
    <cellStyle name="常规 19 3 4 2 12 4" xfId="169"/>
    <cellStyle name="常规 19 3 4 2 12 5" xfId="20510"/>
    <cellStyle name="常规 19 3 4 2 12 6" xfId="20511"/>
    <cellStyle name="常规 19 3 4 2 12 7" xfId="20512"/>
    <cellStyle name="常规 19 3 4 2 12 8" xfId="20513"/>
    <cellStyle name="常规 19 3 4 2 13" xfId="20514"/>
    <cellStyle name="常规 19 3 4 2 13 2" xfId="20515"/>
    <cellStyle name="常规 19 3 4 2 13 3" xfId="20516"/>
    <cellStyle name="常规 19 3 4 2 13 4" xfId="20517"/>
    <cellStyle name="常规 19 3 4 2 13 5" xfId="20518"/>
    <cellStyle name="常规 19 3 4 2 13 6" xfId="10157"/>
    <cellStyle name="常规 19 3 4 2 13 7" xfId="10161"/>
    <cellStyle name="常规 19 3 4 2 14" xfId="1397"/>
    <cellStyle name="常规 19 3 4 2 15" xfId="927"/>
    <cellStyle name="常规 19 3 4 2 16" xfId="20519"/>
    <cellStyle name="常规 19 3 4 2 17" xfId="20520"/>
    <cellStyle name="常规 19 3 4 2 18" xfId="4729"/>
    <cellStyle name="常规 19 3 4 2 19" xfId="4739"/>
    <cellStyle name="常规 19 3 4 2 2" xfId="10331"/>
    <cellStyle name="常规 19 3 4 2 2 10" xfId="16850"/>
    <cellStyle name="常规 19 3 4 2 2 10 2" xfId="20521"/>
    <cellStyle name="常规 19 3 4 2 2 10 3" xfId="19100"/>
    <cellStyle name="常规 19 3 4 2 2 10 4" xfId="19102"/>
    <cellStyle name="常规 19 3 4 2 2 10 5" xfId="19104"/>
    <cellStyle name="常规 19 3 4 2 2 10 6" xfId="42"/>
    <cellStyle name="常规 19 3 4 2 2 10 7" xfId="447"/>
    <cellStyle name="常规 19 3 4 2 2 10 8" xfId="366"/>
    <cellStyle name="常规 19 3 4 2 2 11" xfId="16852"/>
    <cellStyle name="常规 19 3 4 2 2 11 2" xfId="20522"/>
    <cellStyle name="常规 19 3 4 2 2 11 3" xfId="20523"/>
    <cellStyle name="常规 19 3 4 2 2 11 4" xfId="20524"/>
    <cellStyle name="常规 19 3 4 2 2 11 5" xfId="20525"/>
    <cellStyle name="常规 19 3 4 2 2 11 6" xfId="20526"/>
    <cellStyle name="常规 19 3 4 2 2 11 7" xfId="11358"/>
    <cellStyle name="常规 19 3 4 2 2 11 8" xfId="11366"/>
    <cellStyle name="常规 19 3 4 2 2 12" xfId="16857"/>
    <cellStyle name="常规 19 3 4 2 2 12 2" xfId="20528"/>
    <cellStyle name="常规 19 3 4 2 2 12 3" xfId="20530"/>
    <cellStyle name="常规 19 3 4 2 2 12 4" xfId="20533"/>
    <cellStyle name="常规 19 3 4 2 2 12 5" xfId="20535"/>
    <cellStyle name="常规 19 3 4 2 2 12 6" xfId="20537"/>
    <cellStyle name="常规 19 3 4 2 2 12 7" xfId="11376"/>
    <cellStyle name="常规 19 3 4 2 2 13" xfId="16861"/>
    <cellStyle name="常规 19 3 4 2 2 14" xfId="16865"/>
    <cellStyle name="常规 19 3 4 2 2 15" xfId="16869"/>
    <cellStyle name="常规 19 3 4 2 2 16" xfId="16873"/>
    <cellStyle name="常规 19 3 4 2 2 17" xfId="9282"/>
    <cellStyle name="常规 19 3 4 2 2 18" xfId="9287"/>
    <cellStyle name="常规 19 3 4 2 2 19" xfId="20538"/>
    <cellStyle name="常规 19 3 4 2 2 2" xfId="20539"/>
    <cellStyle name="常规 19 3 4 2 2 2 10" xfId="20541"/>
    <cellStyle name="常规 19 3 4 2 2 2 10 2" xfId="20543"/>
    <cellStyle name="常规 19 3 4 2 2 2 10 3" xfId="20545"/>
    <cellStyle name="常规 19 3 4 2 2 2 10 4" xfId="20547"/>
    <cellStyle name="常规 19 3 4 2 2 2 10 5" xfId="20549"/>
    <cellStyle name="常规 19 3 4 2 2 2 10 6" xfId="20551"/>
    <cellStyle name="常规 19 3 4 2 2 2 10 7" xfId="20554"/>
    <cellStyle name="常规 19 3 4 2 2 2 11" xfId="20555"/>
    <cellStyle name="常规 19 3 4 2 2 2 12" xfId="20557"/>
    <cellStyle name="常规 19 3 4 2 2 2 13" xfId="12298"/>
    <cellStyle name="常规 19 3 4 2 2 2 14" xfId="12301"/>
    <cellStyle name="常规 19 3 4 2 2 2 15" xfId="20559"/>
    <cellStyle name="常规 19 3 4 2 2 2 16" xfId="20323"/>
    <cellStyle name="常规 19 3 4 2 2 2 17" xfId="6813"/>
    <cellStyle name="常规 19 3 4 2 2 2 2" xfId="20560"/>
    <cellStyle name="常规 19 3 4 2 2 2 2 2" xfId="19415"/>
    <cellStyle name="常规 19 3 4 2 2 2 2 3" xfId="19422"/>
    <cellStyle name="常规 19 3 4 2 2 2 2 4" xfId="8276"/>
    <cellStyle name="常规 19 3 4 2 2 2 2 5" xfId="1482"/>
    <cellStyle name="常规 19 3 4 2 2 2 2 6" xfId="19425"/>
    <cellStyle name="常规 19 3 4 2 2 2 2 7" xfId="19427"/>
    <cellStyle name="常规 19 3 4 2 2 2 2 8" xfId="19429"/>
    <cellStyle name="常规 19 3 4 2 2 2 3" xfId="20561"/>
    <cellStyle name="常规 19 3 4 2 2 2 3 2" xfId="20563"/>
    <cellStyle name="常规 19 3 4 2 2 2 3 3" xfId="20564"/>
    <cellStyle name="常规 19 3 4 2 2 2 3 4" xfId="8296"/>
    <cellStyle name="常规 19 3 4 2 2 2 3 5" xfId="172"/>
    <cellStyle name="常规 19 3 4 2 2 2 3 6" xfId="20565"/>
    <cellStyle name="常规 19 3 4 2 2 2 3 7" xfId="20566"/>
    <cellStyle name="常规 19 3 4 2 2 2 3 8" xfId="20567"/>
    <cellStyle name="常规 19 3 4 2 2 2 4" xfId="20568"/>
    <cellStyle name="常规 19 3 4 2 2 2 4 2" xfId="20570"/>
    <cellStyle name="常规 19 3 4 2 2 2 4 3" xfId="20571"/>
    <cellStyle name="常规 19 3 4 2 2 2 4 4" xfId="20572"/>
    <cellStyle name="常规 19 3 4 2 2 2 4 5" xfId="20573"/>
    <cellStyle name="常规 19 3 4 2 2 2 4 6" xfId="20574"/>
    <cellStyle name="常规 19 3 4 2 2 2 4 7" xfId="20575"/>
    <cellStyle name="常规 19 3 4 2 2 2 4 8" xfId="20576"/>
    <cellStyle name="常规 19 3 4 2 2 2 5" xfId="20577"/>
    <cellStyle name="常规 19 3 4 2 2 2 5 2" xfId="20580"/>
    <cellStyle name="常规 19 3 4 2 2 2 5 3" xfId="20581"/>
    <cellStyle name="常规 19 3 4 2 2 2 5 4" xfId="20582"/>
    <cellStyle name="常规 19 3 4 2 2 2 5 5" xfId="20583"/>
    <cellStyle name="常规 19 3 4 2 2 2 5 6" xfId="9750"/>
    <cellStyle name="常规 19 3 4 2 2 2 5 7" xfId="9276"/>
    <cellStyle name="常规 19 3 4 2 2 2 5 8" xfId="7119"/>
    <cellStyle name="常规 19 3 4 2 2 2 6" xfId="20584"/>
    <cellStyle name="常规 19 3 4 2 2 2 6 2" xfId="20588"/>
    <cellStyle name="常规 19 3 4 2 2 2 6 3" xfId="20590"/>
    <cellStyle name="常规 19 3 4 2 2 2 6 4" xfId="20592"/>
    <cellStyle name="常规 19 3 4 2 2 2 6 5" xfId="20594"/>
    <cellStyle name="常规 19 3 4 2 2 2 6 6" xfId="20595"/>
    <cellStyle name="常规 19 3 4 2 2 2 6 7" xfId="9296"/>
    <cellStyle name="常规 19 3 4 2 2 2 6 8" xfId="9298"/>
    <cellStyle name="常规 19 3 4 2 2 2 7" xfId="20596"/>
    <cellStyle name="常规 19 3 4 2 2 2 7 2" xfId="19475"/>
    <cellStyle name="常规 19 3 4 2 2 2 7 3" xfId="19478"/>
    <cellStyle name="常规 19 3 4 2 2 2 7 4" xfId="19480"/>
    <cellStyle name="常规 19 3 4 2 2 2 7 5" xfId="19483"/>
    <cellStyle name="常规 19 3 4 2 2 2 7 6" xfId="19486"/>
    <cellStyle name="常规 19 3 4 2 2 2 7 7" xfId="9303"/>
    <cellStyle name="常规 19 3 4 2 2 2 7 8" xfId="7582"/>
    <cellStyle name="常规 19 3 4 2 2 2 8" xfId="15518"/>
    <cellStyle name="常规 19 3 4 2 2 2 8 2" xfId="15993"/>
    <cellStyle name="常规 19 3 4 2 2 2 8 3" xfId="16000"/>
    <cellStyle name="常规 19 3 4 2 2 2 8 4" xfId="6428"/>
    <cellStyle name="常规 19 3 4 2 2 2 8 5" xfId="6746"/>
    <cellStyle name="常规 19 3 4 2 2 2 8 6" xfId="16019"/>
    <cellStyle name="常规 19 3 4 2 2 2 8 7" xfId="16029"/>
    <cellStyle name="常规 19 3 4 2 2 2 8 8" xfId="10648"/>
    <cellStyle name="常规 19 3 4 2 2 2 9" xfId="3913"/>
    <cellStyle name="常规 19 3 4 2 2 2 9 2" xfId="16039"/>
    <cellStyle name="常规 19 3 4 2 2 2 9 3" xfId="16041"/>
    <cellStyle name="常规 19 3 4 2 2 2 9 4" xfId="16043"/>
    <cellStyle name="常规 19 3 4 2 2 2 9 5" xfId="16045"/>
    <cellStyle name="常规 19 3 4 2 2 2 9 6" xfId="16047"/>
    <cellStyle name="常规 19 3 4 2 2 2 9 7" xfId="20598"/>
    <cellStyle name="常规 19 3 4 2 2 2 9 8" xfId="742"/>
    <cellStyle name="常规 19 3 4 2 2 3" xfId="20599"/>
    <cellStyle name="常规 19 3 4 2 2 3 2" xfId="20600"/>
    <cellStyle name="常规 19 3 4 2 2 3 3" xfId="20602"/>
    <cellStyle name="常规 19 3 4 2 2 3 4" xfId="20603"/>
    <cellStyle name="常规 19 3 4 2 2 3 5" xfId="20605"/>
    <cellStyle name="常规 19 3 4 2 2 3 6" xfId="20607"/>
    <cellStyle name="常规 19 3 4 2 2 3 7" xfId="20608"/>
    <cellStyle name="常规 19 3 4 2 2 3 8" xfId="15534"/>
    <cellStyle name="常规 19 3 4 2 2 4" xfId="20609"/>
    <cellStyle name="常规 19 3 4 2 2 4 2" xfId="13416"/>
    <cellStyle name="常规 19 3 4 2 2 4 3" xfId="33"/>
    <cellStyle name="常规 19 3 4 2 2 4 4" xfId="432"/>
    <cellStyle name="常规 19 3 4 2 2 4 5" xfId="7668"/>
    <cellStyle name="常规 19 3 4 2 2 4 6" xfId="7674"/>
    <cellStyle name="常规 19 3 4 2 2 4 7" xfId="8239"/>
    <cellStyle name="常规 19 3 4 2 2 4 8" xfId="8243"/>
    <cellStyle name="常规 19 3 4 2 2 5" xfId="20610"/>
    <cellStyle name="常规 19 3 4 2 2 5 2" xfId="20612"/>
    <cellStyle name="常规 19 3 4 2 2 5 3" xfId="20613"/>
    <cellStyle name="常规 19 3 4 2 2 5 4" xfId="20614"/>
    <cellStyle name="常规 19 3 4 2 2 5 5" xfId="20615"/>
    <cellStyle name="常规 19 3 4 2 2 5 6" xfId="20616"/>
    <cellStyle name="常规 19 3 4 2 2 5 7" xfId="20617"/>
    <cellStyle name="常规 19 3 4 2 2 5 8" xfId="20618"/>
    <cellStyle name="常规 19 3 4 2 2 6" xfId="20619"/>
    <cellStyle name="常规 19 3 4 2 2 6 2" xfId="20621"/>
    <cellStyle name="常规 19 3 4 2 2 6 3" xfId="20622"/>
    <cellStyle name="常规 19 3 4 2 2 6 4" xfId="20623"/>
    <cellStyle name="常规 19 3 4 2 2 6 5" xfId="20625"/>
    <cellStyle name="常规 19 3 4 2 2 6 6" xfId="20627"/>
    <cellStyle name="常规 19 3 4 2 2 6 7" xfId="20628"/>
    <cellStyle name="常规 19 3 4 2 2 6 8" xfId="20629"/>
    <cellStyle name="常规 19 3 4 2 2 7" xfId="20631"/>
    <cellStyle name="常规 19 3 4 2 2 7 2" xfId="20634"/>
    <cellStyle name="常规 19 3 4 2 2 7 3" xfId="7270"/>
    <cellStyle name="常规 19 3 4 2 2 7 4" xfId="10181"/>
    <cellStyle name="常规 19 3 4 2 2 7 5" xfId="20636"/>
    <cellStyle name="常规 19 3 4 2 2 7 6" xfId="20638"/>
    <cellStyle name="常规 19 3 4 2 2 7 7" xfId="20639"/>
    <cellStyle name="常规 19 3 4 2 2 7 8" xfId="20640"/>
    <cellStyle name="常规 19 3 4 2 2 8" xfId="20643"/>
    <cellStyle name="常规 19 3 4 2 2 8 2" xfId="20644"/>
    <cellStyle name="常规 19 3 4 2 2 8 3" xfId="10186"/>
    <cellStyle name="常规 19 3 4 2 2 8 4" xfId="10188"/>
    <cellStyle name="常规 19 3 4 2 2 8 5" xfId="20645"/>
    <cellStyle name="常规 19 3 4 2 2 8 6" xfId="20646"/>
    <cellStyle name="常规 19 3 4 2 2 8 7" xfId="20647"/>
    <cellStyle name="常规 19 3 4 2 2 8 8" xfId="20648"/>
    <cellStyle name="常规 19 3 4 2 2 9" xfId="20651"/>
    <cellStyle name="常规 19 3 4 2 2 9 2" xfId="20652"/>
    <cellStyle name="常规 19 3 4 2 2 9 3" xfId="20653"/>
    <cellStyle name="常规 19 3 4 2 2 9 4" xfId="20654"/>
    <cellStyle name="常规 19 3 4 2 2 9 5" xfId="20656"/>
    <cellStyle name="常规 19 3 4 2 2 9 6" xfId="20658"/>
    <cellStyle name="常规 19 3 4 2 2 9 7" xfId="20659"/>
    <cellStyle name="常规 19 3 4 2 2 9 8" xfId="20660"/>
    <cellStyle name="常规 19 3 4 2 20" xfId="928"/>
    <cellStyle name="常规 19 3 4 2 3" xfId="20661"/>
    <cellStyle name="常规 19 3 4 2 3 10" xfId="20662"/>
    <cellStyle name="常规 19 3 4 2 3 10 2" xfId="8686"/>
    <cellStyle name="常规 19 3 4 2 3 10 3" xfId="20663"/>
    <cellStyle name="常规 19 3 4 2 3 10 4" xfId="20664"/>
    <cellStyle name="常规 19 3 4 2 3 10 5" xfId="20665"/>
    <cellStyle name="常规 19 3 4 2 3 10 6" xfId="20667"/>
    <cellStyle name="常规 19 3 4 2 3 10 7" xfId="20669"/>
    <cellStyle name="常规 19 3 4 2 3 11" xfId="20670"/>
    <cellStyle name="常规 19 3 4 2 3 12" xfId="20672"/>
    <cellStyle name="常规 19 3 4 2 3 13" xfId="20675"/>
    <cellStyle name="常规 19 3 4 2 3 14" xfId="20677"/>
    <cellStyle name="常规 19 3 4 2 3 15" xfId="20678"/>
    <cellStyle name="常规 19 3 4 2 3 16" xfId="20679"/>
    <cellStyle name="常规 19 3 4 2 3 17" xfId="10019"/>
    <cellStyle name="常规 19 3 4 2 3 2" xfId="20680"/>
    <cellStyle name="常规 19 3 4 2 3 2 2" xfId="11768"/>
    <cellStyle name="常规 19 3 4 2 3 2 3" xfId="16112"/>
    <cellStyle name="常规 19 3 4 2 3 2 4" xfId="3293"/>
    <cellStyle name="常规 19 3 4 2 3 2 5" xfId="3349"/>
    <cellStyle name="常规 19 3 4 2 3 2 6" xfId="16114"/>
    <cellStyle name="常规 19 3 4 2 3 2 7" xfId="16116"/>
    <cellStyle name="常规 19 3 4 2 3 2 8" xfId="16118"/>
    <cellStyle name="常规 19 3 4 2 3 3" xfId="6222"/>
    <cellStyle name="常规 19 3 4 2 3 3 2" xfId="11320"/>
    <cellStyle name="常规 19 3 4 2 3 3 3" xfId="11323"/>
    <cellStyle name="常规 19 3 4 2 3 3 4" xfId="20681"/>
    <cellStyle name="常规 19 3 4 2 3 3 5" xfId="20683"/>
    <cellStyle name="常规 19 3 4 2 3 3 6" xfId="20685"/>
    <cellStyle name="常规 19 3 4 2 3 3 7" xfId="20686"/>
    <cellStyle name="常规 19 3 4 2 3 3 8" xfId="20687"/>
    <cellStyle name="常规 19 3 4 2 3 4" xfId="6227"/>
    <cellStyle name="常规 19 3 4 2 3 4 2" xfId="20688"/>
    <cellStyle name="常规 19 3 4 2 3 4 3" xfId="20689"/>
    <cellStyle name="常规 19 3 4 2 3 4 4" xfId="20690"/>
    <cellStyle name="常规 19 3 4 2 3 4 5" xfId="20692"/>
    <cellStyle name="常规 19 3 4 2 3 4 6" xfId="20694"/>
    <cellStyle name="常规 19 3 4 2 3 4 7" xfId="20695"/>
    <cellStyle name="常规 19 3 4 2 3 4 8" xfId="20696"/>
    <cellStyle name="常规 19 3 4 2 3 5" xfId="20697"/>
    <cellStyle name="常规 19 3 4 2 3 5 2" xfId="20698"/>
    <cellStyle name="常规 19 3 4 2 3 5 3" xfId="20700"/>
    <cellStyle name="常规 19 3 4 2 3 5 4" xfId="20702"/>
    <cellStyle name="常规 19 3 4 2 3 5 5" xfId="20704"/>
    <cellStyle name="常规 19 3 4 2 3 5 6" xfId="20705"/>
    <cellStyle name="常规 19 3 4 2 3 5 7" xfId="20706"/>
    <cellStyle name="常规 19 3 4 2 3 5 8" xfId="20707"/>
    <cellStyle name="常规 19 3 4 2 3 6" xfId="20708"/>
    <cellStyle name="常规 19 3 4 2 3 6 2" xfId="20709"/>
    <cellStyle name="常规 19 3 4 2 3 6 3" xfId="20711"/>
    <cellStyle name="常规 19 3 4 2 3 6 4" xfId="20713"/>
    <cellStyle name="常规 19 3 4 2 3 6 5" xfId="20716"/>
    <cellStyle name="常规 19 3 4 2 3 6 6" xfId="20717"/>
    <cellStyle name="常规 19 3 4 2 3 6 7" xfId="20718"/>
    <cellStyle name="常规 19 3 4 2 3 6 8" xfId="20719"/>
    <cellStyle name="常规 19 3 4 2 3 7" xfId="20720"/>
    <cellStyle name="常规 19 3 4 2 3 7 2" xfId="20721"/>
    <cellStyle name="常规 19 3 4 2 3 7 3" xfId="6198"/>
    <cellStyle name="常规 19 3 4 2 3 7 4" xfId="6204"/>
    <cellStyle name="常规 19 3 4 2 3 7 5" xfId="20722"/>
    <cellStyle name="常规 19 3 4 2 3 7 6" xfId="20723"/>
    <cellStyle name="常规 19 3 4 2 3 7 7" xfId="20724"/>
    <cellStyle name="常规 19 3 4 2 3 7 8" xfId="20725"/>
    <cellStyle name="常规 19 3 4 2 3 8" xfId="20727"/>
    <cellStyle name="常规 19 3 4 2 3 8 2" xfId="20728"/>
    <cellStyle name="常规 19 3 4 2 3 8 3" xfId="20729"/>
    <cellStyle name="常规 19 3 4 2 3 8 4" xfId="20730"/>
    <cellStyle name="常规 19 3 4 2 3 8 5" xfId="20731"/>
    <cellStyle name="常规 19 3 4 2 3 8 6" xfId="20732"/>
    <cellStyle name="常规 19 3 4 2 3 8 7" xfId="20733"/>
    <cellStyle name="常规 19 3 4 2 3 8 8" xfId="20734"/>
    <cellStyle name="常规 19 3 4 2 3 9" xfId="20736"/>
    <cellStyle name="常规 19 3 4 2 3 9 2" xfId="20737"/>
    <cellStyle name="常规 19 3 4 2 3 9 3" xfId="20738"/>
    <cellStyle name="常规 19 3 4 2 3 9 4" xfId="20739"/>
    <cellStyle name="常规 19 3 4 2 3 9 5" xfId="20740"/>
    <cellStyle name="常规 19 3 4 2 3 9 6" xfId="6188"/>
    <cellStyle name="常规 19 3 4 2 3 9 7" xfId="6212"/>
    <cellStyle name="常规 19 3 4 2 3 9 8" xfId="348"/>
    <cellStyle name="常规 19 3 4 2 4" xfId="20741"/>
    <cellStyle name="常规 19 3 4 2 4 2" xfId="20742"/>
    <cellStyle name="常规 19 3 4 2 4 3" xfId="11327"/>
    <cellStyle name="常规 19 3 4 2 4 4" xfId="11330"/>
    <cellStyle name="常规 19 3 4 2 4 5" xfId="20744"/>
    <cellStyle name="常规 19 3 4 2 4 6" xfId="20746"/>
    <cellStyle name="常规 19 3 4 2 4 7" xfId="6243"/>
    <cellStyle name="常规 19 3 4 2 4 8" xfId="6259"/>
    <cellStyle name="常规 19 3 4 2 5" xfId="20747"/>
    <cellStyle name="常规 19 3 4 2 5 2" xfId="20748"/>
    <cellStyle name="常规 19 3 4 2 5 3" xfId="20749"/>
    <cellStyle name="常规 19 3 4 2 5 4" xfId="20750"/>
    <cellStyle name="常规 19 3 4 2 5 5" xfId="20751"/>
    <cellStyle name="常规 19 3 4 2 5 6" xfId="20752"/>
    <cellStyle name="常规 19 3 4 2 5 7" xfId="20753"/>
    <cellStyle name="常规 19 3 4 2 5 8" xfId="5791"/>
    <cellStyle name="常规 19 3 4 2 6" xfId="20754"/>
    <cellStyle name="常规 19 3 4 2 6 2" xfId="20755"/>
    <cellStyle name="常规 19 3 4 2 6 3" xfId="11730"/>
    <cellStyle name="常规 19 3 4 2 6 4" xfId="11732"/>
    <cellStyle name="常规 19 3 4 2 6 5" xfId="4058"/>
    <cellStyle name="常规 19 3 4 2 6 6" xfId="882"/>
    <cellStyle name="常规 19 3 4 2 6 7" xfId="138"/>
    <cellStyle name="常规 19 3 4 2 6 8" xfId="2198"/>
    <cellStyle name="常规 19 3 4 2 7" xfId="20759"/>
    <cellStyle name="常规 19 3 4 2 7 2" xfId="20762"/>
    <cellStyle name="常规 19 3 4 2 7 3" xfId="20765"/>
    <cellStyle name="常规 19 3 4 2 7 4" xfId="20767"/>
    <cellStyle name="常规 19 3 4 2 7 5" xfId="4172"/>
    <cellStyle name="常规 19 3 4 2 7 6" xfId="4195"/>
    <cellStyle name="常规 19 3 4 2 7 7" xfId="4205"/>
    <cellStyle name="常规 19 3 4 2 7 8" xfId="6309"/>
    <cellStyle name="常规 19 3 4 2 8" xfId="20771"/>
    <cellStyle name="常规 19 3 4 2 8 2" xfId="12382"/>
    <cellStyle name="常规 19 3 4 2 8 3" xfId="20774"/>
    <cellStyle name="常规 19 3 4 2 8 4" xfId="20777"/>
    <cellStyle name="常规 19 3 4 2 8 5" xfId="4214"/>
    <cellStyle name="常规 19 3 4 2 8 6" xfId="4249"/>
    <cellStyle name="常规 19 3 4 2 8 7" xfId="4262"/>
    <cellStyle name="常规 19 3 4 2 8 8" xfId="6335"/>
    <cellStyle name="常规 19 3 4 2 9" xfId="20780"/>
    <cellStyle name="常规 19 3 4 2 9 2" xfId="20781"/>
    <cellStyle name="常规 19 3 4 2 9 3" xfId="12987"/>
    <cellStyle name="常规 19 3 4 2 9 4" xfId="12994"/>
    <cellStyle name="常规 19 3 4 2 9 5" xfId="4269"/>
    <cellStyle name="常规 19 3 4 2 9 6" xfId="4286"/>
    <cellStyle name="常规 19 3 4 2 9 7" xfId="13001"/>
    <cellStyle name="常规 19 3 4 2 9 8" xfId="6651"/>
    <cellStyle name="常规 19 3 4 20" xfId="20490"/>
    <cellStyle name="常规 19 3 4 21" xfId="20498"/>
    <cellStyle name="常规 19 3 4 22" xfId="20500"/>
    <cellStyle name="常规 19 3 4 3" xfId="4074"/>
    <cellStyle name="常规 19 3 4 3 10" xfId="3902"/>
    <cellStyle name="常规 19 3 4 3 10 2" xfId="11595"/>
    <cellStyle name="常规 19 3 4 3 10 3" xfId="7659"/>
    <cellStyle name="常规 19 3 4 3 10 4" xfId="6617"/>
    <cellStyle name="常规 19 3 4 3 10 5" xfId="12755"/>
    <cellStyle name="常规 19 3 4 3 10 6" xfId="12758"/>
    <cellStyle name="常规 19 3 4 3 10 7" xfId="12761"/>
    <cellStyle name="常规 19 3 4 3 10 8" xfId="9975"/>
    <cellStyle name="常规 19 3 4 3 11" xfId="13975"/>
    <cellStyle name="常规 19 3 4 3 11 2" xfId="11609"/>
    <cellStyle name="常规 19 3 4 3 11 3" xfId="7677"/>
    <cellStyle name="常规 19 3 4 3 11 4" xfId="1956"/>
    <cellStyle name="常规 19 3 4 3 11 5" xfId="12766"/>
    <cellStyle name="常规 19 3 4 3 11 6" xfId="12770"/>
    <cellStyle name="常规 19 3 4 3 11 7" xfId="12774"/>
    <cellStyle name="常规 19 3 4 3 11 8" xfId="15955"/>
    <cellStyle name="常规 19 3 4 3 12" xfId="13978"/>
    <cellStyle name="常规 19 3 4 3 12 2" xfId="9564"/>
    <cellStyle name="常规 19 3 4 3 12 3" xfId="16035"/>
    <cellStyle name="常规 19 3 4 3 12 4" xfId="16050"/>
    <cellStyle name="常规 19 3 4 3 12 5" xfId="16060"/>
    <cellStyle name="常规 19 3 4 3 12 6" xfId="10211"/>
    <cellStyle name="常规 19 3 4 3 12 7" xfId="10215"/>
    <cellStyle name="常规 19 3 4 3 13" xfId="13982"/>
    <cellStyle name="常规 19 3 4 3 14" xfId="13987"/>
    <cellStyle name="常规 19 3 4 3 15" xfId="16199"/>
    <cellStyle name="常规 19 3 4 3 16" xfId="16213"/>
    <cellStyle name="常规 19 3 4 3 17" xfId="16226"/>
    <cellStyle name="常规 19 3 4 3 18" xfId="18221"/>
    <cellStyle name="常规 19 3 4 3 19" xfId="18224"/>
    <cellStyle name="常规 19 3 4 3 2" xfId="2002"/>
    <cellStyle name="常规 19 3 4 3 2 10" xfId="4646"/>
    <cellStyle name="常规 19 3 4 3 2 10 2" xfId="5842"/>
    <cellStyle name="常规 19 3 4 3 2 10 3" xfId="5858"/>
    <cellStyle name="常规 19 3 4 3 2 10 4" xfId="450"/>
    <cellStyle name="常规 19 3 4 3 2 10 5" xfId="20783"/>
    <cellStyle name="常规 19 3 4 3 2 10 6" xfId="20784"/>
    <cellStyle name="常规 19 3 4 3 2 10 7" xfId="20785"/>
    <cellStyle name="常规 19 3 4 3 2 11" xfId="4659"/>
    <cellStyle name="常规 19 3 4 3 2 12" xfId="5871"/>
    <cellStyle name="常规 19 3 4 3 2 13" xfId="1724"/>
    <cellStyle name="常规 19 3 4 3 2 14" xfId="1752"/>
    <cellStyle name="常规 19 3 4 3 2 15" xfId="20789"/>
    <cellStyle name="常规 19 3 4 3 2 16" xfId="20790"/>
    <cellStyle name="常规 19 3 4 3 2 17" xfId="20791"/>
    <cellStyle name="常规 19 3 4 3 2 2" xfId="2011"/>
    <cellStyle name="常规 19 3 4 3 2 2 2" xfId="4813"/>
    <cellStyle name="常规 19 3 4 3 2 2 3" xfId="4841"/>
    <cellStyle name="常规 19 3 4 3 2 2 4" xfId="15501"/>
    <cellStyle name="常规 19 3 4 3 2 2 5" xfId="16418"/>
    <cellStyle name="常规 19 3 4 3 2 2 6" xfId="16429"/>
    <cellStyle name="常规 19 3 4 3 2 2 7" xfId="16436"/>
    <cellStyle name="常规 19 3 4 3 2 2 8" xfId="20792"/>
    <cellStyle name="常规 19 3 4 3 2 3" xfId="2015"/>
    <cellStyle name="常规 19 3 4 3 2 3 2" xfId="4860"/>
    <cellStyle name="常规 19 3 4 3 2 3 3" xfId="5420"/>
    <cellStyle name="常规 19 3 4 3 2 3 4" xfId="16449"/>
    <cellStyle name="常规 19 3 4 3 2 3 5" xfId="16454"/>
    <cellStyle name="常规 19 3 4 3 2 3 6" xfId="16458"/>
    <cellStyle name="常规 19 3 4 3 2 3 7" xfId="20793"/>
    <cellStyle name="常规 19 3 4 3 2 3 8" xfId="20794"/>
    <cellStyle name="常规 19 3 4 3 2 4" xfId="5428"/>
    <cellStyle name="常规 19 3 4 3 2 4 2" xfId="2031"/>
    <cellStyle name="常规 19 3 4 3 2 4 3" xfId="2069"/>
    <cellStyle name="常规 19 3 4 3 2 4 4" xfId="1039"/>
    <cellStyle name="常规 19 3 4 3 2 4 5" xfId="7822"/>
    <cellStyle name="常规 19 3 4 3 2 4 6" xfId="7829"/>
    <cellStyle name="常规 19 3 4 3 2 4 7" xfId="20795"/>
    <cellStyle name="常规 19 3 4 3 2 4 8" xfId="20796"/>
    <cellStyle name="常规 19 3 4 3 2 5" xfId="20797"/>
    <cellStyle name="常规 19 3 4 3 2 5 2" xfId="16468"/>
    <cellStyle name="常规 19 3 4 3 2 5 3" xfId="16471"/>
    <cellStyle name="常规 19 3 4 3 2 5 4" xfId="16475"/>
    <cellStyle name="常规 19 3 4 3 2 5 5" xfId="12096"/>
    <cellStyle name="常规 19 3 4 3 2 5 6" xfId="10990"/>
    <cellStyle name="常规 19 3 4 3 2 5 7" xfId="20799"/>
    <cellStyle name="常规 19 3 4 3 2 5 8" xfId="20801"/>
    <cellStyle name="常规 19 3 4 3 2 6" xfId="20802"/>
    <cellStyle name="常规 19 3 4 3 2 6 2" xfId="16484"/>
    <cellStyle name="常规 19 3 4 3 2 6 3" xfId="16487"/>
    <cellStyle name="常规 19 3 4 3 2 6 4" xfId="16491"/>
    <cellStyle name="常规 19 3 4 3 2 6 5" xfId="16495"/>
    <cellStyle name="常规 19 3 4 3 2 6 6" xfId="16499"/>
    <cellStyle name="常规 19 3 4 3 2 6 7" xfId="20803"/>
    <cellStyle name="常规 19 3 4 3 2 6 8" xfId="20804"/>
    <cellStyle name="常规 19 3 4 3 2 7" xfId="20805"/>
    <cellStyle name="常规 19 3 4 3 2 7 2" xfId="16507"/>
    <cellStyle name="常规 19 3 4 3 2 7 3" xfId="10266"/>
    <cellStyle name="常规 19 3 4 3 2 7 4" xfId="10271"/>
    <cellStyle name="常规 19 3 4 3 2 7 5" xfId="16511"/>
    <cellStyle name="常规 19 3 4 3 2 7 6" xfId="16515"/>
    <cellStyle name="常规 19 3 4 3 2 7 7" xfId="20806"/>
    <cellStyle name="常规 19 3 4 3 2 7 8" xfId="793"/>
    <cellStyle name="常规 19 3 4 3 2 8" xfId="20807"/>
    <cellStyle name="常规 19 3 4 3 2 8 2" xfId="16523"/>
    <cellStyle name="常规 19 3 4 3 2 8 3" xfId="16526"/>
    <cellStyle name="常规 19 3 4 3 2 8 4" xfId="16530"/>
    <cellStyle name="常规 19 3 4 3 2 8 5" xfId="16534"/>
    <cellStyle name="常规 19 3 4 3 2 8 6" xfId="16537"/>
    <cellStyle name="常规 19 3 4 3 2 8 7" xfId="20808"/>
    <cellStyle name="常规 19 3 4 3 2 8 8" xfId="20809"/>
    <cellStyle name="常规 19 3 4 3 2 9" xfId="20810"/>
    <cellStyle name="常规 19 3 4 3 2 9 2" xfId="16546"/>
    <cellStyle name="常规 19 3 4 3 2 9 3" xfId="16549"/>
    <cellStyle name="常规 19 3 4 3 2 9 4" xfId="16553"/>
    <cellStyle name="常规 19 3 4 3 2 9 5" xfId="16557"/>
    <cellStyle name="常规 19 3 4 3 2 9 6" xfId="16560"/>
    <cellStyle name="常规 19 3 4 3 2 9 7" xfId="20811"/>
    <cellStyle name="常规 19 3 4 3 2 9 8" xfId="20812"/>
    <cellStyle name="常规 19 3 4 3 3" xfId="805"/>
    <cellStyle name="常规 19 3 4 3 3 2" xfId="3188"/>
    <cellStyle name="常规 19 3 4 3 3 3" xfId="2301"/>
    <cellStyle name="常规 19 3 4 3 3 4" xfId="2330"/>
    <cellStyle name="常规 19 3 4 3 3 5" xfId="20813"/>
    <cellStyle name="常规 19 3 4 3 3 6" xfId="20814"/>
    <cellStyle name="常规 19 3 4 3 3 7" xfId="20116"/>
    <cellStyle name="常规 19 3 4 3 3 8" xfId="20119"/>
    <cellStyle name="常规 19 3 4 3 4" xfId="825"/>
    <cellStyle name="常规 19 3 4 3 4 2" xfId="980"/>
    <cellStyle name="常规 19 3 4 3 4 3" xfId="3210"/>
    <cellStyle name="常规 19 3 4 3 4 4" xfId="5611"/>
    <cellStyle name="常规 19 3 4 3 4 5" xfId="15454"/>
    <cellStyle name="常规 19 3 4 3 4 6" xfId="15478"/>
    <cellStyle name="常规 19 3 4 3 4 7" xfId="15481"/>
    <cellStyle name="常规 19 3 4 3 4 8" xfId="15484"/>
    <cellStyle name="常规 19 3 4 3 5" xfId="2588"/>
    <cellStyle name="常规 19 3 4 3 5 2" xfId="3113"/>
    <cellStyle name="常规 19 3 4 3 5 3" xfId="4349"/>
    <cellStyle name="常规 19 3 4 3 5 4" xfId="20815"/>
    <cellStyle name="常规 19 3 4 3 5 5" xfId="20816"/>
    <cellStyle name="常规 19 3 4 3 5 6" xfId="20817"/>
    <cellStyle name="常规 19 3 4 3 5 7" xfId="20819"/>
    <cellStyle name="常规 19 3 4 3 5 8" xfId="5818"/>
    <cellStyle name="常规 19 3 4 3 6" xfId="4359"/>
    <cellStyle name="常规 19 3 4 3 6 2" xfId="4368"/>
    <cellStyle name="常规 19 3 4 3 6 3" xfId="4379"/>
    <cellStyle name="常规 19 3 4 3 6 4" xfId="20820"/>
    <cellStyle name="常规 19 3 4 3 6 5" xfId="4319"/>
    <cellStyle name="常规 19 3 4 3 6 6" xfId="4393"/>
    <cellStyle name="常规 19 3 4 3 6 7" xfId="4408"/>
    <cellStyle name="常规 19 3 4 3 6 8" xfId="4413"/>
    <cellStyle name="常规 19 3 4 3 7" xfId="4389"/>
    <cellStyle name="常规 19 3 4 3 7 2" xfId="4235"/>
    <cellStyle name="常规 19 3 4 3 7 3" xfId="377"/>
    <cellStyle name="常规 19 3 4 3 7 4" xfId="20821"/>
    <cellStyle name="常规 19 3 4 3 7 5" xfId="423"/>
    <cellStyle name="常规 19 3 4 3 7 6" xfId="428"/>
    <cellStyle name="常规 19 3 4 3 7 7" xfId="463"/>
    <cellStyle name="常规 19 3 4 3 7 8" xfId="489"/>
    <cellStyle name="常规 19 3 4 3 8" xfId="2969"/>
    <cellStyle name="常规 19 3 4 3 8 2" xfId="12480"/>
    <cellStyle name="常规 19 3 4 3 8 3" xfId="20823"/>
    <cellStyle name="常规 19 3 4 3 8 4" xfId="20825"/>
    <cellStyle name="常规 19 3 4 3 8 5" xfId="4092"/>
    <cellStyle name="常规 19 3 4 3 8 6" xfId="4128"/>
    <cellStyle name="常规 19 3 4 3 8 7" xfId="4494"/>
    <cellStyle name="常规 19 3 4 3 8 8" xfId="8"/>
    <cellStyle name="常规 19 3 4 3 9" xfId="5669"/>
    <cellStyle name="常规 19 3 4 3 9 2" xfId="16249"/>
    <cellStyle name="常规 19 3 4 3 9 3" xfId="14279"/>
    <cellStyle name="常规 19 3 4 3 9 4" xfId="14286"/>
    <cellStyle name="常规 19 3 4 3 9 5" xfId="2698"/>
    <cellStyle name="常规 19 3 4 3 9 6" xfId="2718"/>
    <cellStyle name="常规 19 3 4 3 9 7" xfId="14365"/>
    <cellStyle name="常规 19 3 4 3 9 8" xfId="6970"/>
    <cellStyle name="常规 19 3 4 4" xfId="4087"/>
    <cellStyle name="常规 19 3 4 4 10" xfId="18258"/>
    <cellStyle name="常规 19 3 4 4 10 2" xfId="12996"/>
    <cellStyle name="常规 19 3 4 4 10 3" xfId="4273"/>
    <cellStyle name="常规 19 3 4 4 10 4" xfId="4290"/>
    <cellStyle name="常规 19 3 4 4 10 5" xfId="13004"/>
    <cellStyle name="常规 19 3 4 4 10 6" xfId="6655"/>
    <cellStyle name="常规 19 3 4 4 10 7" xfId="6667"/>
    <cellStyle name="常规 19 3 4 4 10 8" xfId="14076"/>
    <cellStyle name="常规 19 3 4 4 11" xfId="18283"/>
    <cellStyle name="常规 19 3 4 4 11 2" xfId="14082"/>
    <cellStyle name="常规 19 3 4 4 11 3" xfId="4298"/>
    <cellStyle name="常规 19 3 4 4 11 4" xfId="2954"/>
    <cellStyle name="常规 19 3 4 4 11 5" xfId="14087"/>
    <cellStyle name="常规 19 3 4 4 11 6" xfId="6961"/>
    <cellStyle name="常规 19 3 4 4 11 7" xfId="6967"/>
    <cellStyle name="常规 19 3 4 4 11 8" xfId="18287"/>
    <cellStyle name="常规 19 3 4 4 12" xfId="18292"/>
    <cellStyle name="常规 19 3 4 4 12 2" xfId="14093"/>
    <cellStyle name="常规 19 3 4 4 12 3" xfId="14099"/>
    <cellStyle name="常规 19 3 4 4 12 4" xfId="14104"/>
    <cellStyle name="常规 19 3 4 4 12 5" xfId="14109"/>
    <cellStyle name="常规 19 3 4 4 12 6" xfId="7341"/>
    <cellStyle name="常规 19 3 4 4 12 7" xfId="7347"/>
    <cellStyle name="常规 19 3 4 4 13" xfId="18301"/>
    <cellStyle name="常规 19 3 4 4 14" xfId="18311"/>
    <cellStyle name="常规 19 3 4 4 15" xfId="18318"/>
    <cellStyle name="常规 19 3 4 4 16" xfId="18326"/>
    <cellStyle name="常规 19 3 4 4 17" xfId="18334"/>
    <cellStyle name="常规 19 3 4 4 18" xfId="20827"/>
    <cellStyle name="常规 19 3 4 4 19" xfId="20828"/>
    <cellStyle name="常规 19 3 4 4 2" xfId="2063"/>
    <cellStyle name="常规 19 3 4 4 2 10" xfId="20830"/>
    <cellStyle name="常规 19 3 4 4 2 10 2" xfId="20831"/>
    <cellStyle name="常规 19 3 4 4 2 10 3" xfId="20833"/>
    <cellStyle name="常规 19 3 4 4 2 10 4" xfId="3487"/>
    <cellStyle name="常规 19 3 4 4 2 10 5" xfId="20834"/>
    <cellStyle name="常规 19 3 4 4 2 10 6" xfId="20835"/>
    <cellStyle name="常规 19 3 4 4 2 10 7" xfId="20837"/>
    <cellStyle name="常规 19 3 4 4 2 11" xfId="5273"/>
    <cellStyle name="常规 19 3 4 4 2 12" xfId="5284"/>
    <cellStyle name="常规 19 3 4 4 2 13" xfId="5291"/>
    <cellStyle name="常规 19 3 4 4 2 14" xfId="12634"/>
    <cellStyle name="常规 19 3 4 4 2 15" xfId="20838"/>
    <cellStyle name="常规 19 3 4 4 2 16" xfId="20839"/>
    <cellStyle name="常规 19 3 4 4 2 17" xfId="20843"/>
    <cellStyle name="常规 19 3 4 4 2 2" xfId="17939"/>
    <cellStyle name="常规 19 3 4 4 2 2 2" xfId="16778"/>
    <cellStyle name="常规 19 3 4 4 2 2 3" xfId="16780"/>
    <cellStyle name="常规 19 3 4 4 2 2 4" xfId="16782"/>
    <cellStyle name="常规 19 3 4 4 2 2 5" xfId="16786"/>
    <cellStyle name="常规 19 3 4 4 2 2 6" xfId="16790"/>
    <cellStyle name="常规 19 3 4 4 2 2 7" xfId="20845"/>
    <cellStyle name="常规 19 3 4 4 2 2 8" xfId="20846"/>
    <cellStyle name="常规 19 3 4 4 2 3" xfId="17942"/>
    <cellStyle name="常规 19 3 4 4 2 3 2" xfId="16796"/>
    <cellStyle name="常规 19 3 4 4 2 3 3" xfId="16798"/>
    <cellStyle name="常规 19 3 4 4 2 3 4" xfId="16800"/>
    <cellStyle name="常规 19 3 4 4 2 3 5" xfId="16802"/>
    <cellStyle name="常规 19 3 4 4 2 3 6" xfId="16804"/>
    <cellStyle name="常规 19 3 4 4 2 3 7" xfId="20847"/>
    <cellStyle name="常规 19 3 4 4 2 3 8" xfId="20848"/>
    <cellStyle name="常规 19 3 4 4 2 4" xfId="17945"/>
    <cellStyle name="常规 19 3 4 4 2 4 2" xfId="4996"/>
    <cellStyle name="常规 19 3 4 4 2 4 3" xfId="7309"/>
    <cellStyle name="常规 19 3 4 4 2 4 4" xfId="7314"/>
    <cellStyle name="常规 19 3 4 4 2 4 5" xfId="16809"/>
    <cellStyle name="常规 19 3 4 4 2 4 6" xfId="16813"/>
    <cellStyle name="常规 19 3 4 4 2 4 7" xfId="20850"/>
    <cellStyle name="常规 19 3 4 4 2 4 8" xfId="20852"/>
    <cellStyle name="常规 19 3 4 4 2 5" xfId="17948"/>
    <cellStyle name="常规 19 3 4 4 2 5 2" xfId="16819"/>
    <cellStyle name="常规 19 3 4 4 2 5 3" xfId="11996"/>
    <cellStyle name="常规 19 3 4 4 2 5 4" xfId="12000"/>
    <cellStyle name="常规 19 3 4 4 2 5 5" xfId="16822"/>
    <cellStyle name="常规 19 3 4 4 2 5 6" xfId="16825"/>
    <cellStyle name="常规 19 3 4 4 2 5 7" xfId="20853"/>
    <cellStyle name="常规 19 3 4 4 2 5 8" xfId="20854"/>
    <cellStyle name="常规 19 3 4 4 2 6" xfId="6909"/>
    <cellStyle name="常规 19 3 4 4 2 6 2" xfId="16832"/>
    <cellStyle name="常规 19 3 4 4 2 6 3" xfId="16835"/>
    <cellStyle name="常规 19 3 4 4 2 6 4" xfId="16838"/>
    <cellStyle name="常规 19 3 4 4 2 6 5" xfId="16841"/>
    <cellStyle name="常规 19 3 4 4 2 6 6" xfId="16844"/>
    <cellStyle name="常规 19 3 4 4 2 6 7" xfId="20855"/>
    <cellStyle name="常规 19 3 4 4 2 6 8" xfId="20856"/>
    <cellStyle name="常规 19 3 4 4 2 7" xfId="6916"/>
    <cellStyle name="常规 19 3 4 4 2 7 2" xfId="16854"/>
    <cellStyle name="常规 19 3 4 4 2 7 3" xfId="16858"/>
    <cellStyle name="常规 19 3 4 4 2 7 4" xfId="16862"/>
    <cellStyle name="常规 19 3 4 4 2 7 5" xfId="16866"/>
    <cellStyle name="常规 19 3 4 4 2 7 6" xfId="16870"/>
    <cellStyle name="常规 19 3 4 4 2 7 7" xfId="9280"/>
    <cellStyle name="常规 19 3 4 4 2 7 8" xfId="9286"/>
    <cellStyle name="常规 19 3 4 4 2 8" xfId="20857"/>
    <cellStyle name="常规 19 3 4 4 2 8 2" xfId="16879"/>
    <cellStyle name="常规 19 3 4 4 2 8 3" xfId="16882"/>
    <cellStyle name="常规 19 3 4 4 2 8 4" xfId="16885"/>
    <cellStyle name="常规 19 3 4 4 2 8 5" xfId="16888"/>
    <cellStyle name="常规 19 3 4 4 2 8 6" xfId="16891"/>
    <cellStyle name="常规 19 3 4 4 2 8 7" xfId="9290"/>
    <cellStyle name="常规 19 3 4 4 2 8 8" xfId="9293"/>
    <cellStyle name="常规 19 3 4 4 2 9" xfId="20858"/>
    <cellStyle name="常规 19 3 4 4 2 9 2" xfId="16900"/>
    <cellStyle name="常规 19 3 4 4 2 9 3" xfId="16903"/>
    <cellStyle name="常规 19 3 4 4 2 9 4" xfId="16907"/>
    <cellStyle name="常规 19 3 4 4 2 9 5" xfId="16911"/>
    <cellStyle name="常规 19 3 4 4 2 9 6" xfId="16915"/>
    <cellStyle name="常规 19 3 4 4 2 9 7" xfId="9682"/>
    <cellStyle name="常规 19 3 4 4 2 9 8" xfId="9687"/>
    <cellStyle name="常规 19 3 4 4 3" xfId="3220"/>
    <cellStyle name="常规 19 3 4 4 3 2" xfId="3227"/>
    <cellStyle name="常规 19 3 4 4 3 3" xfId="3232"/>
    <cellStyle name="常规 19 3 4 4 3 4" xfId="11336"/>
    <cellStyle name="常规 19 3 4 4 3 5" xfId="20859"/>
    <cellStyle name="常规 19 3 4 4 3 6" xfId="20861"/>
    <cellStyle name="常规 19 3 4 4 3 7" xfId="20863"/>
    <cellStyle name="常规 19 3 4 4 3 8" xfId="20865"/>
    <cellStyle name="常规 19 3 4 4 4" xfId="3243"/>
    <cellStyle name="常规 19 3 4 4 4 2" xfId="18230"/>
    <cellStyle name="常规 19 3 4 4 4 3" xfId="18237"/>
    <cellStyle name="常规 19 3 4 4 4 4" xfId="18241"/>
    <cellStyle name="常规 19 3 4 4 4 5" xfId="18245"/>
    <cellStyle name="常规 19 3 4 4 4 6" xfId="7299"/>
    <cellStyle name="常规 19 3 4 4 4 7" xfId="6479"/>
    <cellStyle name="常规 19 3 4 4 4 8" xfId="18250"/>
    <cellStyle name="常规 19 3 4 4 5" xfId="4402"/>
    <cellStyle name="常规 19 3 4 4 5 2" xfId="35"/>
    <cellStyle name="常规 19 3 4 4 5 3" xfId="434"/>
    <cellStyle name="常规 19 3 4 4 5 4" xfId="18620"/>
    <cellStyle name="常规 19 3 4 4 5 5" xfId="18647"/>
    <cellStyle name="常规 19 3 4 4 5 6" xfId="18674"/>
    <cellStyle name="常规 19 3 4 4 5 7" xfId="18679"/>
    <cellStyle name="常规 19 3 4 4 5 8" xfId="18684"/>
    <cellStyle name="常规 19 3 4 4 6" xfId="2751"/>
    <cellStyle name="常规 19 3 4 4 6 2" xfId="20866"/>
    <cellStyle name="常规 19 3 4 4 6 3" xfId="5758"/>
    <cellStyle name="常规 19 3 4 4 6 4" xfId="20867"/>
    <cellStyle name="常规 19 3 4 4 6 5" xfId="2429"/>
    <cellStyle name="常规 19 3 4 4 6 6" xfId="2439"/>
    <cellStyle name="常规 19 3 4 4 6 7" xfId="3549"/>
    <cellStyle name="常规 19 3 4 4 6 8" xfId="6529"/>
    <cellStyle name="常规 19 3 4 4 7" xfId="17"/>
    <cellStyle name="常规 19 3 4 4 7 2" xfId="20869"/>
    <cellStyle name="常规 19 3 4 4 7 3" xfId="6176"/>
    <cellStyle name="常规 19 3 4 4 7 4" xfId="20870"/>
    <cellStyle name="常规 19 3 4 4 7 5" xfId="4522"/>
    <cellStyle name="常规 19 3 4 4 7 6" xfId="4535"/>
    <cellStyle name="常规 19 3 4 4 7 7" xfId="20872"/>
    <cellStyle name="常规 19 3 4 4 7 8" xfId="4616"/>
    <cellStyle name="常规 19 3 4 4 8" xfId="3049"/>
    <cellStyle name="常规 19 3 4 4 8 2" xfId="20873"/>
    <cellStyle name="常规 19 3 4 4 8 3" xfId="6616"/>
    <cellStyle name="常规 19 3 4 4 8 4" xfId="20874"/>
    <cellStyle name="常规 19 3 4 4 8 5" xfId="2789"/>
    <cellStyle name="常规 19 3 4 4 8 6" xfId="2990"/>
    <cellStyle name="常规 19 3 4 4 8 7" xfId="20876"/>
    <cellStyle name="常规 19 3 4 4 8 8" xfId="4796"/>
    <cellStyle name="常规 19 3 4 4 9" xfId="20879"/>
    <cellStyle name="常规 19 3 4 4 9 2" xfId="18349"/>
    <cellStyle name="常规 19 3 4 4 9 3" xfId="7075"/>
    <cellStyle name="常规 19 3 4 4 9 4" xfId="14588"/>
    <cellStyle name="常规 19 3 4 4 9 5" xfId="14593"/>
    <cellStyle name="常规 19 3 4 4 9 6" xfId="14598"/>
    <cellStyle name="常规 19 3 4 4 9 7" xfId="14604"/>
    <cellStyle name="常规 19 3 4 4 9 8" xfId="4939"/>
    <cellStyle name="常规 19 3 4 5" xfId="18600"/>
    <cellStyle name="常规 19 3 4 5 10" xfId="20882"/>
    <cellStyle name="常规 19 3 4 5 10 2" xfId="20883"/>
    <cellStyle name="常规 19 3 4 5 10 3" xfId="20884"/>
    <cellStyle name="常规 19 3 4 5 10 4" xfId="7302"/>
    <cellStyle name="常规 19 3 4 5 10 5" xfId="8250"/>
    <cellStyle name="常规 19 3 4 5 10 6" xfId="20886"/>
    <cellStyle name="常规 19 3 4 5 10 7" xfId="20887"/>
    <cellStyle name="常规 19 3 4 5 11" xfId="20889"/>
    <cellStyle name="常规 19 3 4 5 12" xfId="20891"/>
    <cellStyle name="常规 19 3 4 5 13" xfId="4478"/>
    <cellStyle name="常规 19 3 4 5 14" xfId="20894"/>
    <cellStyle name="常规 19 3 4 5 15" xfId="20896"/>
    <cellStyle name="常规 19 3 4 5 16" xfId="20899"/>
    <cellStyle name="常规 19 3 4 5 17" xfId="20900"/>
    <cellStyle name="常规 19 3 4 5 2" xfId="2089"/>
    <cellStyle name="常规 19 3 4 5 2 2" xfId="11286"/>
    <cellStyle name="常规 19 3 4 5 2 3" xfId="17352"/>
    <cellStyle name="常规 19 3 4 5 2 4" xfId="17356"/>
    <cellStyle name="常规 19 3 4 5 2 5" xfId="18009"/>
    <cellStyle name="常规 19 3 4 5 2 6" xfId="18012"/>
    <cellStyle name="常规 19 3 4 5 2 7" xfId="20901"/>
    <cellStyle name="常规 19 3 4 5 2 8" xfId="20903"/>
    <cellStyle name="常规 19 3 4 5 3" xfId="1848"/>
    <cellStyle name="常规 19 3 4 5 3 2" xfId="17362"/>
    <cellStyle name="常规 19 3 4 5 3 3" xfId="17364"/>
    <cellStyle name="常规 19 3 4 5 3 4" xfId="20904"/>
    <cellStyle name="常规 19 3 4 5 3 5" xfId="20905"/>
    <cellStyle name="常规 19 3 4 5 3 6" xfId="20907"/>
    <cellStyle name="常规 19 3 4 5 3 7" xfId="20909"/>
    <cellStyle name="常规 19 3 4 5 3 8" xfId="20911"/>
    <cellStyle name="常规 19 3 4 5 4" xfId="3270"/>
    <cellStyle name="常规 19 3 4 5 4 2" xfId="20912"/>
    <cellStyle name="常规 19 3 4 5 4 3" xfId="20913"/>
    <cellStyle name="常规 19 3 4 5 4 4" xfId="20914"/>
    <cellStyle name="常规 19 3 4 5 4 5" xfId="20915"/>
    <cellStyle name="常规 19 3 4 5 4 6" xfId="20917"/>
    <cellStyle name="常规 19 3 4 5 4 7" xfId="20919"/>
    <cellStyle name="常规 19 3 4 5 4 8" xfId="20921"/>
    <cellStyle name="常规 19 3 4 5 5" xfId="3665"/>
    <cellStyle name="常规 19 3 4 5 5 2" xfId="20922"/>
    <cellStyle name="常规 19 3 4 5 5 3" xfId="20923"/>
    <cellStyle name="常规 19 3 4 5 5 4" xfId="20924"/>
    <cellStyle name="常规 19 3 4 5 5 5" xfId="20925"/>
    <cellStyle name="常规 19 3 4 5 5 6" xfId="7888"/>
    <cellStyle name="常规 19 3 4 5 5 7" xfId="6585"/>
    <cellStyle name="常规 19 3 4 5 5 8" xfId="6589"/>
    <cellStyle name="常规 19 3 4 5 6" xfId="3751"/>
    <cellStyle name="常规 19 3 4 5 6 2" xfId="20926"/>
    <cellStyle name="常规 19 3 4 5 6 3" xfId="20927"/>
    <cellStyle name="常规 19 3 4 5 6 4" xfId="20928"/>
    <cellStyle name="常规 19 3 4 5 6 5" xfId="4540"/>
    <cellStyle name="常规 19 3 4 5 6 6" xfId="4548"/>
    <cellStyle name="常规 19 3 4 5 6 7" xfId="7966"/>
    <cellStyle name="常规 19 3 4 5 6 8" xfId="7979"/>
    <cellStyle name="常规 19 3 4 5 7" xfId="20929"/>
    <cellStyle name="常规 19 3 4 5 7 2" xfId="20930"/>
    <cellStyle name="常规 19 3 4 5 7 3" xfId="20931"/>
    <cellStyle name="常规 19 3 4 5 7 4" xfId="20932"/>
    <cellStyle name="常规 19 3 4 5 7 5" xfId="4550"/>
    <cellStyle name="常规 19 3 4 5 7 6" xfId="4558"/>
    <cellStyle name="常规 19 3 4 5 7 7" xfId="8002"/>
    <cellStyle name="常规 19 3 4 5 7 8" xfId="8005"/>
    <cellStyle name="常规 19 3 4 5 8" xfId="20933"/>
    <cellStyle name="常规 19 3 4 5 8 2" xfId="20934"/>
    <cellStyle name="常规 19 3 4 5 8 3" xfId="20935"/>
    <cellStyle name="常规 19 3 4 5 8 4" xfId="20936"/>
    <cellStyle name="常规 19 3 4 5 8 5" xfId="20938"/>
    <cellStyle name="常规 19 3 4 5 8 6" xfId="8017"/>
    <cellStyle name="常规 19 3 4 5 8 7" xfId="8031"/>
    <cellStyle name="常规 19 3 4 5 8 8" xfId="9000"/>
    <cellStyle name="常规 19 3 4 5 9" xfId="20939"/>
    <cellStyle name="常规 19 3 4 5 9 2" xfId="20940"/>
    <cellStyle name="常规 19 3 4 5 9 3" xfId="20941"/>
    <cellStyle name="常规 19 3 4 5 9 4" xfId="20942"/>
    <cellStyle name="常规 19 3 4 5 9 5" xfId="20943"/>
    <cellStyle name="常规 19 3 4 5 9 6" xfId="8036"/>
    <cellStyle name="常规 19 3 4 5 9 7" xfId="325"/>
    <cellStyle name="常规 19 3 4 5 9 8" xfId="20944"/>
    <cellStyle name="常规 19 3 4 6" xfId="18602"/>
    <cellStyle name="常规 19 3 4 6 2" xfId="20128"/>
    <cellStyle name="常规 19 3 4 6 3" xfId="20946"/>
    <cellStyle name="常规 19 3 4 6 4" xfId="20948"/>
    <cellStyle name="常规 19 3 4 6 5" xfId="8462"/>
    <cellStyle name="常规 19 3 4 6 6" xfId="8467"/>
    <cellStyle name="常规 19 3 4 6 7" xfId="20949"/>
    <cellStyle name="常规 19 3 4 6 8" xfId="20950"/>
    <cellStyle name="常规 19 3 4 7" xfId="18605"/>
    <cellStyle name="常规 19 3 4 7 2" xfId="20137"/>
    <cellStyle name="常规 19 3 4 7 3" xfId="20954"/>
    <cellStyle name="常规 19 3 4 7 4" xfId="20957"/>
    <cellStyle name="常规 19 3 4 7 5" xfId="8472"/>
    <cellStyle name="常规 19 3 4 7 6" xfId="8475"/>
    <cellStyle name="常规 19 3 4 7 7" xfId="20960"/>
    <cellStyle name="常规 19 3 4 7 8" xfId="20963"/>
    <cellStyle name="常规 19 3 4 8" xfId="18609"/>
    <cellStyle name="常规 19 3 4 8 2" xfId="20148"/>
    <cellStyle name="常规 19 3 4 8 3" xfId="9747"/>
    <cellStyle name="常规 19 3 4 8 4" xfId="9771"/>
    <cellStyle name="常规 19 3 4 8 5" xfId="8949"/>
    <cellStyle name="常规 19 3 4 8 6" xfId="8952"/>
    <cellStyle name="常规 19 3 4 8 7" xfId="20964"/>
    <cellStyle name="常规 19 3 4 8 8" xfId="20965"/>
    <cellStyle name="常规 19 3 4 9" xfId="2268"/>
    <cellStyle name="常规 19 3 4 9 2" xfId="2286"/>
    <cellStyle name="常规 19 3 4 9 3" xfId="2370"/>
    <cellStyle name="常规 19 3 4 9 4" xfId="2426"/>
    <cellStyle name="常规 19 3 4 9 5" xfId="1136"/>
    <cellStyle name="常规 19 3 4 9 6" xfId="20966"/>
    <cellStyle name="常规 19 3 4 9 7" xfId="20967"/>
    <cellStyle name="常规 19 3 4 9 8" xfId="20968"/>
    <cellStyle name="常规 19 3 5" xfId="12460"/>
    <cellStyle name="常规 19 3 5 10" xfId="19754"/>
    <cellStyle name="常规 19 3 5 10 2" xfId="13034"/>
    <cellStyle name="常规 19 3 5 10 3" xfId="13041"/>
    <cellStyle name="常规 19 3 5 10 4" xfId="13047"/>
    <cellStyle name="常规 19 3 5 10 5" xfId="11148"/>
    <cellStyle name="常规 19 3 5 10 6" xfId="11154"/>
    <cellStyle name="常规 19 3 5 10 7" xfId="20969"/>
    <cellStyle name="常规 19 3 5 10 8" xfId="20970"/>
    <cellStyle name="常规 19 3 5 11" xfId="19760"/>
    <cellStyle name="常规 19 3 5 11 2" xfId="20972"/>
    <cellStyle name="常规 19 3 5 11 3" xfId="20974"/>
    <cellStyle name="常规 19 3 5 11 4" xfId="20976"/>
    <cellStyle name="常规 19 3 5 11 5" xfId="20978"/>
    <cellStyle name="常规 19 3 5 11 6" xfId="20979"/>
    <cellStyle name="常规 19 3 5 11 7" xfId="879"/>
    <cellStyle name="常规 19 3 5 11 8" xfId="148"/>
    <cellStyle name="常规 19 3 5 12" xfId="15924"/>
    <cellStyle name="常规 19 3 5 12 2" xfId="20981"/>
    <cellStyle name="常规 19 3 5 12 3" xfId="20982"/>
    <cellStyle name="常规 19 3 5 12 4" xfId="20983"/>
    <cellStyle name="常规 19 3 5 12 5" xfId="20984"/>
    <cellStyle name="常规 19 3 5 12 6" xfId="20985"/>
    <cellStyle name="常规 19 3 5 12 7" xfId="20987"/>
    <cellStyle name="常规 19 3 5 12 8" xfId="20989"/>
    <cellStyle name="常规 19 3 5 13" xfId="15928"/>
    <cellStyle name="常规 19 3 5 13 2" xfId="20991"/>
    <cellStyle name="常规 19 3 5 13 3" xfId="20992"/>
    <cellStyle name="常规 19 3 5 13 4" xfId="20993"/>
    <cellStyle name="常规 19 3 5 13 5" xfId="20994"/>
    <cellStyle name="常规 19 3 5 13 6" xfId="20995"/>
    <cellStyle name="常规 19 3 5 13 7" xfId="20997"/>
    <cellStyle name="常规 19 3 5 14" xfId="15931"/>
    <cellStyle name="常规 19 3 5 15" xfId="15933"/>
    <cellStyle name="常规 19 3 5 16" xfId="15936"/>
    <cellStyle name="常规 19 3 5 17" xfId="15939"/>
    <cellStyle name="常规 19 3 5 18" xfId="11673"/>
    <cellStyle name="常规 19 3 5 19" xfId="11682"/>
    <cellStyle name="常规 19 3 5 2" xfId="8456"/>
    <cellStyle name="常规 19 3 5 2 10" xfId="6575"/>
    <cellStyle name="常规 19 3 5 2 10 2" xfId="1407"/>
    <cellStyle name="常规 19 3 5 2 10 3" xfId="1472"/>
    <cellStyle name="常规 19 3 5 2 10 4" xfId="20998"/>
    <cellStyle name="常规 19 3 5 2 10 5" xfId="20999"/>
    <cellStyle name="常规 19 3 5 2 10 6" xfId="21000"/>
    <cellStyle name="常规 19 3 5 2 10 7" xfId="3062"/>
    <cellStyle name="常规 19 3 5 2 10 8" xfId="4177"/>
    <cellStyle name="常规 19 3 5 2 11" xfId="6577"/>
    <cellStyle name="常规 19 3 5 2 11 2" xfId="21001"/>
    <cellStyle name="常规 19 3 5 2 11 3" xfId="21003"/>
    <cellStyle name="常规 19 3 5 2 11 4" xfId="9623"/>
    <cellStyle name="常规 19 3 5 2 11 5" xfId="9638"/>
    <cellStyle name="常规 19 3 5 2 11 6" xfId="3077"/>
    <cellStyle name="常规 19 3 5 2 11 7" xfId="277"/>
    <cellStyle name="常规 19 3 5 2 11 8" xfId="21004"/>
    <cellStyle name="常规 19 3 5 2 12" xfId="21005"/>
    <cellStyle name="常规 19 3 5 2 12 2" xfId="21007"/>
    <cellStyle name="常规 19 3 5 2 12 3" xfId="21010"/>
    <cellStyle name="常规 19 3 5 2 12 4" xfId="9646"/>
    <cellStyle name="常规 19 3 5 2 12 5" xfId="9652"/>
    <cellStyle name="常规 19 3 5 2 12 6" xfId="553"/>
    <cellStyle name="常规 19 3 5 2 12 7" xfId="1654"/>
    <cellStyle name="常规 19 3 5 2 13" xfId="21011"/>
    <cellStyle name="常规 19 3 5 2 14" xfId="21012"/>
    <cellStyle name="常规 19 3 5 2 15" xfId="21014"/>
    <cellStyle name="常规 19 3 5 2 16" xfId="21018"/>
    <cellStyle name="常规 19 3 5 2 17" xfId="21022"/>
    <cellStyle name="常规 19 3 5 2 18" xfId="21024"/>
    <cellStyle name="常规 19 3 5 2 19" xfId="21026"/>
    <cellStyle name="常规 19 3 5 2 2" xfId="21027"/>
    <cellStyle name="常规 19 3 5 2 2 10" xfId="21028"/>
    <cellStyle name="常规 19 3 5 2 2 10 2" xfId="21029"/>
    <cellStyle name="常规 19 3 5 2 2 10 3" xfId="21030"/>
    <cellStyle name="常规 19 3 5 2 2 10 4" xfId="21031"/>
    <cellStyle name="常规 19 3 5 2 2 10 5" xfId="21032"/>
    <cellStyle name="常规 19 3 5 2 2 10 6" xfId="21033"/>
    <cellStyle name="常规 19 3 5 2 2 10 7" xfId="21034"/>
    <cellStyle name="常规 19 3 5 2 2 11" xfId="21035"/>
    <cellStyle name="常规 19 3 5 2 2 12" xfId="21036"/>
    <cellStyle name="常规 19 3 5 2 2 13" xfId="21037"/>
    <cellStyle name="常规 19 3 5 2 2 14" xfId="21038"/>
    <cellStyle name="常规 19 3 5 2 2 15" xfId="21039"/>
    <cellStyle name="常规 19 3 5 2 2 16" xfId="21040"/>
    <cellStyle name="常规 19 3 5 2 2 17" xfId="21041"/>
    <cellStyle name="常规 19 3 5 2 2 2" xfId="21042"/>
    <cellStyle name="常规 19 3 5 2 2 2 2" xfId="21043"/>
    <cellStyle name="常规 19 3 5 2 2 2 3" xfId="21044"/>
    <cellStyle name="常规 19 3 5 2 2 2 4" xfId="21045"/>
    <cellStyle name="常规 19 3 5 2 2 2 5" xfId="21046"/>
    <cellStyle name="常规 19 3 5 2 2 2 6" xfId="21047"/>
    <cellStyle name="常规 19 3 5 2 2 2 7" xfId="21048"/>
    <cellStyle name="常规 19 3 5 2 2 2 8" xfId="6644"/>
    <cellStyle name="常规 19 3 5 2 2 3" xfId="21049"/>
    <cellStyle name="常规 19 3 5 2 2 3 2" xfId="21051"/>
    <cellStyle name="常规 19 3 5 2 2 3 3" xfId="21053"/>
    <cellStyle name="常规 19 3 5 2 2 3 4" xfId="21054"/>
    <cellStyle name="常规 19 3 5 2 2 3 5" xfId="21055"/>
    <cellStyle name="常规 19 3 5 2 2 3 6" xfId="21056"/>
    <cellStyle name="常规 19 3 5 2 2 3 7" xfId="21057"/>
    <cellStyle name="常规 19 3 5 2 2 3 8" xfId="1919"/>
    <cellStyle name="常规 19 3 5 2 2 4" xfId="21058"/>
    <cellStyle name="常规 19 3 5 2 2 4 2" xfId="21059"/>
    <cellStyle name="常规 19 3 5 2 2 4 3" xfId="21060"/>
    <cellStyle name="常规 19 3 5 2 2 4 4" xfId="21061"/>
    <cellStyle name="常规 19 3 5 2 2 4 5" xfId="21062"/>
    <cellStyle name="常规 19 3 5 2 2 4 6" xfId="21063"/>
    <cellStyle name="常规 19 3 5 2 2 4 7" xfId="21064"/>
    <cellStyle name="常规 19 3 5 2 2 4 8" xfId="6719"/>
    <cellStyle name="常规 19 3 5 2 2 5" xfId="21065"/>
    <cellStyle name="常规 19 3 5 2 2 5 2" xfId="21066"/>
    <cellStyle name="常规 19 3 5 2 2 5 3" xfId="21067"/>
    <cellStyle name="常规 19 3 5 2 2 5 4" xfId="21068"/>
    <cellStyle name="常规 19 3 5 2 2 5 5" xfId="21069"/>
    <cellStyle name="常规 19 3 5 2 2 5 6" xfId="21070"/>
    <cellStyle name="常规 19 3 5 2 2 5 7" xfId="21071"/>
    <cellStyle name="常规 19 3 5 2 2 5 8" xfId="21072"/>
    <cellStyle name="常规 19 3 5 2 2 6" xfId="21073"/>
    <cellStyle name="常规 19 3 5 2 2 6 2" xfId="21075"/>
    <cellStyle name="常规 19 3 5 2 2 6 3" xfId="21076"/>
    <cellStyle name="常规 19 3 5 2 2 6 4" xfId="21077"/>
    <cellStyle name="常规 19 3 5 2 2 6 5" xfId="21078"/>
    <cellStyle name="常规 19 3 5 2 2 6 6" xfId="21079"/>
    <cellStyle name="常规 19 3 5 2 2 6 7" xfId="21080"/>
    <cellStyle name="常规 19 3 5 2 2 6 8" xfId="21081"/>
    <cellStyle name="常规 19 3 5 2 2 7" xfId="21083"/>
    <cellStyle name="常规 19 3 5 2 2 7 2" xfId="21085"/>
    <cellStyle name="常规 19 3 5 2 2 7 3" xfId="8841"/>
    <cellStyle name="常规 19 3 5 2 2 7 4" xfId="920"/>
    <cellStyle name="常规 19 3 5 2 2 7 5" xfId="21086"/>
    <cellStyle name="常规 19 3 5 2 2 7 6" xfId="21087"/>
    <cellStyle name="常规 19 3 5 2 2 7 7" xfId="21088"/>
    <cellStyle name="常规 19 3 5 2 2 7 8" xfId="21089"/>
    <cellStyle name="常规 19 3 5 2 2 8" xfId="21091"/>
    <cellStyle name="常规 19 3 5 2 2 8 2" xfId="21092"/>
    <cellStyle name="常规 19 3 5 2 2 8 3" xfId="8900"/>
    <cellStyle name="常规 19 3 5 2 2 8 4" xfId="8922"/>
    <cellStyle name="常规 19 3 5 2 2 8 5" xfId="21093"/>
    <cellStyle name="常规 19 3 5 2 2 8 6" xfId="21094"/>
    <cellStyle name="常规 19 3 5 2 2 8 7" xfId="21095"/>
    <cellStyle name="常规 19 3 5 2 2 8 8" xfId="21096"/>
    <cellStyle name="常规 19 3 5 2 2 9" xfId="21098"/>
    <cellStyle name="常规 19 3 5 2 2 9 2" xfId="21099"/>
    <cellStyle name="常规 19 3 5 2 2 9 3" xfId="21100"/>
    <cellStyle name="常规 19 3 5 2 2 9 4" xfId="21101"/>
    <cellStyle name="常规 19 3 5 2 2 9 5" xfId="21102"/>
    <cellStyle name="常规 19 3 5 2 2 9 6" xfId="21103"/>
    <cellStyle name="常规 19 3 5 2 2 9 7" xfId="21104"/>
    <cellStyle name="常规 19 3 5 2 2 9 8" xfId="21105"/>
    <cellStyle name="常规 19 3 5 2 3" xfId="21106"/>
    <cellStyle name="常规 19 3 5 2 3 2" xfId="5837"/>
    <cellStyle name="常规 19 3 5 2 3 3" xfId="4600"/>
    <cellStyle name="常规 19 3 5 2 3 4" xfId="4789"/>
    <cellStyle name="常规 19 3 5 2 3 5" xfId="4934"/>
    <cellStyle name="常规 19 3 5 2 3 6" xfId="21107"/>
    <cellStyle name="常规 19 3 5 2 3 7" xfId="21108"/>
    <cellStyle name="常规 19 3 5 2 3 8" xfId="21109"/>
    <cellStyle name="常规 19 3 5 2 4" xfId="21110"/>
    <cellStyle name="常规 19 3 5 2 4 2" xfId="21111"/>
    <cellStyle name="常规 19 3 5 2 4 3" xfId="17728"/>
    <cellStyle name="常规 19 3 5 2 4 4" xfId="17731"/>
    <cellStyle name="常规 19 3 5 2 4 5" xfId="17736"/>
    <cellStyle name="常规 19 3 5 2 4 6" xfId="17741"/>
    <cellStyle name="常规 19 3 5 2 4 7" xfId="5632"/>
    <cellStyle name="常规 19 3 5 2 4 8" xfId="10286"/>
    <cellStyle name="常规 19 3 5 2 5" xfId="21112"/>
    <cellStyle name="常规 19 3 5 2 5 2" xfId="21113"/>
    <cellStyle name="常规 19 3 5 2 5 3" xfId="17746"/>
    <cellStyle name="常规 19 3 5 2 5 4" xfId="17749"/>
    <cellStyle name="常规 19 3 5 2 5 5" xfId="17752"/>
    <cellStyle name="常规 19 3 5 2 5 6" xfId="17755"/>
    <cellStyle name="常规 19 3 5 2 5 7" xfId="12503"/>
    <cellStyle name="常规 19 3 5 2 5 8" xfId="5853"/>
    <cellStyle name="常规 19 3 5 2 6" xfId="21114"/>
    <cellStyle name="常规 19 3 5 2 6 2" xfId="21115"/>
    <cellStyle name="常规 19 3 5 2 6 3" xfId="17758"/>
    <cellStyle name="常规 19 3 5 2 6 4" xfId="17761"/>
    <cellStyle name="常规 19 3 5 2 6 5" xfId="17764"/>
    <cellStyle name="常规 19 3 5 2 6 6" xfId="17767"/>
    <cellStyle name="常规 19 3 5 2 6 7" xfId="17770"/>
    <cellStyle name="常规 19 3 5 2 6 8" xfId="17774"/>
    <cellStyle name="常规 19 3 5 2 7" xfId="21118"/>
    <cellStyle name="常规 19 3 5 2 7 2" xfId="21121"/>
    <cellStyle name="常规 19 3 5 2 7 3" xfId="21124"/>
    <cellStyle name="常规 19 3 5 2 7 4" xfId="21125"/>
    <cellStyle name="常规 19 3 5 2 7 5" xfId="21127"/>
    <cellStyle name="常规 19 3 5 2 7 6" xfId="21129"/>
    <cellStyle name="常规 19 3 5 2 7 7" xfId="21130"/>
    <cellStyle name="常规 19 3 5 2 7 8" xfId="6369"/>
    <cellStyle name="常规 19 3 5 2 8" xfId="21133"/>
    <cellStyle name="常规 19 3 5 2 8 2" xfId="21134"/>
    <cellStyle name="常规 19 3 5 2 8 3" xfId="21135"/>
    <cellStyle name="常规 19 3 5 2 8 4" xfId="21136"/>
    <cellStyle name="常规 19 3 5 2 8 5" xfId="21137"/>
    <cellStyle name="常规 19 3 5 2 8 6" xfId="21138"/>
    <cellStyle name="常规 19 3 5 2 8 7" xfId="21139"/>
    <cellStyle name="常规 19 3 5 2 8 8" xfId="21140"/>
    <cellStyle name="常规 19 3 5 2 9" xfId="21143"/>
    <cellStyle name="常规 19 3 5 2 9 2" xfId="21144"/>
    <cellStyle name="常规 19 3 5 2 9 3" xfId="14958"/>
    <cellStyle name="常规 19 3 5 2 9 4" xfId="9756"/>
    <cellStyle name="常规 19 3 5 2 9 5" xfId="9761"/>
    <cellStyle name="常规 19 3 5 2 9 6" xfId="14960"/>
    <cellStyle name="常规 19 3 5 2 9 7" xfId="14963"/>
    <cellStyle name="常规 19 3 5 2 9 8" xfId="6992"/>
    <cellStyle name="常规 19 3 5 20" xfId="15934"/>
    <cellStyle name="常规 19 3 5 3" xfId="8540"/>
    <cellStyle name="常规 19 3 5 3 10" xfId="327"/>
    <cellStyle name="常规 19 3 5 3 10 2" xfId="125"/>
    <cellStyle name="常规 19 3 5 3 10 3" xfId="545"/>
    <cellStyle name="常规 19 3 5 3 10 4" xfId="21146"/>
    <cellStyle name="常规 19 3 5 3 10 5" xfId="21148"/>
    <cellStyle name="常规 19 3 5 3 10 6" xfId="21150"/>
    <cellStyle name="常规 19 3 5 3 10 7" xfId="5392"/>
    <cellStyle name="常规 19 3 5 3 11" xfId="557"/>
    <cellStyle name="常规 19 3 5 3 12" xfId="14262"/>
    <cellStyle name="常规 19 3 5 3 13" xfId="14264"/>
    <cellStyle name="常规 19 3 5 3 14" xfId="14266"/>
    <cellStyle name="常规 19 3 5 3 15" xfId="21151"/>
    <cellStyle name="常规 19 3 5 3 16" xfId="21152"/>
    <cellStyle name="常规 19 3 5 3 17" xfId="21153"/>
    <cellStyle name="常规 19 3 5 3 2" xfId="2129"/>
    <cellStyle name="常规 19 3 5 3 2 2" xfId="2783"/>
    <cellStyle name="常规 19 3 5 3 2 3" xfId="2799"/>
    <cellStyle name="常规 19 3 5 3 2 4" xfId="21154"/>
    <cellStyle name="常规 19 3 5 3 2 5" xfId="21155"/>
    <cellStyle name="常规 19 3 5 3 2 6" xfId="21156"/>
    <cellStyle name="常规 19 3 5 3 2 7" xfId="21157"/>
    <cellStyle name="常规 19 3 5 3 2 8" xfId="7540"/>
    <cellStyle name="常规 19 3 5 3 3" xfId="2812"/>
    <cellStyle name="常规 19 3 5 3 3 2" xfId="1997"/>
    <cellStyle name="常规 19 3 5 3 3 3" xfId="3312"/>
    <cellStyle name="常规 19 3 5 3 3 4" xfId="21158"/>
    <cellStyle name="常规 19 3 5 3 3 5" xfId="21159"/>
    <cellStyle name="常规 19 3 5 3 3 6" xfId="21160"/>
    <cellStyle name="常规 19 3 5 3 3 7" xfId="21161"/>
    <cellStyle name="常规 19 3 5 3 3 8" xfId="21162"/>
    <cellStyle name="常规 19 3 5 3 4" xfId="2888"/>
    <cellStyle name="常规 19 3 5 3 4 2" xfId="21164"/>
    <cellStyle name="常规 19 3 5 3 4 3" xfId="21166"/>
    <cellStyle name="常规 19 3 5 3 4 4" xfId="21167"/>
    <cellStyle name="常规 19 3 5 3 4 5" xfId="21168"/>
    <cellStyle name="常规 19 3 5 3 4 6" xfId="310"/>
    <cellStyle name="常规 19 3 5 3 4 7" xfId="12513"/>
    <cellStyle name="常规 19 3 5 3 4 8" xfId="12518"/>
    <cellStyle name="常规 19 3 5 3 5" xfId="2894"/>
    <cellStyle name="常规 19 3 5 3 5 2" xfId="4422"/>
    <cellStyle name="常规 19 3 5 3 5 3" xfId="4434"/>
    <cellStyle name="常规 19 3 5 3 5 4" xfId="21170"/>
    <cellStyle name="常规 19 3 5 3 5 5" xfId="21171"/>
    <cellStyle name="常规 19 3 5 3 5 6" xfId="21172"/>
    <cellStyle name="常规 19 3 5 3 5 7" xfId="21174"/>
    <cellStyle name="常规 19 3 5 3 5 8" xfId="21177"/>
    <cellStyle name="常规 19 3 5 3 6" xfId="4438"/>
    <cellStyle name="常规 19 3 5 3 6 2" xfId="21178"/>
    <cellStyle name="常规 19 3 5 3 6 3" xfId="21180"/>
    <cellStyle name="常规 19 3 5 3 6 4" xfId="21182"/>
    <cellStyle name="常规 19 3 5 3 6 5" xfId="21184"/>
    <cellStyle name="常规 19 3 5 3 6 6" xfId="21185"/>
    <cellStyle name="常规 19 3 5 3 6 7" xfId="21186"/>
    <cellStyle name="常规 19 3 5 3 6 8" xfId="8545"/>
    <cellStyle name="常规 19 3 5 3 7" xfId="5177"/>
    <cellStyle name="常规 19 3 5 3 7 2" xfId="20840"/>
    <cellStyle name="常规 19 3 5 3 7 3" xfId="20844"/>
    <cellStyle name="常规 19 3 5 3 7 4" xfId="21189"/>
    <cellStyle name="常规 19 3 5 3 7 5" xfId="21191"/>
    <cellStyle name="常规 19 3 5 3 7 6" xfId="21192"/>
    <cellStyle name="常规 19 3 5 3 7 7" xfId="21193"/>
    <cellStyle name="常规 19 3 5 3 7 8" xfId="8551"/>
    <cellStyle name="常规 19 3 5 3 8" xfId="791"/>
    <cellStyle name="常规 19 3 5 3 8 2" xfId="21194"/>
    <cellStyle name="常规 19 3 5 3 8 3" xfId="21195"/>
    <cellStyle name="常规 19 3 5 3 8 4" xfId="21196"/>
    <cellStyle name="常规 19 3 5 3 8 5" xfId="21197"/>
    <cellStyle name="常规 19 3 5 3 8 6" xfId="21198"/>
    <cellStyle name="常规 19 3 5 3 8 7" xfId="21199"/>
    <cellStyle name="常规 19 3 5 3 8 8" xfId="21200"/>
    <cellStyle name="常规 19 3 5 3 9" xfId="21201"/>
    <cellStyle name="常规 19 3 5 3 9 2" xfId="21202"/>
    <cellStyle name="常规 19 3 5 3 9 3" xfId="21203"/>
    <cellStyle name="常规 19 3 5 3 9 4" xfId="21204"/>
    <cellStyle name="常规 19 3 5 3 9 5" xfId="21206"/>
    <cellStyle name="常规 19 3 5 3 9 6" xfId="21208"/>
    <cellStyle name="常规 19 3 5 3 9 7" xfId="21210"/>
    <cellStyle name="常规 19 3 5 3 9 8" xfId="21212"/>
    <cellStyle name="常规 19 3 5 4" xfId="8590"/>
    <cellStyle name="常规 19 3 5 4 2" xfId="2160"/>
    <cellStyle name="常规 19 3 5 4 3" xfId="3330"/>
    <cellStyle name="常规 19 3 5 4 4" xfId="3343"/>
    <cellStyle name="常规 19 3 5 4 5" xfId="4449"/>
    <cellStyle name="常规 19 3 5 4 6" xfId="4454"/>
    <cellStyle name="常规 19 3 5 4 7" xfId="21214"/>
    <cellStyle name="常规 19 3 5 4 8" xfId="21215"/>
    <cellStyle name="常规 19 3 5 5" xfId="8610"/>
    <cellStyle name="常规 19 3 5 5 2" xfId="21216"/>
    <cellStyle name="常规 19 3 5 5 3" xfId="21217"/>
    <cellStyle name="常规 19 3 5 5 4" xfId="21218"/>
    <cellStyle name="常规 19 3 5 5 5" xfId="21219"/>
    <cellStyle name="常规 19 3 5 5 6" xfId="21220"/>
    <cellStyle name="常规 19 3 5 5 7" xfId="21221"/>
    <cellStyle name="常规 19 3 5 5 8" xfId="21222"/>
    <cellStyle name="常规 19 3 5 6" xfId="8646"/>
    <cellStyle name="常规 19 3 5 6 2" xfId="21223"/>
    <cellStyle name="常规 19 3 5 6 3" xfId="5569"/>
    <cellStyle name="常规 19 3 5 6 4" xfId="5591"/>
    <cellStyle name="常规 19 3 5 6 5" xfId="8484"/>
    <cellStyle name="常规 19 3 5 6 6" xfId="8486"/>
    <cellStyle name="常规 19 3 5 6 7" xfId="21225"/>
    <cellStyle name="常规 19 3 5 6 8" xfId="21226"/>
    <cellStyle name="常规 19 3 5 7" xfId="18614"/>
    <cellStyle name="常规 19 3 5 7 2" xfId="21228"/>
    <cellStyle name="常规 19 3 5 7 3" xfId="21230"/>
    <cellStyle name="常规 19 3 5 7 4" xfId="21231"/>
    <cellStyle name="常规 19 3 5 7 5" xfId="21232"/>
    <cellStyle name="常规 19 3 5 7 6" xfId="21233"/>
    <cellStyle name="常规 19 3 5 7 7" xfId="21234"/>
    <cellStyle name="常规 19 3 5 7 8" xfId="21235"/>
    <cellStyle name="常规 19 3 5 8" xfId="18617"/>
    <cellStyle name="常规 19 3 5 8 2" xfId="21236"/>
    <cellStyle name="常规 19 3 5 8 3" xfId="9825"/>
    <cellStyle name="常规 19 3 5 8 4" xfId="9834"/>
    <cellStyle name="常规 19 3 5 8 5" xfId="9838"/>
    <cellStyle name="常规 19 3 5 8 6" xfId="21237"/>
    <cellStyle name="常规 19 3 5 8 7" xfId="6009"/>
    <cellStyle name="常规 19 3 5 8 8" xfId="6013"/>
    <cellStyle name="常规 19 3 5 9" xfId="2633"/>
    <cellStyle name="常规 19 3 5 9 2" xfId="21238"/>
    <cellStyle name="常规 19 3 5 9 3" xfId="75"/>
    <cellStyle name="常规 19 3 5 9 4" xfId="2340"/>
    <cellStyle name="常规 19 3 5 9 5" xfId="19913"/>
    <cellStyle name="常规 19 3 5 9 6" xfId="19857"/>
    <cellStyle name="常规 19 3 5 9 7" xfId="2764"/>
    <cellStyle name="常规 19 3 5 9 8" xfId="6557"/>
    <cellStyle name="常规 19 3 6" xfId="12465"/>
    <cellStyle name="常规 19 3 6 10" xfId="19803"/>
    <cellStyle name="常规 19 3 6 10 2" xfId="10906"/>
    <cellStyle name="常规 19 3 6 10 3" xfId="10917"/>
    <cellStyle name="常规 19 3 6 10 4" xfId="14948"/>
    <cellStyle name="常规 19 3 6 10 5" xfId="15582"/>
    <cellStyle name="常规 19 3 6 10 6" xfId="15587"/>
    <cellStyle name="常规 19 3 6 10 7" xfId="15590"/>
    <cellStyle name="常规 19 3 6 10 8" xfId="21239"/>
    <cellStyle name="常规 19 3 6 11" xfId="19808"/>
    <cellStyle name="常规 19 3 6 11 2" xfId="9318"/>
    <cellStyle name="常规 19 3 6 11 3" xfId="10945"/>
    <cellStyle name="常规 19 3 6 11 4" xfId="15595"/>
    <cellStyle name="常规 19 3 6 11 5" xfId="15604"/>
    <cellStyle name="常规 19 3 6 11 6" xfId="15612"/>
    <cellStyle name="常规 19 3 6 11 7" xfId="15618"/>
    <cellStyle name="常规 19 3 6 11 8" xfId="18130"/>
    <cellStyle name="常规 19 3 6 12" xfId="21242"/>
    <cellStyle name="常规 19 3 6 12 2" xfId="10964"/>
    <cellStyle name="常规 19 3 6 12 3" xfId="15623"/>
    <cellStyle name="常规 19 3 6 12 4" xfId="11514"/>
    <cellStyle name="常规 19 3 6 12 5" xfId="6279"/>
    <cellStyle name="常规 19 3 6 12 6" xfId="6287"/>
    <cellStyle name="常规 19 3 6 12 7" xfId="15630"/>
    <cellStyle name="常规 19 3 6 12 8" xfId="21246"/>
    <cellStyle name="常规 19 3 6 13" xfId="21247"/>
    <cellStyle name="常规 19 3 6 13 2" xfId="2056"/>
    <cellStyle name="常规 19 3 6 13 3" xfId="6295"/>
    <cellStyle name="常规 19 3 6 13 4" xfId="6903"/>
    <cellStyle name="常规 19 3 6 13 5" xfId="6924"/>
    <cellStyle name="常规 19 3 6 13 6" xfId="4458"/>
    <cellStyle name="常规 19 3 6 13 7" xfId="4470"/>
    <cellStyle name="常规 19 3 6 14" xfId="21249"/>
    <cellStyle name="常规 19 3 6 15" xfId="2357"/>
    <cellStyle name="常规 19 3 6 16" xfId="11340"/>
    <cellStyle name="常规 19 3 6 17" xfId="21251"/>
    <cellStyle name="常规 19 3 6 18" xfId="387"/>
    <cellStyle name="常规 19 3 6 19" xfId="403"/>
    <cellStyle name="常规 19 3 6 2" xfId="21253"/>
    <cellStyle name="常规 19 3 6 2 10" xfId="21255"/>
    <cellStyle name="常规 19 3 6 2 10 2" xfId="1732"/>
    <cellStyle name="常规 19 3 6 2 10 3" xfId="961"/>
    <cellStyle name="常规 19 3 6 2 10 4" xfId="975"/>
    <cellStyle name="常规 19 3 6 2 10 5" xfId="9822"/>
    <cellStyle name="常规 19 3 6 2 10 6" xfId="9844"/>
    <cellStyle name="常规 19 3 6 2 10 7" xfId="9849"/>
    <cellStyle name="常规 19 3 6 2 10 8" xfId="9852"/>
    <cellStyle name="常规 19 3 6 2 11" xfId="21257"/>
    <cellStyle name="常规 19 3 6 2 11 2" xfId="3434"/>
    <cellStyle name="常规 19 3 6 2 11 3" xfId="5660"/>
    <cellStyle name="常规 19 3 6 2 11 4" xfId="3109"/>
    <cellStyle name="常规 19 3 6 2 11 5" xfId="4346"/>
    <cellStyle name="常规 19 3 6 2 11 6" xfId="7646"/>
    <cellStyle name="常规 19 3 6 2 11 7" xfId="7653"/>
    <cellStyle name="常规 19 3 6 2 11 8" xfId="21260"/>
    <cellStyle name="常规 19 3 6 2 12" xfId="21261"/>
    <cellStyle name="常规 19 3 6 2 12 2" xfId="16728"/>
    <cellStyle name="常规 19 3 6 2 12 3" xfId="5680"/>
    <cellStyle name="常规 19 3 6 2 12 4" xfId="4366"/>
    <cellStyle name="常规 19 3 6 2 12 5" xfId="4376"/>
    <cellStyle name="常规 19 3 6 2 12 6" xfId="7141"/>
    <cellStyle name="常规 19 3 6 2 12 7" xfId="4318"/>
    <cellStyle name="常规 19 3 6 2 13" xfId="19105"/>
    <cellStyle name="常规 19 3 6 2 14" xfId="19109"/>
    <cellStyle name="常规 19 3 6 2 15" xfId="13757"/>
    <cellStyle name="常规 19 3 6 2 16" xfId="13245"/>
    <cellStyle name="常规 19 3 6 2 17" xfId="13250"/>
    <cellStyle name="常规 19 3 6 2 18" xfId="13255"/>
    <cellStyle name="常规 19 3 6 2 19" xfId="13259"/>
    <cellStyle name="常规 19 3 6 2 2" xfId="13335"/>
    <cellStyle name="常规 19 3 6 2 2 10" xfId="21264"/>
    <cellStyle name="常规 19 3 6 2 2 10 2" xfId="21267"/>
    <cellStyle name="常规 19 3 6 2 2 10 3" xfId="21270"/>
    <cellStyle name="常规 19 3 6 2 2 10 4" xfId="21273"/>
    <cellStyle name="常规 19 3 6 2 2 10 5" xfId="21275"/>
    <cellStyle name="常规 19 3 6 2 2 10 6" xfId="21277"/>
    <cellStyle name="常规 19 3 6 2 2 10 7" xfId="21279"/>
    <cellStyle name="常规 19 3 6 2 2 11" xfId="13505"/>
    <cellStyle name="常规 19 3 6 2 2 12" xfId="13509"/>
    <cellStyle name="常规 19 3 6 2 2 13" xfId="4184"/>
    <cellStyle name="常规 19 3 6 2 2 14" xfId="4191"/>
    <cellStyle name="常规 19 3 6 2 2 15" xfId="13512"/>
    <cellStyle name="常规 19 3 6 2 2 16" xfId="13518"/>
    <cellStyle name="常规 19 3 6 2 2 17" xfId="13523"/>
    <cellStyle name="常规 19 3 6 2 2 2" xfId="17668"/>
    <cellStyle name="常规 19 3 6 2 2 2 2" xfId="21280"/>
    <cellStyle name="常规 19 3 6 2 2 2 3" xfId="21281"/>
    <cellStyle name="常规 19 3 6 2 2 2 4" xfId="21283"/>
    <cellStyle name="常规 19 3 6 2 2 2 5" xfId="21285"/>
    <cellStyle name="常规 19 3 6 2 2 2 6" xfId="21286"/>
    <cellStyle name="常规 19 3 6 2 2 2 7" xfId="21287"/>
    <cellStyle name="常规 19 3 6 2 2 2 8" xfId="21288"/>
    <cellStyle name="常规 19 3 6 2 2 3" xfId="17671"/>
    <cellStyle name="常规 19 3 6 2 2 3 2" xfId="21289"/>
    <cellStyle name="常规 19 3 6 2 2 3 3" xfId="21290"/>
    <cellStyle name="常规 19 3 6 2 2 3 4" xfId="21292"/>
    <cellStyle name="常规 19 3 6 2 2 3 5" xfId="21294"/>
    <cellStyle name="常规 19 3 6 2 2 3 6" xfId="21295"/>
    <cellStyle name="常规 19 3 6 2 2 3 7" xfId="21296"/>
    <cellStyle name="常规 19 3 6 2 2 3 8" xfId="21297"/>
    <cellStyle name="常规 19 3 6 2 2 4" xfId="21298"/>
    <cellStyle name="常规 19 3 6 2 2 4 2" xfId="8062"/>
    <cellStyle name="常规 19 3 6 2 2 4 3" xfId="8081"/>
    <cellStyle name="常规 19 3 6 2 2 4 4" xfId="299"/>
    <cellStyle name="常规 19 3 6 2 2 4 5" xfId="411"/>
    <cellStyle name="常规 19 3 6 2 2 4 6" xfId="21300"/>
    <cellStyle name="常规 19 3 6 2 2 4 7" xfId="21301"/>
    <cellStyle name="常规 19 3 6 2 2 4 8" xfId="21302"/>
    <cellStyle name="常规 19 3 6 2 2 5" xfId="7060"/>
    <cellStyle name="常规 19 3 6 2 2 5 2" xfId="8090"/>
    <cellStyle name="常规 19 3 6 2 2 5 3" xfId="8098"/>
    <cellStyle name="常规 19 3 6 2 2 5 4" xfId="2238"/>
    <cellStyle name="常规 19 3 6 2 2 5 5" xfId="2250"/>
    <cellStyle name="常规 19 3 6 2 2 5 6" xfId="3417"/>
    <cellStyle name="常规 19 3 6 2 2 5 7" xfId="3428"/>
    <cellStyle name="常规 19 3 6 2 2 5 8" xfId="21304"/>
    <cellStyle name="常规 19 3 6 2 2 6" xfId="5009"/>
    <cellStyle name="常规 19 3 6 2 2 6 2" xfId="10437"/>
    <cellStyle name="常规 19 3 6 2 2 6 3" xfId="21306"/>
    <cellStyle name="常规 19 3 6 2 2 6 4" xfId="21308"/>
    <cellStyle name="常规 19 3 6 2 2 6 5" xfId="21311"/>
    <cellStyle name="常规 19 3 6 2 2 6 6" xfId="21314"/>
    <cellStyle name="常规 19 3 6 2 2 6 7" xfId="21315"/>
    <cellStyle name="常规 19 3 6 2 2 6 8" xfId="21316"/>
    <cellStyle name="常规 19 3 6 2 2 7" xfId="21318"/>
    <cellStyle name="常规 19 3 6 2 2 7 2" xfId="9902"/>
    <cellStyle name="常规 19 3 6 2 2 7 3" xfId="9906"/>
    <cellStyle name="常规 19 3 6 2 2 7 4" xfId="10736"/>
    <cellStyle name="常规 19 3 6 2 2 7 5" xfId="21321"/>
    <cellStyle name="常规 19 3 6 2 2 7 6" xfId="21323"/>
    <cellStyle name="常规 19 3 6 2 2 7 7" xfId="21324"/>
    <cellStyle name="常规 19 3 6 2 2 7 8" xfId="21325"/>
    <cellStyle name="常规 19 3 6 2 2 8" xfId="21327"/>
    <cellStyle name="常规 19 3 6 2 2 8 2" xfId="21330"/>
    <cellStyle name="常规 19 3 6 2 2 8 3" xfId="10743"/>
    <cellStyle name="常规 19 3 6 2 2 8 4" xfId="10745"/>
    <cellStyle name="常规 19 3 6 2 2 8 5" xfId="21331"/>
    <cellStyle name="常规 19 3 6 2 2 8 6" xfId="4322"/>
    <cellStyle name="常规 19 3 6 2 2 8 7" xfId="4333"/>
    <cellStyle name="常规 19 3 6 2 2 8 8" xfId="11946"/>
    <cellStyle name="常规 19 3 6 2 2 9" xfId="748"/>
    <cellStyle name="常规 19 3 6 2 2 9 2" xfId="3955"/>
    <cellStyle name="常规 19 3 6 2 2 9 3" xfId="3957"/>
    <cellStyle name="常规 19 3 6 2 2 9 4" xfId="21332"/>
    <cellStyle name="常规 19 3 6 2 2 9 5" xfId="21333"/>
    <cellStyle name="常规 19 3 6 2 2 9 6" xfId="21334"/>
    <cellStyle name="常规 19 3 6 2 2 9 7" xfId="21335"/>
    <cellStyle name="常规 19 3 6 2 2 9 8" xfId="21336"/>
    <cellStyle name="常规 19 3 6 2 3" xfId="13338"/>
    <cellStyle name="常规 19 3 6 2 3 2" xfId="16289"/>
    <cellStyle name="常规 19 3 6 2 3 3" xfId="16300"/>
    <cellStyle name="常规 19 3 6 2 3 4" xfId="16304"/>
    <cellStyle name="常规 19 3 6 2 3 5" xfId="8127"/>
    <cellStyle name="常规 19 3 6 2 3 6" xfId="8515"/>
    <cellStyle name="常规 19 3 6 2 3 7" xfId="16308"/>
    <cellStyle name="常规 19 3 6 2 3 8" xfId="16312"/>
    <cellStyle name="常规 19 3 6 2 4" xfId="21337"/>
    <cellStyle name="常规 19 3 6 2 4 2" xfId="21339"/>
    <cellStyle name="常规 19 3 6 2 4 3" xfId="21341"/>
    <cellStyle name="常规 19 3 6 2 4 4" xfId="21343"/>
    <cellStyle name="常规 19 3 6 2 4 5" xfId="8147"/>
    <cellStyle name="常规 19 3 6 2 4 6" xfId="11854"/>
    <cellStyle name="常规 19 3 6 2 4 7" xfId="10309"/>
    <cellStyle name="常规 19 3 6 2 4 8" xfId="21346"/>
    <cellStyle name="常规 19 3 6 2 5" xfId="21348"/>
    <cellStyle name="常规 19 3 6 2 5 2" xfId="21350"/>
    <cellStyle name="常规 19 3 6 2 5 3" xfId="21352"/>
    <cellStyle name="常规 19 3 6 2 5 4" xfId="21355"/>
    <cellStyle name="常规 19 3 6 2 5 5" xfId="21358"/>
    <cellStyle name="常规 19 3 6 2 5 6" xfId="21362"/>
    <cellStyle name="常规 19 3 6 2 5 7" xfId="21366"/>
    <cellStyle name="常规 19 3 6 2 5 8" xfId="5329"/>
    <cellStyle name="常规 19 3 6 2 6" xfId="21368"/>
    <cellStyle name="常规 19 3 6 2 6 2" xfId="21370"/>
    <cellStyle name="常规 19 3 6 2 6 3" xfId="21372"/>
    <cellStyle name="常规 19 3 6 2 6 4" xfId="578"/>
    <cellStyle name="常规 19 3 6 2 6 5" xfId="590"/>
    <cellStyle name="常规 19 3 6 2 6 6" xfId="21376"/>
    <cellStyle name="常规 19 3 6 2 6 7" xfId="21380"/>
    <cellStyle name="常规 19 3 6 2 6 8" xfId="21384"/>
    <cellStyle name="常规 19 3 6 2 7" xfId="21387"/>
    <cellStyle name="常规 19 3 6 2 7 2" xfId="21390"/>
    <cellStyle name="常规 19 3 6 2 7 3" xfId="21393"/>
    <cellStyle name="常规 19 3 6 2 7 4" xfId="21396"/>
    <cellStyle name="常规 19 3 6 2 7 5" xfId="21399"/>
    <cellStyle name="常规 19 3 6 2 7 6" xfId="21402"/>
    <cellStyle name="常规 19 3 6 2 7 7" xfId="11557"/>
    <cellStyle name="常规 19 3 6 2 7 8" xfId="6386"/>
    <cellStyle name="常规 19 3 6 2 8" xfId="21405"/>
    <cellStyle name="常规 19 3 6 2 8 2" xfId="16754"/>
    <cellStyle name="常规 19 3 6 2 8 3" xfId="16757"/>
    <cellStyle name="常规 19 3 6 2 8 4" xfId="2392"/>
    <cellStyle name="常规 19 3 6 2 8 5" xfId="2404"/>
    <cellStyle name="常规 19 3 6 2 8 6" xfId="16762"/>
    <cellStyle name="常规 19 3 6 2 8 7" xfId="7419"/>
    <cellStyle name="常规 19 3 6 2 8 8" xfId="7516"/>
    <cellStyle name="常规 19 3 6 2 9" xfId="21408"/>
    <cellStyle name="常规 19 3 6 2 9 2" xfId="21411"/>
    <cellStyle name="常规 19 3 6 2 9 3" xfId="21413"/>
    <cellStyle name="常规 19 3 6 2 9 4" xfId="21417"/>
    <cellStyle name="常规 19 3 6 2 9 5" xfId="21421"/>
    <cellStyle name="常规 19 3 6 2 9 6" xfId="21424"/>
    <cellStyle name="常规 19 3 6 2 9 7" xfId="18972"/>
    <cellStyle name="常规 19 3 6 2 9 8" xfId="7019"/>
    <cellStyle name="常规 19 3 6 20" xfId="2358"/>
    <cellStyle name="常规 19 3 6 3" xfId="21426"/>
    <cellStyle name="常规 19 3 6 3 10" xfId="21428"/>
    <cellStyle name="常规 19 3 6 3 10 2" xfId="7816"/>
    <cellStyle name="常规 19 3 6 3 10 3" xfId="7818"/>
    <cellStyle name="常规 19 3 6 3 10 4" xfId="21429"/>
    <cellStyle name="常规 19 3 6 3 10 5" xfId="21430"/>
    <cellStyle name="常规 19 3 6 3 10 6" xfId="21432"/>
    <cellStyle name="常规 19 3 6 3 10 7" xfId="21433"/>
    <cellStyle name="常规 19 3 6 3 11" xfId="12093"/>
    <cellStyle name="常规 19 3 6 3 12" xfId="12103"/>
    <cellStyle name="常规 19 3 6 3 13" xfId="19131"/>
    <cellStyle name="常规 19 3 6 3 14" xfId="19134"/>
    <cellStyle name="常规 19 3 6 3 15" xfId="13817"/>
    <cellStyle name="常规 19 3 6 3 16" xfId="1853"/>
    <cellStyle name="常规 19 3 6 3 17" xfId="3275"/>
    <cellStyle name="常规 19 3 6 3 2" xfId="407"/>
    <cellStyle name="常规 19 3 6 3 2 2" xfId="17817"/>
    <cellStyle name="常规 19 3 6 3 2 3" xfId="18078"/>
    <cellStyle name="常规 19 3 6 3 2 4" xfId="21434"/>
    <cellStyle name="常规 19 3 6 3 2 5" xfId="800"/>
    <cellStyle name="常规 19 3 6 3 2 6" xfId="848"/>
    <cellStyle name="常规 19 3 6 3 2 7" xfId="7434"/>
    <cellStyle name="常规 19 3 6 3 2 8" xfId="21436"/>
    <cellStyle name="常规 19 3 6 3 3" xfId="3366"/>
    <cellStyle name="常规 19 3 6 3 3 2" xfId="3372"/>
    <cellStyle name="常规 19 3 6 3 3 3" xfId="3378"/>
    <cellStyle name="常规 19 3 6 3 3 4" xfId="21437"/>
    <cellStyle name="常规 19 3 6 3 3 5" xfId="890"/>
    <cellStyle name="常规 19 3 6 3 3 6" xfId="9436"/>
    <cellStyle name="常规 19 3 6 3 3 7" xfId="21439"/>
    <cellStyle name="常规 19 3 6 3 3 8" xfId="21440"/>
    <cellStyle name="常规 19 3 6 3 4" xfId="3391"/>
    <cellStyle name="常规 19 3 6 3 4 2" xfId="21442"/>
    <cellStyle name="常规 19 3 6 3 4 3" xfId="21444"/>
    <cellStyle name="常规 19 3 6 3 4 4" xfId="21445"/>
    <cellStyle name="常规 19 3 6 3 4 5" xfId="21446"/>
    <cellStyle name="常规 19 3 6 3 4 6" xfId="21448"/>
    <cellStyle name="常规 19 3 6 3 4 7" xfId="21451"/>
    <cellStyle name="常规 19 3 6 3 4 8" xfId="21452"/>
    <cellStyle name="常规 19 3 6 3 5" xfId="4102"/>
    <cellStyle name="常规 19 3 6 3 5 2" xfId="4464"/>
    <cellStyle name="常规 19 3 6 3 5 3" xfId="4480"/>
    <cellStyle name="常规 19 3 6 3 5 4" xfId="21455"/>
    <cellStyle name="常规 19 3 6 3 5 5" xfId="21458"/>
    <cellStyle name="常规 19 3 6 3 5 6" xfId="21460"/>
    <cellStyle name="常规 19 3 6 3 5 7" xfId="21462"/>
    <cellStyle name="常规 19 3 6 3 5 8" xfId="21465"/>
    <cellStyle name="常规 19 3 6 3 6" xfId="4113"/>
    <cellStyle name="常规 19 3 6 3 6 2" xfId="21466"/>
    <cellStyle name="常规 19 3 6 3 6 3" xfId="21467"/>
    <cellStyle name="常规 19 3 6 3 6 4" xfId="21469"/>
    <cellStyle name="常规 19 3 6 3 6 5" xfId="21471"/>
    <cellStyle name="常规 19 3 6 3 6 6" xfId="21474"/>
    <cellStyle name="常规 19 3 6 3 6 7" xfId="21477"/>
    <cellStyle name="常规 19 3 6 3 6 8" xfId="8593"/>
    <cellStyle name="常规 19 3 6 3 7" xfId="11255"/>
    <cellStyle name="常规 19 3 6 3 7 2" xfId="21478"/>
    <cellStyle name="常规 19 3 6 3 7 3" xfId="21479"/>
    <cellStyle name="常规 19 3 6 3 7 4" xfId="21481"/>
    <cellStyle name="常规 19 3 6 3 7 5" xfId="21483"/>
    <cellStyle name="常规 19 3 6 3 7 6" xfId="21485"/>
    <cellStyle name="常规 19 3 6 3 7 7" xfId="11569"/>
    <cellStyle name="常规 19 3 6 3 7 8" xfId="11572"/>
    <cellStyle name="常规 19 3 6 3 8" xfId="21486"/>
    <cellStyle name="常规 19 3 6 3 8 2" xfId="21488"/>
    <cellStyle name="常规 19 3 6 3 8 3" xfId="21489"/>
    <cellStyle name="常规 19 3 6 3 8 4" xfId="21491"/>
    <cellStyle name="常规 19 3 6 3 8 5" xfId="21493"/>
    <cellStyle name="常规 19 3 6 3 8 6" xfId="21495"/>
    <cellStyle name="常规 19 3 6 3 8 7" xfId="7885"/>
    <cellStyle name="常规 19 3 6 3 8 8" xfId="8039"/>
    <cellStyle name="常规 19 3 6 3 9" xfId="21496"/>
    <cellStyle name="常规 19 3 6 3 9 2" xfId="21497"/>
    <cellStyle name="常规 19 3 6 3 9 3" xfId="21498"/>
    <cellStyle name="常规 19 3 6 3 9 4" xfId="21500"/>
    <cellStyle name="常规 19 3 6 3 9 5" xfId="21502"/>
    <cellStyle name="常规 19 3 6 3 9 6" xfId="21504"/>
    <cellStyle name="常规 19 3 6 3 9 7" xfId="21506"/>
    <cellStyle name="常规 19 3 6 3 9 8" xfId="21508"/>
    <cellStyle name="常规 19 3 6 4" xfId="21509"/>
    <cellStyle name="常规 19 3 6 4 2" xfId="2246"/>
    <cellStyle name="常规 19 3 6 4 3" xfId="3414"/>
    <cellStyle name="常规 19 3 6 4 4" xfId="3425"/>
    <cellStyle name="常规 19 3 6 4 5" xfId="4012"/>
    <cellStyle name="常规 19 3 6 4 6" xfId="4487"/>
    <cellStyle name="常规 19 3 6 4 7" xfId="21511"/>
    <cellStyle name="常规 19 3 6 4 8" xfId="21513"/>
    <cellStyle name="常规 19 3 6 5" xfId="18623"/>
    <cellStyle name="常规 19 3 6 5 2" xfId="21515"/>
    <cellStyle name="常规 19 3 6 5 3" xfId="21517"/>
    <cellStyle name="常规 19 3 6 5 4" xfId="21519"/>
    <cellStyle name="常规 19 3 6 5 5" xfId="21521"/>
    <cellStyle name="常规 19 3 6 5 6" xfId="21523"/>
    <cellStyle name="常规 19 3 6 5 7" xfId="21525"/>
    <cellStyle name="常规 19 3 6 5 8" xfId="21527"/>
    <cellStyle name="常规 19 3 6 6" xfId="18627"/>
    <cellStyle name="常规 19 3 6 6 2" xfId="21529"/>
    <cellStyle name="常规 19 3 6 6 3" xfId="21531"/>
    <cellStyle name="常规 19 3 6 6 4" xfId="21533"/>
    <cellStyle name="常规 19 3 6 6 5" xfId="14561"/>
    <cellStyle name="常规 19 3 6 6 6" xfId="14580"/>
    <cellStyle name="常规 19 3 6 6 7" xfId="10502"/>
    <cellStyle name="常规 19 3 6 6 8" xfId="10508"/>
    <cellStyle name="常规 19 3 6 7" xfId="18631"/>
    <cellStyle name="常规 19 3 6 7 2" xfId="21535"/>
    <cellStyle name="常规 19 3 6 7 3" xfId="21537"/>
    <cellStyle name="常规 19 3 6 7 4" xfId="21539"/>
    <cellStyle name="常规 19 3 6 7 5" xfId="21541"/>
    <cellStyle name="常规 19 3 6 7 6" xfId="21544"/>
    <cellStyle name="常规 19 3 6 7 7" xfId="21547"/>
    <cellStyle name="常规 19 3 6 7 8" xfId="21549"/>
    <cellStyle name="常规 19 3 6 8" xfId="18636"/>
    <cellStyle name="常规 19 3 6 8 2" xfId="21551"/>
    <cellStyle name="常规 19 3 6 8 3" xfId="9855"/>
    <cellStyle name="常规 19 3 6 8 4" xfId="9863"/>
    <cellStyle name="常规 19 3 6 8 5" xfId="21553"/>
    <cellStyle name="常规 19 3 6 8 6" xfId="21555"/>
    <cellStyle name="常规 19 3 6 8 7" xfId="21557"/>
    <cellStyle name="常规 19 3 6 8 8" xfId="21559"/>
    <cellStyle name="常规 19 3 6 9" xfId="18642"/>
    <cellStyle name="常规 19 3 6 9 2" xfId="21561"/>
    <cellStyle name="常规 19 3 6 9 3" xfId="2465"/>
    <cellStyle name="常规 19 3 6 9 4" xfId="2479"/>
    <cellStyle name="常规 19 3 6 9 5" xfId="20013"/>
    <cellStyle name="常规 19 3 6 9 6" xfId="20016"/>
    <cellStyle name="常规 19 3 6 9 7" xfId="16353"/>
    <cellStyle name="常规 19 3 6 9 8" xfId="16369"/>
    <cellStyle name="常规 19 3 7" xfId="21564"/>
    <cellStyle name="常规 19 3 7 10" xfId="14722"/>
    <cellStyle name="常规 19 3 7 10 2" xfId="12463"/>
    <cellStyle name="常规 19 3 7 10 3" xfId="14717"/>
    <cellStyle name="常规 19 3 7 10 4" xfId="21566"/>
    <cellStyle name="常规 19 3 7 10 5" xfId="21568"/>
    <cellStyle name="常规 19 3 7 10 6" xfId="21570"/>
    <cellStyle name="常规 19 3 7 10 7" xfId="19559"/>
    <cellStyle name="常规 19 3 7 10 8" xfId="19563"/>
    <cellStyle name="常规 19 3 7 11" xfId="14726"/>
    <cellStyle name="常规 19 3 7 11 2" xfId="14732"/>
    <cellStyle name="常规 19 3 7 11 3" xfId="14736"/>
    <cellStyle name="常规 19 3 7 11 4" xfId="21572"/>
    <cellStyle name="常规 19 3 7 11 5" xfId="21575"/>
    <cellStyle name="常规 19 3 7 11 6" xfId="21578"/>
    <cellStyle name="常规 19 3 7 11 7" xfId="21583"/>
    <cellStyle name="常规 19 3 7 11 8" xfId="21587"/>
    <cellStyle name="常规 19 3 7 12" xfId="14729"/>
    <cellStyle name="常规 19 3 7 12 2" xfId="8881"/>
    <cellStyle name="常规 19 3 7 12 3" xfId="7335"/>
    <cellStyle name="常规 19 3 7 12 4" xfId="7352"/>
    <cellStyle name="常规 19 3 7 12 5" xfId="5767"/>
    <cellStyle name="常规 19 3 7 12 6" xfId="5875"/>
    <cellStyle name="常规 19 3 7 12 7" xfId="5047"/>
    <cellStyle name="常规 19 3 7 13" xfId="14733"/>
    <cellStyle name="常规 19 3 7 14" xfId="14737"/>
    <cellStyle name="常规 19 3 7 15" xfId="21573"/>
    <cellStyle name="常规 19 3 7 16" xfId="21576"/>
    <cellStyle name="常规 19 3 7 17" xfId="21579"/>
    <cellStyle name="常规 19 3 7 18" xfId="21584"/>
    <cellStyle name="常规 19 3 7 19" xfId="21588"/>
    <cellStyle name="常规 19 3 7 2" xfId="21590"/>
    <cellStyle name="常规 19 3 7 2 10" xfId="11546"/>
    <cellStyle name="常规 19 3 7 2 10 2" xfId="14440"/>
    <cellStyle name="常规 19 3 7 2 10 3" xfId="14445"/>
    <cellStyle name="常规 19 3 7 2 10 4" xfId="17887"/>
    <cellStyle name="常规 19 3 7 2 10 5" xfId="17893"/>
    <cellStyle name="常规 19 3 7 2 10 6" xfId="17898"/>
    <cellStyle name="常规 19 3 7 2 10 7" xfId="17902"/>
    <cellStyle name="常规 19 3 7 2 11" xfId="8708"/>
    <cellStyle name="常规 19 3 7 2 12" xfId="8711"/>
    <cellStyle name="常规 19 3 7 2 13" xfId="21592"/>
    <cellStyle name="常规 19 3 7 2 14" xfId="21593"/>
    <cellStyle name="常规 19 3 7 2 15" xfId="21594"/>
    <cellStyle name="常规 19 3 7 2 16" xfId="18426"/>
    <cellStyle name="常规 19 3 7 2 17" xfId="18428"/>
    <cellStyle name="常规 19 3 7 2 2" xfId="14750"/>
    <cellStyle name="常规 19 3 7 2 2 2" xfId="2765"/>
    <cellStyle name="常规 19 3 7 2 2 3" xfId="6558"/>
    <cellStyle name="常规 19 3 7 2 2 4" xfId="6563"/>
    <cellStyle name="常规 19 3 7 2 2 5" xfId="9590"/>
    <cellStyle name="常规 19 3 7 2 2 6" xfId="5067"/>
    <cellStyle name="常规 19 3 7 2 2 7" xfId="3022"/>
    <cellStyle name="常规 19 3 7 2 2 8" xfId="3035"/>
    <cellStyle name="常规 19 3 7 2 3" xfId="14754"/>
    <cellStyle name="常规 19 3 7 2 3 2" xfId="6024"/>
    <cellStyle name="常规 19 3 7 2 3 3" xfId="14759"/>
    <cellStyle name="常规 19 3 7 2 3 4" xfId="14764"/>
    <cellStyle name="常规 19 3 7 2 3 5" xfId="9607"/>
    <cellStyle name="常规 19 3 7 2 3 6" xfId="9613"/>
    <cellStyle name="常规 19 3 7 2 3 7" xfId="1796"/>
    <cellStyle name="常规 19 3 7 2 3 8" xfId="1805"/>
    <cellStyle name="常规 19 3 7 2 4" xfId="14768"/>
    <cellStyle name="常规 19 3 7 2 4 2" xfId="14773"/>
    <cellStyle name="常规 19 3 7 2 4 3" xfId="14777"/>
    <cellStyle name="常规 19 3 7 2 4 4" xfId="9072"/>
    <cellStyle name="常规 19 3 7 2 4 5" xfId="155"/>
    <cellStyle name="常规 19 3 7 2 4 6" xfId="14781"/>
    <cellStyle name="常规 19 3 7 2 4 7" xfId="14787"/>
    <cellStyle name="常规 19 3 7 2 4 8" xfId="14792"/>
    <cellStyle name="常规 19 3 7 2 5" xfId="14291"/>
    <cellStyle name="常规 19 3 7 2 5 2" xfId="14797"/>
    <cellStyle name="常规 19 3 7 2 5 3" xfId="14802"/>
    <cellStyle name="常规 19 3 7 2 5 4" xfId="14806"/>
    <cellStyle name="常规 19 3 7 2 5 5" xfId="14810"/>
    <cellStyle name="常规 19 3 7 2 5 6" xfId="14815"/>
    <cellStyle name="常规 19 3 7 2 5 7" xfId="14821"/>
    <cellStyle name="常规 19 3 7 2 5 8" xfId="14825"/>
    <cellStyle name="常规 19 3 7 2 6" xfId="14297"/>
    <cellStyle name="常规 19 3 7 2 6 2" xfId="219"/>
    <cellStyle name="常规 19 3 7 2 6 3" xfId="177"/>
    <cellStyle name="常规 19 3 7 2 6 4" xfId="108"/>
    <cellStyle name="常规 19 3 7 2 6 5" xfId="227"/>
    <cellStyle name="常规 19 3 7 2 6 6" xfId="482"/>
    <cellStyle name="常规 19 3 7 2 6 7" xfId="515"/>
    <cellStyle name="常规 19 3 7 2 6 8" xfId="14829"/>
    <cellStyle name="常规 19 3 7 2 7" xfId="14304"/>
    <cellStyle name="常规 19 3 7 2 7 2" xfId="14835"/>
    <cellStyle name="常规 19 3 7 2 7 3" xfId="14838"/>
    <cellStyle name="常规 19 3 7 2 7 4" xfId="14841"/>
    <cellStyle name="常规 19 3 7 2 7 5" xfId="14844"/>
    <cellStyle name="常规 19 3 7 2 7 6" xfId="14848"/>
    <cellStyle name="常规 19 3 7 2 7 7" xfId="11578"/>
    <cellStyle name="常规 19 3 7 2 7 8" xfId="11583"/>
    <cellStyle name="常规 19 3 7 2 8" xfId="14311"/>
    <cellStyle name="常规 19 3 7 2 8 2" xfId="14854"/>
    <cellStyle name="常规 19 3 7 2 8 3" xfId="14857"/>
    <cellStyle name="常规 19 3 7 2 8 4" xfId="9795"/>
    <cellStyle name="常规 19 3 7 2 8 5" xfId="9799"/>
    <cellStyle name="常规 19 3 7 2 8 6" xfId="14860"/>
    <cellStyle name="常规 19 3 7 2 8 7" xfId="14864"/>
    <cellStyle name="常规 19 3 7 2 8 8" xfId="14866"/>
    <cellStyle name="常规 19 3 7 2 9" xfId="14316"/>
    <cellStyle name="常规 19 3 7 2 9 2" xfId="13358"/>
    <cellStyle name="常规 19 3 7 2 9 3" xfId="13362"/>
    <cellStyle name="常规 19 3 7 2 9 4" xfId="8973"/>
    <cellStyle name="常规 19 3 7 2 9 5" xfId="8983"/>
    <cellStyle name="常规 19 3 7 2 9 6" xfId="13369"/>
    <cellStyle name="常规 19 3 7 2 9 7" xfId="13373"/>
    <cellStyle name="常规 19 3 7 2 9 8" xfId="13376"/>
    <cellStyle name="常规 19 3 7 3" xfId="21597"/>
    <cellStyle name="常规 19 3 7 3 2" xfId="1626"/>
    <cellStyle name="常规 19 3 7 3 3" xfId="1787"/>
    <cellStyle name="常规 19 3 7 3 4" xfId="1838"/>
    <cellStyle name="常规 19 3 7 3 5" xfId="1887"/>
    <cellStyle name="常规 19 3 7 3 6" xfId="1928"/>
    <cellStyle name="常规 19 3 7 3 7" xfId="14327"/>
    <cellStyle name="常规 19 3 7 3 8" xfId="14333"/>
    <cellStyle name="常规 19 3 7 4" xfId="21601"/>
    <cellStyle name="常规 19 3 7 4 2" xfId="14869"/>
    <cellStyle name="常规 19 3 7 4 3" xfId="14873"/>
    <cellStyle name="常规 19 3 7 4 4" xfId="14878"/>
    <cellStyle name="常规 19 3 7 4 5" xfId="14349"/>
    <cellStyle name="常规 19 3 7 4 6" xfId="14355"/>
    <cellStyle name="常规 19 3 7 4 7" xfId="10520"/>
    <cellStyle name="常规 19 3 7 4 8" xfId="10537"/>
    <cellStyle name="常规 19 3 7 5" xfId="18651"/>
    <cellStyle name="常规 19 3 7 5 2" xfId="14884"/>
    <cellStyle name="常规 19 3 7 5 3" xfId="14887"/>
    <cellStyle name="常规 19 3 7 5 4" xfId="14892"/>
    <cellStyle name="常规 19 3 7 5 5" xfId="14371"/>
    <cellStyle name="常规 19 3 7 5 6" xfId="14377"/>
    <cellStyle name="常规 19 3 7 5 7" xfId="10552"/>
    <cellStyle name="常规 19 3 7 5 8" xfId="10560"/>
    <cellStyle name="常规 19 3 7 6" xfId="18656"/>
    <cellStyle name="常规 19 3 7 6 2" xfId="14898"/>
    <cellStyle name="常规 19 3 7 6 3" xfId="6817"/>
    <cellStyle name="常规 19 3 7 6 4" xfId="6824"/>
    <cellStyle name="常规 19 3 7 6 5" xfId="14385"/>
    <cellStyle name="常规 19 3 7 6 6" xfId="14391"/>
    <cellStyle name="常规 19 3 7 6 7" xfId="14398"/>
    <cellStyle name="常规 19 3 7 6 8" xfId="14405"/>
    <cellStyle name="常规 19 3 7 7" xfId="18661"/>
    <cellStyle name="常规 19 3 7 7 2" xfId="14904"/>
    <cellStyle name="常规 19 3 7 7 3" xfId="14909"/>
    <cellStyle name="常规 19 3 7 7 4" xfId="14916"/>
    <cellStyle name="常规 19 3 7 7 5" xfId="14415"/>
    <cellStyle name="常规 19 3 7 7 6" xfId="14421"/>
    <cellStyle name="常规 19 3 7 7 7" xfId="14427"/>
    <cellStyle name="常规 19 3 7 7 8" xfId="14432"/>
    <cellStyle name="常规 19 3 7 8" xfId="18665"/>
    <cellStyle name="常规 19 3 7 8 2" xfId="14927"/>
    <cellStyle name="常规 19 3 7 8 3" xfId="7082"/>
    <cellStyle name="常规 19 3 7 8 4" xfId="7106"/>
    <cellStyle name="常规 19 3 7 8 5" xfId="1357"/>
    <cellStyle name="常规 19 3 7 8 6" xfId="1367"/>
    <cellStyle name="常规 19 3 7 8 7" xfId="6043"/>
    <cellStyle name="常规 19 3 7 8 8" xfId="258"/>
    <cellStyle name="常规 19 3 7 9" xfId="18669"/>
    <cellStyle name="常规 19 3 7 9 2" xfId="765"/>
    <cellStyle name="常规 19 3 7 9 3" xfId="2553"/>
    <cellStyle name="常规 19 3 7 9 4" xfId="7149"/>
    <cellStyle name="常规 19 3 7 9 5" xfId="1199"/>
    <cellStyle name="常规 19 3 7 9 6" xfId="2822"/>
    <cellStyle name="常规 19 3 7 9 7" xfId="6055"/>
    <cellStyle name="常规 19 3 7 9 8" xfId="19574"/>
    <cellStyle name="常规 19 3 8" xfId="21604"/>
    <cellStyle name="常规 19 3 8 10" xfId="597"/>
    <cellStyle name="常规 19 3 8 10 2" xfId="14943"/>
    <cellStyle name="常规 19 3 8 10 3" xfId="21606"/>
    <cellStyle name="常规 19 3 8 10 4" xfId="21608"/>
    <cellStyle name="常规 19 3 8 10 5" xfId="21610"/>
    <cellStyle name="常规 19 3 8 10 6" xfId="21612"/>
    <cellStyle name="常规 19 3 8 10 7" xfId="21614"/>
    <cellStyle name="常规 19 3 8 10 8" xfId="5786"/>
    <cellStyle name="常规 19 3 8 11" xfId="604"/>
    <cellStyle name="常规 19 3 8 11 2" xfId="21616"/>
    <cellStyle name="常规 19 3 8 11 3" xfId="21619"/>
    <cellStyle name="常规 19 3 8 11 4" xfId="21621"/>
    <cellStyle name="常规 19 3 8 11 5" xfId="21623"/>
    <cellStyle name="常规 19 3 8 11 6" xfId="21624"/>
    <cellStyle name="常规 19 3 8 11 7" xfId="21625"/>
    <cellStyle name="常规 19 3 8 11 8" xfId="5814"/>
    <cellStyle name="常规 19 3 8 12" xfId="2436"/>
    <cellStyle name="常规 19 3 8 12 2" xfId="21628"/>
    <cellStyle name="常规 19 3 8 12 3" xfId="21630"/>
    <cellStyle name="常规 19 3 8 12 4" xfId="21632"/>
    <cellStyle name="常规 19 3 8 12 5" xfId="21634"/>
    <cellStyle name="常规 19 3 8 12 6" xfId="21635"/>
    <cellStyle name="常规 19 3 8 12 7" xfId="21636"/>
    <cellStyle name="常规 19 3 8 13" xfId="2449"/>
    <cellStyle name="常规 19 3 8 14" xfId="21637"/>
    <cellStyle name="常规 19 3 8 15" xfId="21638"/>
    <cellStyle name="常规 19 3 8 16" xfId="21639"/>
    <cellStyle name="常规 19 3 8 17" xfId="21640"/>
    <cellStyle name="常规 19 3 8 18" xfId="21641"/>
    <cellStyle name="常规 19 3 8 19" xfId="21642"/>
    <cellStyle name="常规 19 3 8 2" xfId="21644"/>
    <cellStyle name="常规 19 3 8 2 10" xfId="21647"/>
    <cellStyle name="常规 19 3 8 2 10 2" xfId="20562"/>
    <cellStyle name="常规 19 3 8 2 10 3" xfId="20569"/>
    <cellStyle name="常规 19 3 8 2 10 4" xfId="20578"/>
    <cellStyle name="常规 19 3 8 2 10 5" xfId="20585"/>
    <cellStyle name="常规 19 3 8 2 10 6" xfId="20597"/>
    <cellStyle name="常规 19 3 8 2 10 7" xfId="15519"/>
    <cellStyle name="常规 19 3 8 2 11" xfId="21649"/>
    <cellStyle name="常规 19 3 8 2 12" xfId="4399"/>
    <cellStyle name="常规 19 3 8 2 13" xfId="2749"/>
    <cellStyle name="常规 19 3 8 2 14" xfId="21650"/>
    <cellStyle name="常规 19 3 8 2 15" xfId="10177"/>
    <cellStyle name="常规 19 3 8 2 16" xfId="10184"/>
    <cellStyle name="常规 19 3 8 2 17" xfId="9876"/>
    <cellStyle name="常规 19 3 8 2 2" xfId="9757"/>
    <cellStyle name="常规 19 3 8 2 2 2" xfId="6070"/>
    <cellStyle name="常规 19 3 8 2 2 3" xfId="9311"/>
    <cellStyle name="常规 19 3 8 2 2 4" xfId="9328"/>
    <cellStyle name="常规 19 3 8 2 2 5" xfId="2037"/>
    <cellStyle name="常规 19 3 8 2 2 6" xfId="2060"/>
    <cellStyle name="常规 19 3 8 2 2 7" xfId="3218"/>
    <cellStyle name="常规 19 3 8 2 2 8" xfId="3240"/>
    <cellStyle name="常规 19 3 8 2 3" xfId="9762"/>
    <cellStyle name="常规 19 3 8 2 3 2" xfId="11196"/>
    <cellStyle name="常规 19 3 8 2 3 3" xfId="9334"/>
    <cellStyle name="常规 19 3 8 2 3 4" xfId="9340"/>
    <cellStyle name="常规 19 3 8 2 3 5" xfId="2080"/>
    <cellStyle name="常规 19 3 8 2 3 6" xfId="2086"/>
    <cellStyle name="常规 19 3 8 2 3 7" xfId="1846"/>
    <cellStyle name="常规 19 3 8 2 3 8" xfId="3267"/>
    <cellStyle name="常规 19 3 8 2 4" xfId="14961"/>
    <cellStyle name="常规 19 3 8 2 4 2" xfId="11371"/>
    <cellStyle name="常规 19 3 8 2 4 3" xfId="11391"/>
    <cellStyle name="常规 19 3 8 2 4 4" xfId="10679"/>
    <cellStyle name="常规 19 3 8 2 4 5" xfId="10684"/>
    <cellStyle name="常规 19 3 8 2 4 6" xfId="20126"/>
    <cellStyle name="常规 19 3 8 2 4 7" xfId="20945"/>
    <cellStyle name="常规 19 3 8 2 4 8" xfId="20947"/>
    <cellStyle name="常规 19 3 8 2 5" xfId="14964"/>
    <cellStyle name="常规 19 3 8 2 5 2" xfId="11425"/>
    <cellStyle name="常规 19 3 8 2 5 3" xfId="11431"/>
    <cellStyle name="常规 19 3 8 2 5 4" xfId="10696"/>
    <cellStyle name="常规 19 3 8 2 5 5" xfId="20131"/>
    <cellStyle name="常规 19 3 8 2 5 6" xfId="20134"/>
    <cellStyle name="常规 19 3 8 2 5 7" xfId="20952"/>
    <cellStyle name="常规 19 3 8 2 5 8" xfId="20956"/>
    <cellStyle name="常规 19 3 8 2 6" xfId="6993"/>
    <cellStyle name="常规 19 3 8 2 6 2" xfId="15637"/>
    <cellStyle name="常规 19 3 8 2 6 3" xfId="15641"/>
    <cellStyle name="常规 19 3 8 2 6 4" xfId="10703"/>
    <cellStyle name="常规 19 3 8 2 6 5" xfId="20140"/>
    <cellStyle name="常规 19 3 8 2 6 6" xfId="20144"/>
    <cellStyle name="常规 19 3 8 2 6 7" xfId="9745"/>
    <cellStyle name="常规 19 3 8 2 6 8" xfId="9769"/>
    <cellStyle name="常规 19 3 8 2 7" xfId="6996"/>
    <cellStyle name="常规 19 3 8 2 7 2" xfId="15646"/>
    <cellStyle name="常规 19 3 8 2 7 3" xfId="15650"/>
    <cellStyle name="常规 19 3 8 2 7 4" xfId="15654"/>
    <cellStyle name="常规 19 3 8 2 7 5" xfId="20151"/>
    <cellStyle name="常规 19 3 8 2 7 6" xfId="2282"/>
    <cellStyle name="常规 19 3 8 2 7 7" xfId="2368"/>
    <cellStyle name="常规 19 3 8 2 7 8" xfId="2425"/>
    <cellStyle name="常规 19 3 8 2 8" xfId="21651"/>
    <cellStyle name="常规 19 3 8 2 8 2" xfId="15659"/>
    <cellStyle name="常规 19 3 8 2 8 3" xfId="15663"/>
    <cellStyle name="常规 19 3 8 2 8 4" xfId="15667"/>
    <cellStyle name="常规 19 3 8 2 8 5" xfId="20156"/>
    <cellStyle name="常规 19 3 8 2 8 6" xfId="20159"/>
    <cellStyle name="常规 19 3 8 2 8 7" xfId="2501"/>
    <cellStyle name="常规 19 3 8 2 8 8" xfId="2543"/>
    <cellStyle name="常规 19 3 8 2 9" xfId="21652"/>
    <cellStyle name="常规 19 3 8 2 9 2" xfId="15682"/>
    <cellStyle name="常规 19 3 8 2 9 3" xfId="15686"/>
    <cellStyle name="常规 19 3 8 2 9 4" xfId="15690"/>
    <cellStyle name="常规 19 3 8 2 9 5" xfId="20164"/>
    <cellStyle name="常规 19 3 8 2 9 6" xfId="20169"/>
    <cellStyle name="常规 19 3 8 2 9 7" xfId="2580"/>
    <cellStyle name="常规 19 3 8 2 9 8" xfId="2616"/>
    <cellStyle name="常规 19 3 8 3" xfId="21654"/>
    <cellStyle name="常规 19 3 8 3 2" xfId="10048"/>
    <cellStyle name="常规 19 3 8 3 3" xfId="10051"/>
    <cellStyle name="常规 19 3 8 3 4" xfId="14967"/>
    <cellStyle name="常规 19 3 8 3 5" xfId="14969"/>
    <cellStyle name="常规 19 3 8 3 6" xfId="14971"/>
    <cellStyle name="常规 19 3 8 3 7" xfId="14973"/>
    <cellStyle name="常规 19 3 8 3 8" xfId="21656"/>
    <cellStyle name="常规 19 3 8 4" xfId="10055"/>
    <cellStyle name="常规 19 3 8 4 2" xfId="14977"/>
    <cellStyle name="常规 19 3 8 4 3" xfId="14979"/>
    <cellStyle name="常规 19 3 8 4 4" xfId="14981"/>
    <cellStyle name="常规 19 3 8 4 5" xfId="14983"/>
    <cellStyle name="常规 19 3 8 4 6" xfId="14985"/>
    <cellStyle name="常规 19 3 8 4 7" xfId="10572"/>
    <cellStyle name="常规 19 3 8 4 8" xfId="21657"/>
    <cellStyle name="常规 19 3 8 5" xfId="10110"/>
    <cellStyle name="常规 19 3 8 5 2" xfId="14993"/>
    <cellStyle name="常规 19 3 8 5 3" xfId="14996"/>
    <cellStyle name="常规 19 3 8 5 4" xfId="14999"/>
    <cellStyle name="常规 19 3 8 5 5" xfId="15001"/>
    <cellStyle name="常规 19 3 8 5 6" xfId="15003"/>
    <cellStyle name="常规 19 3 8 5 7" xfId="8691"/>
    <cellStyle name="常规 19 3 8 5 8" xfId="21659"/>
    <cellStyle name="常规 19 3 8 6" xfId="21661"/>
    <cellStyle name="常规 19 3 8 6 2" xfId="15009"/>
    <cellStyle name="常规 19 3 8 6 3" xfId="15011"/>
    <cellStyle name="常规 19 3 8 6 4" xfId="15013"/>
    <cellStyle name="常规 19 3 8 6 5" xfId="15015"/>
    <cellStyle name="常规 19 3 8 6 6" xfId="15017"/>
    <cellStyle name="常规 19 3 8 6 7" xfId="15019"/>
    <cellStyle name="常规 19 3 8 6 8" xfId="21663"/>
    <cellStyle name="常规 19 3 8 7" xfId="12571"/>
    <cellStyle name="常规 19 3 8 7 2" xfId="15023"/>
    <cellStyle name="常规 19 3 8 7 3" xfId="15025"/>
    <cellStyle name="常规 19 3 8 7 4" xfId="15027"/>
    <cellStyle name="常规 19 3 8 7 5" xfId="15029"/>
    <cellStyle name="常规 19 3 8 7 6" xfId="15031"/>
    <cellStyle name="常规 19 3 8 7 7" xfId="15033"/>
    <cellStyle name="常规 19 3 8 7 8" xfId="21664"/>
    <cellStyle name="常规 19 3 8 8" xfId="12577"/>
    <cellStyle name="常规 19 3 8 8 2" xfId="15037"/>
    <cellStyle name="常规 19 3 8 8 3" xfId="1069"/>
    <cellStyle name="常规 19 3 8 8 4" xfId="2349"/>
    <cellStyle name="常规 19 3 8 8 5" xfId="532"/>
    <cellStyle name="常规 19 3 8 8 6" xfId="4686"/>
    <cellStyle name="常规 19 3 8 8 7" xfId="4696"/>
    <cellStyle name="常规 19 3 8 8 8" xfId="21665"/>
    <cellStyle name="常规 19 3 8 9" xfId="21668"/>
    <cellStyle name="常规 19 3 8 9 2" xfId="136"/>
    <cellStyle name="常规 19 3 8 9 3" xfId="2194"/>
    <cellStyle name="常规 19 3 8 9 4" xfId="7195"/>
    <cellStyle name="常规 19 3 8 9 5" xfId="7203"/>
    <cellStyle name="常规 19 3 8 9 6" xfId="8739"/>
    <cellStyle name="常规 19 3 8 9 7" xfId="10250"/>
    <cellStyle name="常规 19 3 8 9 8" xfId="21669"/>
    <cellStyle name="常规 19 3 9" xfId="21671"/>
    <cellStyle name="常规 19 3 9 10" xfId="7456"/>
    <cellStyle name="常规 19 3 9 10 2" xfId="21674"/>
    <cellStyle name="常规 19 3 9 10 3" xfId="21676"/>
    <cellStyle name="常规 19 3 9 10 4" xfId="21678"/>
    <cellStyle name="常规 19 3 9 10 5" xfId="10117"/>
    <cellStyle name="常规 19 3 9 10 6" xfId="10120"/>
    <cellStyle name="常规 19 3 9 10 7" xfId="21680"/>
    <cellStyle name="常规 19 3 9 11" xfId="21682"/>
    <cellStyle name="常规 19 3 9 12" xfId="21683"/>
    <cellStyle name="常规 19 3 9 13" xfId="21684"/>
    <cellStyle name="常规 19 3 9 14" xfId="20586"/>
    <cellStyle name="常规 19 3 9 15" xfId="20589"/>
    <cellStyle name="常规 19 3 9 16" xfId="20591"/>
    <cellStyle name="常规 19 3 9 17" xfId="20593"/>
    <cellStyle name="常规 19 3 9 2" xfId="21685"/>
    <cellStyle name="常规 19 3 9 2 2" xfId="21205"/>
    <cellStyle name="常规 19 3 9 2 3" xfId="21207"/>
    <cellStyle name="常规 19 3 9 2 4" xfId="21209"/>
    <cellStyle name="常规 19 3 9 2 5" xfId="21211"/>
    <cellStyle name="常规 19 3 9 2 6" xfId="21213"/>
    <cellStyle name="常规 19 3 9 2 7" xfId="21687"/>
    <cellStyle name="常规 19 3 9 2 8" xfId="21688"/>
    <cellStyle name="常规 19 3 9 3" xfId="21689"/>
    <cellStyle name="常规 19 3 9 3 2" xfId="21691"/>
    <cellStyle name="常规 19 3 9 3 3" xfId="21692"/>
    <cellStyle name="常规 19 3 9 3 4" xfId="21693"/>
    <cellStyle name="常规 19 3 9 3 5" xfId="21694"/>
    <cellStyle name="常规 19 3 9 3 6" xfId="21695"/>
    <cellStyle name="常规 19 3 9 3 7" xfId="21696"/>
    <cellStyle name="常规 19 3 9 3 8" xfId="21697"/>
    <cellStyle name="常规 19 3 9 4" xfId="21698"/>
    <cellStyle name="常规 19 3 9 4 2" xfId="21700"/>
    <cellStyle name="常规 19 3 9 4 3" xfId="21701"/>
    <cellStyle name="常规 19 3 9 4 4" xfId="21702"/>
    <cellStyle name="常规 19 3 9 4 5" xfId="21703"/>
    <cellStyle name="常规 19 3 9 4 6" xfId="21704"/>
    <cellStyle name="常规 19 3 9 4 7" xfId="21705"/>
    <cellStyle name="常规 19 3 9 4 8" xfId="21706"/>
    <cellStyle name="常规 19 3 9 5" xfId="21708"/>
    <cellStyle name="常规 19 3 9 5 2" xfId="21711"/>
    <cellStyle name="常规 19 3 9 5 3" xfId="21713"/>
    <cellStyle name="常规 19 3 9 5 4" xfId="21714"/>
    <cellStyle name="常规 19 3 9 5 5" xfId="21715"/>
    <cellStyle name="常规 19 3 9 5 6" xfId="12315"/>
    <cellStyle name="常规 19 3 9 5 7" xfId="12338"/>
    <cellStyle name="常规 19 3 9 5 8" xfId="12347"/>
    <cellStyle name="常规 19 3 9 6" xfId="21717"/>
    <cellStyle name="常规 19 3 9 6 2" xfId="21720"/>
    <cellStyle name="常规 19 3 9 6 3" xfId="1116"/>
    <cellStyle name="常规 19 3 9 6 4" xfId="2682"/>
    <cellStyle name="常规 19 3 9 6 5" xfId="21721"/>
    <cellStyle name="常规 19 3 9 6 6" xfId="12349"/>
    <cellStyle name="常规 19 3 9 6 7" xfId="12363"/>
    <cellStyle name="常规 19 3 9 6 8" xfId="12371"/>
    <cellStyle name="常规 19 3 9 7" xfId="12586"/>
    <cellStyle name="常规 19 3 9 7 2" xfId="12592"/>
    <cellStyle name="常规 19 3 9 7 3" xfId="1138"/>
    <cellStyle name="常规 19 3 9 7 4" xfId="21722"/>
    <cellStyle name="常规 19 3 9 7 5" xfId="21723"/>
    <cellStyle name="常规 19 3 9 7 6" xfId="8858"/>
    <cellStyle name="常规 19 3 9 7 7" xfId="12390"/>
    <cellStyle name="常规 19 3 9 7 8" xfId="12402"/>
    <cellStyle name="常规 19 3 9 8" xfId="12598"/>
    <cellStyle name="常规 19 3 9 8 2" xfId="21725"/>
    <cellStyle name="常规 19 3 9 8 3" xfId="21727"/>
    <cellStyle name="常规 19 3 9 8 4" xfId="21730"/>
    <cellStyle name="常规 19 3 9 8 5" xfId="21732"/>
    <cellStyle name="常规 19 3 9 8 6" xfId="6234"/>
    <cellStyle name="常规 19 3 9 8 7" xfId="6269"/>
    <cellStyle name="常规 19 3 9 8 8" xfId="12406"/>
    <cellStyle name="常规 19 3 9 9" xfId="2912"/>
    <cellStyle name="常规 19 3 9 9 2" xfId="21734"/>
    <cellStyle name="常规 19 3 9 9 3" xfId="21736"/>
    <cellStyle name="常规 19 3 9 9 4" xfId="21737"/>
    <cellStyle name="常规 19 3 9 9 5" xfId="21738"/>
    <cellStyle name="常规 19 3 9 9 6" xfId="21739"/>
    <cellStyle name="常规 19 3 9 9 7" xfId="21740"/>
    <cellStyle name="常规 19 3 9 9 8" xfId="21741"/>
    <cellStyle name="常规 19 4" xfId="12670"/>
    <cellStyle name="常规 19 4 10" xfId="21742"/>
    <cellStyle name="常规 19 4 10 2" xfId="21743"/>
    <cellStyle name="常规 19 4 10 3" xfId="21744"/>
    <cellStyle name="常规 19 4 10 4" xfId="21746"/>
    <cellStyle name="常规 19 4 10 5" xfId="21748"/>
    <cellStyle name="常规 19 4 10 6" xfId="21750"/>
    <cellStyle name="常规 19 4 10 7" xfId="13009"/>
    <cellStyle name="常规 19 4 10 8" xfId="13022"/>
    <cellStyle name="常规 19 4 11" xfId="21751"/>
    <cellStyle name="常规 19 4 11 2" xfId="21752"/>
    <cellStyle name="常规 19 4 11 3" xfId="21753"/>
    <cellStyle name="常规 19 4 11 4" xfId="21754"/>
    <cellStyle name="常规 19 4 11 5" xfId="21755"/>
    <cellStyle name="常规 19 4 11 6" xfId="21756"/>
    <cellStyle name="常规 19 4 11 7" xfId="13108"/>
    <cellStyle name="常规 19 4 11 8" xfId="13110"/>
    <cellStyle name="常规 19 4 12" xfId="10514"/>
    <cellStyle name="常规 19 4 12 2" xfId="10526"/>
    <cellStyle name="常规 19 4 12 3" xfId="10541"/>
    <cellStyle name="常规 19 4 12 4" xfId="21757"/>
    <cellStyle name="常规 19 4 12 5" xfId="11705"/>
    <cellStyle name="常规 19 4 12 6" xfId="21758"/>
    <cellStyle name="常规 19 4 12 7" xfId="3479"/>
    <cellStyle name="常规 19 4 12 8" xfId="633"/>
    <cellStyle name="常规 19 4 13" xfId="10545"/>
    <cellStyle name="常规 19 4 13 2" xfId="10555"/>
    <cellStyle name="常规 19 4 13 3" xfId="10564"/>
    <cellStyle name="常规 19 4 13 4" xfId="21759"/>
    <cellStyle name="常规 19 4 13 5" xfId="21760"/>
    <cellStyle name="常规 19 4 13 6" xfId="21761"/>
    <cellStyle name="常规 19 4 13 7" xfId="3683"/>
    <cellStyle name="常规 19 4 13 8" xfId="673"/>
    <cellStyle name="常规 19 4 14" xfId="10567"/>
    <cellStyle name="常规 19 4 14 2" xfId="21762"/>
    <cellStyle name="常规 19 4 14 3" xfId="21763"/>
    <cellStyle name="常规 19 4 14 4" xfId="21765"/>
    <cellStyle name="常规 19 4 14 5" xfId="21767"/>
    <cellStyle name="常规 19 4 14 6" xfId="21769"/>
    <cellStyle name="常规 19 4 14 7" xfId="3774"/>
    <cellStyle name="常规 19 4 14 8" xfId="3819"/>
    <cellStyle name="常规 19 4 15" xfId="21770"/>
    <cellStyle name="常规 19 4 15 2" xfId="21772"/>
    <cellStyle name="常规 19 4 15 3" xfId="21773"/>
    <cellStyle name="常规 19 4 15 4" xfId="21775"/>
    <cellStyle name="常规 19 4 15 5" xfId="21777"/>
    <cellStyle name="常规 19 4 15 6" xfId="21779"/>
    <cellStyle name="常规 19 4 15 7" xfId="13146"/>
    <cellStyle name="常规 19 4 15 8" xfId="12130"/>
    <cellStyle name="常规 19 4 16" xfId="21780"/>
    <cellStyle name="常规 19 4 16 2" xfId="6048"/>
    <cellStyle name="常规 19 4 16 3" xfId="263"/>
    <cellStyle name="常规 19 4 16 4" xfId="7937"/>
    <cellStyle name="常规 19 4 16 5" xfId="10144"/>
    <cellStyle name="常规 19 4 16 6" xfId="10156"/>
    <cellStyle name="常规 19 4 16 7" xfId="999"/>
    <cellStyle name="常规 19 4 17" xfId="21782"/>
    <cellStyle name="常规 19 4 18" xfId="21784"/>
    <cellStyle name="常规 19 4 19" xfId="21786"/>
    <cellStyle name="常规 19 4 2" xfId="6312"/>
    <cellStyle name="常规 19 4 2 10" xfId="21787"/>
    <cellStyle name="常规 19 4 2 10 2" xfId="14683"/>
    <cellStyle name="常规 19 4 2 10 3" xfId="14685"/>
    <cellStyle name="常规 19 4 2 10 4" xfId="14687"/>
    <cellStyle name="常规 19 4 2 10 5" xfId="10795"/>
    <cellStyle name="常规 19 4 2 10 6" xfId="10798"/>
    <cellStyle name="常规 19 4 2 10 7" xfId="21790"/>
    <cellStyle name="常规 19 4 2 10 8" xfId="21793"/>
    <cellStyle name="常规 19 4 2 11" xfId="21794"/>
    <cellStyle name="常规 19 4 2 11 2" xfId="12715"/>
    <cellStyle name="常规 19 4 2 11 3" xfId="14689"/>
    <cellStyle name="常规 19 4 2 11 4" xfId="14692"/>
    <cellStyle name="常规 19 4 2 11 5" xfId="14695"/>
    <cellStyle name="常规 19 4 2 11 6" xfId="14697"/>
    <cellStyle name="常规 19 4 2 11 7" xfId="21796"/>
    <cellStyle name="常规 19 4 2 11 8" xfId="21798"/>
    <cellStyle name="常规 19 4 2 12" xfId="21799"/>
    <cellStyle name="常规 19 4 2 12 2" xfId="14701"/>
    <cellStyle name="常规 19 4 2 12 3" xfId="14703"/>
    <cellStyle name="常规 19 4 2 12 4" xfId="14706"/>
    <cellStyle name="常规 19 4 2 12 5" xfId="14709"/>
    <cellStyle name="常规 19 4 2 12 6" xfId="21800"/>
    <cellStyle name="常规 19 4 2 12 7" xfId="21801"/>
    <cellStyle name="常规 19 4 2 12 8" xfId="21803"/>
    <cellStyle name="常规 19 4 2 13" xfId="21804"/>
    <cellStyle name="常规 19 4 2 13 2" xfId="21805"/>
    <cellStyle name="常规 19 4 2 13 3" xfId="11646"/>
    <cellStyle name="常规 19 4 2 13 4" xfId="11652"/>
    <cellStyle name="常规 19 4 2 13 5" xfId="21806"/>
    <cellStyle name="常规 19 4 2 13 6" xfId="21807"/>
    <cellStyle name="常规 19 4 2 13 7" xfId="21808"/>
    <cellStyle name="常规 19 4 2 13 8" xfId="21809"/>
    <cellStyle name="常规 19 4 2 14" xfId="21810"/>
    <cellStyle name="常规 19 4 2 14 2" xfId="21811"/>
    <cellStyle name="常规 19 4 2 14 3" xfId="11654"/>
    <cellStyle name="常规 19 4 2 14 4" xfId="11656"/>
    <cellStyle name="常规 19 4 2 14 5" xfId="21813"/>
    <cellStyle name="常规 19 4 2 14 6" xfId="21814"/>
    <cellStyle name="常规 19 4 2 14 7" xfId="21815"/>
    <cellStyle name="常规 19 4 2 14 8" xfId="21816"/>
    <cellStyle name="常规 19 4 2 15" xfId="21817"/>
    <cellStyle name="常规 19 4 2 15 2" xfId="21820"/>
    <cellStyle name="常规 19 4 2 15 3" xfId="21821"/>
    <cellStyle name="常规 19 4 2 15 4" xfId="21822"/>
    <cellStyle name="常规 19 4 2 15 5" xfId="21823"/>
    <cellStyle name="常规 19 4 2 15 6" xfId="21824"/>
    <cellStyle name="常规 19 4 2 15 7" xfId="21825"/>
    <cellStyle name="常规 19 4 2 16" xfId="21827"/>
    <cellStyle name="常规 19 4 2 17" xfId="21831"/>
    <cellStyle name="常规 19 4 2 18" xfId="21834"/>
    <cellStyle name="常规 19 4 2 19" xfId="21836"/>
    <cellStyle name="常规 19 4 2 2" xfId="17674"/>
    <cellStyle name="常规 19 4 2 2 10" xfId="17676"/>
    <cellStyle name="常规 19 4 2 2 10 2" xfId="17678"/>
    <cellStyle name="常规 19 4 2 2 10 3" xfId="17680"/>
    <cellStyle name="常规 19 4 2 2 10 4" xfId="17682"/>
    <cellStyle name="常规 19 4 2 2 10 5" xfId="8992"/>
    <cellStyle name="常规 19 4 2 2 10 6" xfId="9105"/>
    <cellStyle name="常规 19 4 2 2 10 7" xfId="8751"/>
    <cellStyle name="常规 19 4 2 2 10 8" xfId="8829"/>
    <cellStyle name="常规 19 4 2 2 11" xfId="17684"/>
    <cellStyle name="常规 19 4 2 2 11 2" xfId="17687"/>
    <cellStyle name="常规 19 4 2 2 11 3" xfId="17691"/>
    <cellStyle name="常规 19 4 2 2 11 4" xfId="17696"/>
    <cellStyle name="常规 19 4 2 2 11 5" xfId="17701"/>
    <cellStyle name="常规 19 4 2 2 11 6" xfId="17707"/>
    <cellStyle name="常规 19 4 2 2 11 7" xfId="8885"/>
    <cellStyle name="常规 19 4 2 2 11 8" xfId="8891"/>
    <cellStyle name="常规 19 4 2 2 12" xfId="6119"/>
    <cellStyle name="常规 19 4 2 2 12 2" xfId="17709"/>
    <cellStyle name="常规 19 4 2 2 12 3" xfId="17713"/>
    <cellStyle name="常规 19 4 2 2 12 4" xfId="17717"/>
    <cellStyle name="常规 19 4 2 2 12 5" xfId="17720"/>
    <cellStyle name="常规 19 4 2 2 12 6" xfId="17724"/>
    <cellStyle name="常规 19 4 2 2 12 7" xfId="2489"/>
    <cellStyle name="常规 19 4 2 2 12 8" xfId="3576"/>
    <cellStyle name="常规 19 4 2 2 13" xfId="6123"/>
    <cellStyle name="常规 19 4 2 2 13 2" xfId="9069"/>
    <cellStyle name="常规 19 4 2 2 13 3" xfId="9078"/>
    <cellStyle name="常规 19 4 2 2 13 4" xfId="671"/>
    <cellStyle name="常规 19 4 2 2 13 5" xfId="693"/>
    <cellStyle name="常规 19 4 2 2 13 6" xfId="2513"/>
    <cellStyle name="常规 19 4 2 2 13 7" xfId="2531"/>
    <cellStyle name="常规 19 4 2 2 14" xfId="9083"/>
    <cellStyle name="常规 19 4 2 2 15" xfId="8319"/>
    <cellStyle name="常规 19 4 2 2 16" xfId="8327"/>
    <cellStyle name="常规 19 4 2 2 17" xfId="15565"/>
    <cellStyle name="常规 19 4 2 2 18" xfId="15569"/>
    <cellStyle name="常规 19 4 2 2 19" xfId="14569"/>
    <cellStyle name="常规 19 4 2 2 2" xfId="17726"/>
    <cellStyle name="常规 19 4 2 2 2 10" xfId="6351"/>
    <cellStyle name="常规 19 4 2 2 2 10 2" xfId="17729"/>
    <cellStyle name="常规 19 4 2 2 2 10 3" xfId="17732"/>
    <cellStyle name="常规 19 4 2 2 2 10 4" xfId="17737"/>
    <cellStyle name="常规 19 4 2 2 2 10 5" xfId="17742"/>
    <cellStyle name="常规 19 4 2 2 2 10 6" xfId="5633"/>
    <cellStyle name="常规 19 4 2 2 2 10 7" xfId="10287"/>
    <cellStyle name="常规 19 4 2 2 2 10 8" xfId="17744"/>
    <cellStyle name="常规 19 4 2 2 2 11" xfId="16087"/>
    <cellStyle name="常规 19 4 2 2 2 11 2" xfId="17747"/>
    <cellStyle name="常规 19 4 2 2 2 11 3" xfId="17750"/>
    <cellStyle name="常规 19 4 2 2 2 11 4" xfId="17753"/>
    <cellStyle name="常规 19 4 2 2 2 11 5" xfId="17756"/>
    <cellStyle name="常规 19 4 2 2 2 11 6" xfId="12504"/>
    <cellStyle name="常规 19 4 2 2 2 11 7" xfId="5854"/>
    <cellStyle name="常规 19 4 2 2 2 11 8" xfId="1096"/>
    <cellStyle name="常规 19 4 2 2 2 12" xfId="16090"/>
    <cellStyle name="常规 19 4 2 2 2 12 2" xfId="17759"/>
    <cellStyle name="常规 19 4 2 2 2 12 3" xfId="17762"/>
    <cellStyle name="常规 19 4 2 2 2 12 4" xfId="17765"/>
    <cellStyle name="常规 19 4 2 2 2 12 5" xfId="17768"/>
    <cellStyle name="常规 19 4 2 2 2 12 6" xfId="17771"/>
    <cellStyle name="常规 19 4 2 2 2 12 7" xfId="17775"/>
    <cellStyle name="常规 19 4 2 2 2 13" xfId="17778"/>
    <cellStyle name="常规 19 4 2 2 2 14" xfId="17781"/>
    <cellStyle name="常规 19 4 2 2 2 15" xfId="14956"/>
    <cellStyle name="常规 19 4 2 2 2 16" xfId="2154"/>
    <cellStyle name="常规 19 4 2 2 2 17" xfId="2167"/>
    <cellStyle name="常规 19 4 2 2 2 18" xfId="14988"/>
    <cellStyle name="常规 19 4 2 2 2 19" xfId="15006"/>
    <cellStyle name="常规 19 4 2 2 2 2" xfId="14443"/>
    <cellStyle name="常规 19 4 2 2 2 2 10" xfId="17783"/>
    <cellStyle name="常规 19 4 2 2 2 2 10 2" xfId="17785"/>
    <cellStyle name="常规 19 4 2 2 2 2 10 3" xfId="17788"/>
    <cellStyle name="常规 19 4 2 2 2 2 10 4" xfId="16180"/>
    <cellStyle name="常规 19 4 2 2 2 2 10 5" xfId="16183"/>
    <cellStyle name="常规 19 4 2 2 2 2 10 6" xfId="16186"/>
    <cellStyle name="常规 19 4 2 2 2 2 10 7" xfId="16189"/>
    <cellStyle name="常规 19 4 2 2 2 2 11" xfId="17790"/>
    <cellStyle name="常规 19 4 2 2 2 2 12" xfId="17795"/>
    <cellStyle name="常规 19 4 2 2 2 2 13" xfId="17801"/>
    <cellStyle name="常规 19 4 2 2 2 2 14" xfId="17806"/>
    <cellStyle name="常规 19 4 2 2 2 2 15" xfId="17810"/>
    <cellStyle name="常规 19 4 2 2 2 2 16" xfId="17815"/>
    <cellStyle name="常规 19 4 2 2 2 2 17" xfId="17821"/>
    <cellStyle name="常规 19 4 2 2 2 2 2" xfId="17825"/>
    <cellStyle name="常规 19 4 2 2 2 2 2 2" xfId="12921"/>
    <cellStyle name="常规 19 4 2 2 2 2 2 3" xfId="17827"/>
    <cellStyle name="常规 19 4 2 2 2 2 2 4" xfId="17830"/>
    <cellStyle name="常规 19 4 2 2 2 2 2 5" xfId="9273"/>
    <cellStyle name="常规 19 4 2 2 2 2 2 6" xfId="9377"/>
    <cellStyle name="常规 19 4 2 2 2 2 2 7" xfId="9439"/>
    <cellStyle name="常规 19 4 2 2 2 2 2 8" xfId="5192"/>
    <cellStyle name="常规 19 4 2 2 2 2 3" xfId="17833"/>
    <cellStyle name="常规 19 4 2 2 2 2 3 2" xfId="12936"/>
    <cellStyle name="常规 19 4 2 2 2 2 3 3" xfId="17835"/>
    <cellStyle name="常规 19 4 2 2 2 2 3 4" xfId="17837"/>
    <cellStyle name="常规 19 4 2 2 2 2 3 5" xfId="17840"/>
    <cellStyle name="常规 19 4 2 2 2 2 3 6" xfId="17843"/>
    <cellStyle name="常规 19 4 2 2 2 2 3 7" xfId="17845"/>
    <cellStyle name="常规 19 4 2 2 2 2 3 8" xfId="17847"/>
    <cellStyle name="常规 19 4 2 2 2 2 4" xfId="7566"/>
    <cellStyle name="常规 19 4 2 2 2 2 4 2" xfId="7578"/>
    <cellStyle name="常规 19 4 2 2 2 2 4 3" xfId="7596"/>
    <cellStyle name="常规 19 4 2 2 2 2 4 4" xfId="733"/>
    <cellStyle name="常规 19 4 2 2 2 2 4 5" xfId="775"/>
    <cellStyle name="常规 19 4 2 2 2 2 4 6" xfId="2570"/>
    <cellStyle name="常规 19 4 2 2 2 2 4 7" xfId="1185"/>
    <cellStyle name="常规 19 4 2 2 2 2 4 8" xfId="17849"/>
    <cellStyle name="常规 19 4 2 2 2 2 5" xfId="7603"/>
    <cellStyle name="常规 19 4 2 2 2 2 5 2" xfId="7612"/>
    <cellStyle name="常规 19 4 2 2 2 2 5 3" xfId="7618"/>
    <cellStyle name="常规 19 4 2 2 2 2 5 4" xfId="810"/>
    <cellStyle name="常规 19 4 2 2 2 2 5 5" xfId="831"/>
    <cellStyle name="常规 19 4 2 2 2 2 5 6" xfId="2599"/>
    <cellStyle name="常规 19 4 2 2 2 2 5 7" xfId="2607"/>
    <cellStyle name="常规 19 4 2 2 2 2 5 8" xfId="17851"/>
    <cellStyle name="常规 19 4 2 2 2 2 6" xfId="3866"/>
    <cellStyle name="常规 19 4 2 2 2 2 6 2" xfId="10078"/>
    <cellStyle name="常规 19 4 2 2 2 2 6 3" xfId="10104"/>
    <cellStyle name="常规 19 4 2 2 2 2 6 4" xfId="10717"/>
    <cellStyle name="常规 19 4 2 2 2 2 6 5" xfId="17854"/>
    <cellStyle name="常规 19 4 2 2 2 2 6 6" xfId="17857"/>
    <cellStyle name="常规 19 4 2 2 2 2 6 7" xfId="17859"/>
    <cellStyle name="常规 19 4 2 2 2 2 6 8" xfId="17861"/>
    <cellStyle name="常规 19 4 2 2 2 2 7" xfId="10721"/>
    <cellStyle name="常规 19 4 2 2 2 2 7 2" xfId="10727"/>
    <cellStyle name="常规 19 4 2 2 2 2 7 3" xfId="10740"/>
    <cellStyle name="常规 19 4 2 2 2 2 7 4" xfId="9915"/>
    <cellStyle name="常规 19 4 2 2 2 2 7 5" xfId="9918"/>
    <cellStyle name="常规 19 4 2 2 2 2 7 6" xfId="10853"/>
    <cellStyle name="常规 19 4 2 2 2 2 7 7" xfId="17863"/>
    <cellStyle name="常规 19 4 2 2 2 2 7 8" xfId="13418"/>
    <cellStyle name="常规 19 4 2 2 2 2 8" xfId="10749"/>
    <cellStyle name="常规 19 4 2 2 2 2 8 2" xfId="10755"/>
    <cellStyle name="常规 19 4 2 2 2 2 8 3" xfId="10763"/>
    <cellStyle name="常规 19 4 2 2 2 2 8 4" xfId="17865"/>
    <cellStyle name="常规 19 4 2 2 2 2 8 5" xfId="17867"/>
    <cellStyle name="常规 19 4 2 2 2 2 8 6" xfId="17869"/>
    <cellStyle name="常规 19 4 2 2 2 2 8 7" xfId="17871"/>
    <cellStyle name="常规 19 4 2 2 2 2 8 8" xfId="17873"/>
    <cellStyle name="常规 19 4 2 2 2 2 9" xfId="10767"/>
    <cellStyle name="常规 19 4 2 2 2 2 9 2" xfId="10772"/>
    <cellStyle name="常规 19 4 2 2 2 2 9 3" xfId="10775"/>
    <cellStyle name="常规 19 4 2 2 2 2 9 4" xfId="17875"/>
    <cellStyle name="常规 19 4 2 2 2 2 9 5" xfId="17877"/>
    <cellStyle name="常规 19 4 2 2 2 2 9 6" xfId="17879"/>
    <cellStyle name="常规 19 4 2 2 2 2 9 7" xfId="17881"/>
    <cellStyle name="常规 19 4 2 2 2 2 9 8" xfId="17883"/>
    <cellStyle name="常规 19 4 2 2 2 3" xfId="17886"/>
    <cellStyle name="常规 19 4 2 2 2 3 2" xfId="17889"/>
    <cellStyle name="常规 19 4 2 2 2 3 3" xfId="11146"/>
    <cellStyle name="常规 19 4 2 2 2 3 4" xfId="4764"/>
    <cellStyle name="常规 19 4 2 2 2 3 5" xfId="4772"/>
    <cellStyle name="常规 19 4 2 2 2 3 6" xfId="5505"/>
    <cellStyle name="常规 19 4 2 2 2 3 7" xfId="5511"/>
    <cellStyle name="常规 19 4 2 2 2 3 8" xfId="10860"/>
    <cellStyle name="常规 19 4 2 2 2 4" xfId="17892"/>
    <cellStyle name="常规 19 4 2 2 2 4 2" xfId="3888"/>
    <cellStyle name="常规 19 4 2 2 2 4 3" xfId="11161"/>
    <cellStyle name="常规 19 4 2 2 2 4 4" xfId="10876"/>
    <cellStyle name="常规 19 4 2 2 2 4 5" xfId="10884"/>
    <cellStyle name="常规 19 4 2 2 2 4 6" xfId="10892"/>
    <cellStyle name="常规 19 4 2 2 2 4 7" xfId="15573"/>
    <cellStyle name="常规 19 4 2 2 2 4 8" xfId="15577"/>
    <cellStyle name="常规 19 4 2 2 2 5" xfId="17896"/>
    <cellStyle name="常规 19 4 2 2 2 5 2" xfId="12136"/>
    <cellStyle name="常规 19 4 2 2 2 5 3" xfId="14946"/>
    <cellStyle name="常规 19 4 2 2 2 5 4" xfId="10897"/>
    <cellStyle name="常规 19 4 2 2 2 5 5" xfId="10911"/>
    <cellStyle name="常规 19 4 2 2 2 5 6" xfId="10923"/>
    <cellStyle name="常规 19 4 2 2 2 5 7" xfId="14953"/>
    <cellStyle name="常规 19 4 2 2 2 5 8" xfId="15585"/>
    <cellStyle name="常规 19 4 2 2 2 6" xfId="17900"/>
    <cellStyle name="常规 19 4 2 2 2 6 2" xfId="17908"/>
    <cellStyle name="常规 19 4 2 2 2 6 3" xfId="17912"/>
    <cellStyle name="常规 19 4 2 2 2 6 4" xfId="1952"/>
    <cellStyle name="常规 19 4 2 2 2 6 5" xfId="9323"/>
    <cellStyle name="常规 19 4 2 2 2 6 6" xfId="10951"/>
    <cellStyle name="常规 19 4 2 2 2 6 7" xfId="15600"/>
    <cellStyle name="常规 19 4 2 2 2 6 8" xfId="15608"/>
    <cellStyle name="常规 19 4 2 2 2 7" xfId="17915"/>
    <cellStyle name="常规 19 4 2 2 2 7 2" xfId="17918"/>
    <cellStyle name="常规 19 4 2 2 2 7 3" xfId="17921"/>
    <cellStyle name="常规 19 4 2 2 2 7 4" xfId="10954"/>
    <cellStyle name="常规 19 4 2 2 2 7 5" xfId="10968"/>
    <cellStyle name="常规 19 4 2 2 2 7 6" xfId="15626"/>
    <cellStyle name="常规 19 4 2 2 2 7 7" xfId="11518"/>
    <cellStyle name="常规 19 4 2 2 2 7 8" xfId="6284"/>
    <cellStyle name="常规 19 4 2 2 2 8" xfId="17924"/>
    <cellStyle name="常规 19 4 2 2 2 8 2" xfId="17926"/>
    <cellStyle name="常规 19 4 2 2 2 8 3" xfId="17928"/>
    <cellStyle name="常规 19 4 2 2 2 8 4" xfId="2048"/>
    <cellStyle name="常规 19 4 2 2 2 8 5" xfId="2053"/>
    <cellStyle name="常规 19 4 2 2 2 8 6" xfId="6292"/>
    <cellStyle name="常规 19 4 2 2 2 8 7" xfId="6900"/>
    <cellStyle name="常规 19 4 2 2 2 8 8" xfId="6921"/>
    <cellStyle name="常规 19 4 2 2 2 9" xfId="17932"/>
    <cellStyle name="常规 19 4 2 2 2 9 2" xfId="17935"/>
    <cellStyle name="常规 19 4 2 2 2 9 3" xfId="17937"/>
    <cellStyle name="常规 19 4 2 2 2 9 4" xfId="17940"/>
    <cellStyle name="常规 19 4 2 2 2 9 5" xfId="17943"/>
    <cellStyle name="常规 19 4 2 2 2 9 6" xfId="17946"/>
    <cellStyle name="常规 19 4 2 2 2 9 7" xfId="17949"/>
    <cellStyle name="常规 19 4 2 2 2 9 8" xfId="6910"/>
    <cellStyle name="常规 19 4 2 2 20" xfId="8320"/>
    <cellStyle name="常规 19 4 2 2 3" xfId="17951"/>
    <cellStyle name="常规 19 4 2 2 3 10" xfId="17953"/>
    <cellStyle name="常规 19 4 2 2 3 10 2" xfId="17955"/>
    <cellStyle name="常规 19 4 2 2 3 10 3" xfId="17957"/>
    <cellStyle name="常规 19 4 2 2 3 10 4" xfId="17959"/>
    <cellStyle name="常规 19 4 2 2 3 10 5" xfId="17962"/>
    <cellStyle name="常规 19 4 2 2 3 10 6" xfId="17965"/>
    <cellStyle name="常规 19 4 2 2 3 10 7" xfId="17969"/>
    <cellStyle name="常规 19 4 2 2 3 11" xfId="17971"/>
    <cellStyle name="常规 19 4 2 2 3 12" xfId="17973"/>
    <cellStyle name="常规 19 4 2 2 3 13" xfId="17976"/>
    <cellStyle name="常规 19 4 2 2 3 14" xfId="17979"/>
    <cellStyle name="常规 19 4 2 2 3 15" xfId="15079"/>
    <cellStyle name="常规 19 4 2 2 3 16" xfId="7037"/>
    <cellStyle name="常规 19 4 2 2 3 17" xfId="7182"/>
    <cellStyle name="常规 19 4 2 2 3 2" xfId="10153"/>
    <cellStyle name="常规 19 4 2 2 3 2 2" xfId="17983"/>
    <cellStyle name="常规 19 4 2 2 3 2 3" xfId="17987"/>
    <cellStyle name="常规 19 4 2 2 3 2 4" xfId="10971"/>
    <cellStyle name="常规 19 4 2 2 3 2 5" xfId="7760"/>
    <cellStyle name="常规 19 4 2 2 3 2 6" xfId="7783"/>
    <cellStyle name="常规 19 4 2 2 3 2 7" xfId="11020"/>
    <cellStyle name="常规 19 4 2 2 3 2 8" xfId="11036"/>
    <cellStyle name="常规 19 4 2 2 3 3" xfId="1003"/>
    <cellStyle name="常规 19 4 2 2 3 3 2" xfId="3104"/>
    <cellStyle name="常规 19 4 2 2 3 3 3" xfId="3122"/>
    <cellStyle name="常规 19 4 2 2 3 3 4" xfId="11043"/>
    <cellStyle name="常规 19 4 2 2 3 3 5" xfId="7804"/>
    <cellStyle name="常规 19 4 2 2 3 3 6" xfId="9205"/>
    <cellStyle name="常规 19 4 2 2 3 3 7" xfId="11104"/>
    <cellStyle name="常规 19 4 2 2 3 3 8" xfId="11112"/>
    <cellStyle name="常规 19 4 2 2 3 4" xfId="3131"/>
    <cellStyle name="常规 19 4 2 2 3 4 2" xfId="17990"/>
    <cellStyle name="常规 19 4 2 2 3 4 3" xfId="11176"/>
    <cellStyle name="常规 19 4 2 2 3 4 4" xfId="11116"/>
    <cellStyle name="常规 19 4 2 2 3 4 5" xfId="11141"/>
    <cellStyle name="常规 19 4 2 2 3 4 6" xfId="11168"/>
    <cellStyle name="常规 19 4 2 2 3 4 7" xfId="11183"/>
    <cellStyle name="常规 19 4 2 2 3 4 8" xfId="11190"/>
    <cellStyle name="常规 19 4 2 2 3 5" xfId="4220"/>
    <cellStyle name="常规 19 4 2 2 3 5 2" xfId="4224"/>
    <cellStyle name="常规 19 4 2 2 3 5 3" xfId="4240"/>
    <cellStyle name="常规 19 4 2 2 3 5 4" xfId="11202"/>
    <cellStyle name="常规 19 4 2 2 3 5 5" xfId="11215"/>
    <cellStyle name="常规 19 4 2 2 3 5 6" xfId="11223"/>
    <cellStyle name="常规 19 4 2 2 3 5 7" xfId="11234"/>
    <cellStyle name="常规 19 4 2 2 3 5 8" xfId="17992"/>
    <cellStyle name="常规 19 4 2 2 3 6" xfId="4246"/>
    <cellStyle name="常规 19 4 2 2 3 6 2" xfId="17994"/>
    <cellStyle name="常规 19 4 2 2 3 6 3" xfId="17996"/>
    <cellStyle name="常规 19 4 2 2 3 6 4" xfId="11237"/>
    <cellStyle name="常规 19 4 2 2 3 6 5" xfId="11242"/>
    <cellStyle name="常规 19 4 2 2 3 6 6" xfId="11249"/>
    <cellStyle name="常规 19 4 2 2 3 6 7" xfId="17999"/>
    <cellStyle name="常规 19 4 2 2 3 6 8" xfId="18001"/>
    <cellStyle name="常规 19 4 2 2 3 7" xfId="5063"/>
    <cellStyle name="常规 19 4 2 2 3 7 2" xfId="5076"/>
    <cellStyle name="常规 19 4 2 2 3 7 3" xfId="3032"/>
    <cellStyle name="常规 19 4 2 2 3 7 4" xfId="11253"/>
    <cellStyle name="常规 19 4 2 2 3 7 5" xfId="11263"/>
    <cellStyle name="常规 19 4 2 2 3 7 6" xfId="11272"/>
    <cellStyle name="常规 19 4 2 2 3 7 7" xfId="11522"/>
    <cellStyle name="常规 19 4 2 2 3 7 8" xfId="11525"/>
    <cellStyle name="常规 19 4 2 2 3 8" xfId="5086"/>
    <cellStyle name="常规 19 4 2 2 3 8 2" xfId="17335"/>
    <cellStyle name="常规 19 4 2 2 3 8 3" xfId="17338"/>
    <cellStyle name="常规 19 4 2 2 3 8 4" xfId="11276"/>
    <cellStyle name="常规 19 4 2 2 3 8 5" xfId="4148"/>
    <cellStyle name="常规 19 4 2 2 3 8 6" xfId="17341"/>
    <cellStyle name="常规 19 4 2 2 3 8 7" xfId="18003"/>
    <cellStyle name="常规 19 4 2 2 3 8 8" xfId="18005"/>
    <cellStyle name="常规 19 4 2 2 3 9" xfId="18007"/>
    <cellStyle name="常规 19 4 2 2 3 9 2" xfId="17346"/>
    <cellStyle name="常规 19 4 2 2 3 9 3" xfId="17349"/>
    <cellStyle name="常规 19 4 2 2 3 9 4" xfId="11287"/>
    <cellStyle name="常规 19 4 2 2 3 9 5" xfId="17353"/>
    <cellStyle name="常规 19 4 2 2 3 9 6" xfId="17357"/>
    <cellStyle name="常规 19 4 2 2 3 9 7" xfId="18010"/>
    <cellStyle name="常规 19 4 2 2 3 9 8" xfId="18013"/>
    <cellStyle name="常规 19 4 2 2 4" xfId="18015"/>
    <cellStyle name="常规 19 4 2 2 4 2" xfId="18018"/>
    <cellStyle name="常规 19 4 2 2 4 3" xfId="246"/>
    <cellStyle name="常规 19 4 2 2 4 4" xfId="3149"/>
    <cellStyle name="常规 19 4 2 2 4 5" xfId="3981"/>
    <cellStyle name="常规 19 4 2 2 4 6" xfId="4260"/>
    <cellStyle name="常规 19 4 2 2 4 7" xfId="5108"/>
    <cellStyle name="常规 19 4 2 2 4 8" xfId="321"/>
    <cellStyle name="常规 19 4 2 2 5" xfId="18020"/>
    <cellStyle name="常规 19 4 2 2 5 2" xfId="18022"/>
    <cellStyle name="常规 19 4 2 2 5 3" xfId="18024"/>
    <cellStyle name="常规 19 4 2 2 5 4" xfId="18026"/>
    <cellStyle name="常规 19 4 2 2 5 5" xfId="18028"/>
    <cellStyle name="常规 19 4 2 2 5 6" xfId="18030"/>
    <cellStyle name="常规 19 4 2 2 5 7" xfId="18032"/>
    <cellStyle name="常规 19 4 2 2 5 8" xfId="18034"/>
    <cellStyle name="常规 19 4 2 2 6" xfId="18036"/>
    <cellStyle name="常规 19 4 2 2 6 2" xfId="18038"/>
    <cellStyle name="常规 19 4 2 2 6 3" xfId="18040"/>
    <cellStyle name="常规 19 4 2 2 6 4" xfId="18042"/>
    <cellStyle name="常规 19 4 2 2 6 5" xfId="18044"/>
    <cellStyle name="常规 19 4 2 2 6 6" xfId="18046"/>
    <cellStyle name="常规 19 4 2 2 6 7" xfId="18048"/>
    <cellStyle name="常规 19 4 2 2 6 8" xfId="18050"/>
    <cellStyle name="常规 19 4 2 2 7" xfId="18052"/>
    <cellStyle name="常规 19 4 2 2 7 2" xfId="18054"/>
    <cellStyle name="常规 19 4 2 2 7 3" xfId="18056"/>
    <cellStyle name="常规 19 4 2 2 7 4" xfId="18058"/>
    <cellStyle name="常规 19 4 2 2 7 5" xfId="18060"/>
    <cellStyle name="常规 19 4 2 2 7 6" xfId="18062"/>
    <cellStyle name="常规 19 4 2 2 7 7" xfId="18064"/>
    <cellStyle name="常规 19 4 2 2 7 8" xfId="18066"/>
    <cellStyle name="常规 19 4 2 2 8" xfId="9997"/>
    <cellStyle name="常规 19 4 2 2 8 2" xfId="18068"/>
    <cellStyle name="常规 19 4 2 2 8 3" xfId="18070"/>
    <cellStyle name="常规 19 4 2 2 8 4" xfId="18072"/>
    <cellStyle name="常规 19 4 2 2 8 5" xfId="18074"/>
    <cellStyle name="常规 19 4 2 2 8 6" xfId="18076"/>
    <cellStyle name="常规 19 4 2 2 8 7" xfId="2211"/>
    <cellStyle name="常规 19 4 2 2 8 8" xfId="2222"/>
    <cellStyle name="常规 19 4 2 2 9" xfId="10004"/>
    <cellStyle name="常规 19 4 2 2 9 2" xfId="17792"/>
    <cellStyle name="常规 19 4 2 2 9 3" xfId="17797"/>
    <cellStyle name="常规 19 4 2 2 9 4" xfId="17803"/>
    <cellStyle name="常规 19 4 2 2 9 5" xfId="17808"/>
    <cellStyle name="常规 19 4 2 2 9 6" xfId="17812"/>
    <cellStyle name="常规 19 4 2 2 9 7" xfId="17818"/>
    <cellStyle name="常规 19 4 2 2 9 8" xfId="18079"/>
    <cellStyle name="常规 19 4 2 20" xfId="21818"/>
    <cellStyle name="常规 19 4 2 21" xfId="21828"/>
    <cellStyle name="常规 19 4 2 22" xfId="21832"/>
    <cellStyle name="常规 19 4 2 3" xfId="18082"/>
    <cellStyle name="常规 19 4 2 3 10" xfId="17906"/>
    <cellStyle name="常规 19 4 2 3 10 2" xfId="13343"/>
    <cellStyle name="常规 19 4 2 3 10 3" xfId="13346"/>
    <cellStyle name="常规 19 4 2 3 10 4" xfId="18084"/>
    <cellStyle name="常规 19 4 2 3 10 5" xfId="10479"/>
    <cellStyle name="常规 19 4 2 3 10 6" xfId="10485"/>
    <cellStyle name="常规 19 4 2 3 10 7" xfId="18087"/>
    <cellStyle name="常规 19 4 2 3 10 8" xfId="18092"/>
    <cellStyle name="常规 19 4 2 3 11" xfId="17910"/>
    <cellStyle name="常规 19 4 2 3 11 2" xfId="13352"/>
    <cellStyle name="常规 19 4 2 3 11 3" xfId="13356"/>
    <cellStyle name="常规 19 4 2 3 11 4" xfId="18096"/>
    <cellStyle name="常规 19 4 2 3 11 5" xfId="18099"/>
    <cellStyle name="常规 19 4 2 3 11 6" xfId="18103"/>
    <cellStyle name="常规 19 4 2 3 11 7" xfId="18107"/>
    <cellStyle name="常规 19 4 2 3 11 8" xfId="18113"/>
    <cellStyle name="常规 19 4 2 3 12" xfId="1949"/>
    <cellStyle name="常规 19 4 2 3 12 2" xfId="10926"/>
    <cellStyle name="常规 19 4 2 3 12 3" xfId="10934"/>
    <cellStyle name="常规 19 4 2 3 12 4" xfId="18117"/>
    <cellStyle name="常规 19 4 2 3 12 5" xfId="18119"/>
    <cellStyle name="常规 19 4 2 3 12 6" xfId="18122"/>
    <cellStyle name="常规 19 4 2 3 12 7" xfId="18125"/>
    <cellStyle name="常规 19 4 2 3 13" xfId="9319"/>
    <cellStyle name="常规 19 4 2 3 14" xfId="10946"/>
    <cellStyle name="常规 19 4 2 3 15" xfId="15596"/>
    <cellStyle name="常规 19 4 2 3 16" xfId="15605"/>
    <cellStyle name="常规 19 4 2 3 17" xfId="15613"/>
    <cellStyle name="常规 19 4 2 3 18" xfId="15619"/>
    <cellStyle name="常规 19 4 2 3 19" xfId="18131"/>
    <cellStyle name="常规 19 4 2 3 2" xfId="18135"/>
    <cellStyle name="常规 19 4 2 3 2 10" xfId="1082"/>
    <cellStyle name="常规 19 4 2 3 2 10 2" xfId="131"/>
    <cellStyle name="常规 19 4 2 3 2 10 3" xfId="15999"/>
    <cellStyle name="常规 19 4 2 3 2 10 4" xfId="18137"/>
    <cellStyle name="常规 19 4 2 3 2 10 5" xfId="18139"/>
    <cellStyle name="常规 19 4 2 3 2 10 6" xfId="18141"/>
    <cellStyle name="常规 19 4 2 3 2 10 7" xfId="18143"/>
    <cellStyle name="常规 19 4 2 3 2 11" xfId="2880"/>
    <cellStyle name="常规 19 4 2 3 2 12" xfId="13406"/>
    <cellStyle name="常规 19 4 2 3 2 13" xfId="13409"/>
    <cellStyle name="常规 19 4 2 3 2 14" xfId="13412"/>
    <cellStyle name="常规 19 4 2 3 2 15" xfId="18145"/>
    <cellStyle name="常规 19 4 2 3 2 16" xfId="18148"/>
    <cellStyle name="常规 19 4 2 3 2 17" xfId="18152"/>
    <cellStyle name="常规 19 4 2 3 2 2" xfId="13530"/>
    <cellStyle name="常规 19 4 2 3 2 2 2" xfId="13534"/>
    <cellStyle name="常规 19 4 2 3 2 2 3" xfId="13539"/>
    <cellStyle name="常规 19 4 2 3 2 2 4" xfId="13543"/>
    <cellStyle name="常规 19 4 2 3 2 2 5" xfId="13547"/>
    <cellStyle name="常规 19 4 2 3 2 2 6" xfId="13551"/>
    <cellStyle name="常规 19 4 2 3 2 2 7" xfId="13555"/>
    <cellStyle name="常规 19 4 2 3 2 2 8" xfId="13560"/>
    <cellStyle name="常规 19 4 2 3 2 3" xfId="4034"/>
    <cellStyle name="常规 19 4 2 3 2 3 2" xfId="4040"/>
    <cellStyle name="常规 19 4 2 3 2 3 3" xfId="4047"/>
    <cellStyle name="常规 19 4 2 3 2 3 4" xfId="4910"/>
    <cellStyle name="常规 19 4 2 3 2 3 5" xfId="4327"/>
    <cellStyle name="常规 19 4 2 3 2 3 6" xfId="4338"/>
    <cellStyle name="常规 19 4 2 3 2 3 7" xfId="5606"/>
    <cellStyle name="常规 19 4 2 3 2 3 8" xfId="13563"/>
    <cellStyle name="常规 19 4 2 3 2 4" xfId="1864"/>
    <cellStyle name="常规 19 4 2 3 2 4 2" xfId="13567"/>
    <cellStyle name="常规 19 4 2 3 2 4 3" xfId="13573"/>
    <cellStyle name="常规 19 4 2 3 2 4 4" xfId="13578"/>
    <cellStyle name="常规 19 4 2 3 2 4 5" xfId="13583"/>
    <cellStyle name="常规 19 4 2 3 2 4 6" xfId="13588"/>
    <cellStyle name="常规 19 4 2 3 2 4 7" xfId="13593"/>
    <cellStyle name="常规 19 4 2 3 2 4 8" xfId="13598"/>
    <cellStyle name="常规 19 4 2 3 2 5" xfId="13606"/>
    <cellStyle name="常规 19 4 2 3 2 5 2" xfId="13611"/>
    <cellStyle name="常规 19 4 2 3 2 5 3" xfId="13617"/>
    <cellStyle name="常规 19 4 2 3 2 5 4" xfId="13623"/>
    <cellStyle name="常规 19 4 2 3 2 5 5" xfId="13628"/>
    <cellStyle name="常规 19 4 2 3 2 5 6" xfId="13633"/>
    <cellStyle name="常规 19 4 2 3 2 5 7" xfId="13638"/>
    <cellStyle name="常规 19 4 2 3 2 5 8" xfId="13642"/>
    <cellStyle name="常规 19 4 2 3 2 6" xfId="13648"/>
    <cellStyle name="常规 19 4 2 3 2 6 2" xfId="13653"/>
    <cellStyle name="常规 19 4 2 3 2 6 3" xfId="13659"/>
    <cellStyle name="常规 19 4 2 3 2 6 4" xfId="9346"/>
    <cellStyle name="常规 19 4 2 3 2 6 5" xfId="9354"/>
    <cellStyle name="常规 19 4 2 3 2 6 6" xfId="13664"/>
    <cellStyle name="常规 19 4 2 3 2 6 7" xfId="13669"/>
    <cellStyle name="常规 19 4 2 3 2 6 8" xfId="11279"/>
    <cellStyle name="常规 19 4 2 3 2 7" xfId="13675"/>
    <cellStyle name="常规 19 4 2 3 2 7 2" xfId="13680"/>
    <cellStyle name="常规 19 4 2 3 2 7 3" xfId="13686"/>
    <cellStyle name="常规 19 4 2 3 2 7 4" xfId="13691"/>
    <cellStyle name="常规 19 4 2 3 2 7 5" xfId="13696"/>
    <cellStyle name="常规 19 4 2 3 2 7 6" xfId="13701"/>
    <cellStyle name="常规 19 4 2 3 2 7 7" xfId="11533"/>
    <cellStyle name="常规 19 4 2 3 2 7 8" xfId="11538"/>
    <cellStyle name="常规 19 4 2 3 2 8" xfId="13709"/>
    <cellStyle name="常规 19 4 2 3 2 8 2" xfId="13714"/>
    <cellStyle name="常规 19 4 2 3 2 8 3" xfId="5316"/>
    <cellStyle name="常规 19 4 2 3 2 8 4" xfId="5351"/>
    <cellStyle name="常规 19 4 2 3 2 8 5" xfId="5365"/>
    <cellStyle name="常规 19 4 2 3 2 8 6" xfId="6396"/>
    <cellStyle name="常规 19 4 2 3 2 8 7" xfId="7014"/>
    <cellStyle name="常规 19 4 2 3 2 8 8" xfId="7029"/>
    <cellStyle name="常规 19 4 2 3 2 9" xfId="14032"/>
    <cellStyle name="常规 19 4 2 3 2 9 2" xfId="18157"/>
    <cellStyle name="常规 19 4 2 3 2 9 3" xfId="18162"/>
    <cellStyle name="常规 19 4 2 3 2 9 4" xfId="18167"/>
    <cellStyle name="常规 19 4 2 3 2 9 5" xfId="18171"/>
    <cellStyle name="常规 19 4 2 3 2 9 6" xfId="18175"/>
    <cellStyle name="常规 19 4 2 3 2 9 7" xfId="18179"/>
    <cellStyle name="常规 19 4 2 3 2 9 8" xfId="18182"/>
    <cellStyle name="常规 19 4 2 3 3" xfId="18187"/>
    <cellStyle name="常规 19 4 2 3 3 2" xfId="13751"/>
    <cellStyle name="常规 19 4 2 3 3 3" xfId="495"/>
    <cellStyle name="常规 19 4 2 3 3 4" xfId="3161"/>
    <cellStyle name="常规 19 4 2 3 3 5" xfId="4279"/>
    <cellStyle name="常规 19 4 2 3 3 6" xfId="4067"/>
    <cellStyle name="常规 19 4 2 3 3 7" xfId="4082"/>
    <cellStyle name="常规 19 4 2 3 3 8" xfId="2942"/>
    <cellStyle name="常规 19 4 2 3 4" xfId="8069"/>
    <cellStyle name="常规 19 4 2 3 4 2" xfId="13821"/>
    <cellStyle name="常规 19 4 2 3 4 3" xfId="13824"/>
    <cellStyle name="常规 19 4 2 3 4 4" xfId="13828"/>
    <cellStyle name="常规 19 4 2 3 4 5" xfId="13834"/>
    <cellStyle name="常规 19 4 2 3 4 6" xfId="13841"/>
    <cellStyle name="常规 19 4 2 3 4 7" xfId="8585"/>
    <cellStyle name="常规 19 4 2 3 4 8" xfId="8605"/>
    <cellStyle name="常规 19 4 2 3 5" xfId="8074"/>
    <cellStyle name="常规 19 4 2 3 5 2" xfId="13846"/>
    <cellStyle name="常规 19 4 2 3 5 3" xfId="13849"/>
    <cellStyle name="常规 19 4 2 3 5 4" xfId="13854"/>
    <cellStyle name="常规 19 4 2 3 5 5" xfId="13861"/>
    <cellStyle name="常规 19 4 2 3 5 6" xfId="13869"/>
    <cellStyle name="常规 19 4 2 3 5 7" xfId="10393"/>
    <cellStyle name="常规 19 4 2 3 5 8" xfId="10400"/>
    <cellStyle name="常规 19 4 2 3 6" xfId="18190"/>
    <cellStyle name="常规 19 4 2 3 6 2" xfId="13876"/>
    <cellStyle name="常规 19 4 2 3 6 3" xfId="13879"/>
    <cellStyle name="常规 19 4 2 3 6 4" xfId="13885"/>
    <cellStyle name="常规 19 4 2 3 6 5" xfId="6942"/>
    <cellStyle name="常规 19 4 2 3 6 6" xfId="6951"/>
    <cellStyle name="常规 19 4 2 3 6 7" xfId="10408"/>
    <cellStyle name="常规 19 4 2 3 6 8" xfId="10416"/>
    <cellStyle name="常规 19 4 2 3 7" xfId="18193"/>
    <cellStyle name="常规 19 4 2 3 7 2" xfId="13894"/>
    <cellStyle name="常规 19 4 2 3 7 3" xfId="13897"/>
    <cellStyle name="常规 19 4 2 3 7 4" xfId="13903"/>
    <cellStyle name="常规 19 4 2 3 7 5" xfId="13911"/>
    <cellStyle name="常规 19 4 2 3 7 6" xfId="13918"/>
    <cellStyle name="常规 19 4 2 3 7 7" xfId="13385"/>
    <cellStyle name="常规 19 4 2 3 7 8" xfId="13398"/>
    <cellStyle name="常规 19 4 2 3 8" xfId="18195"/>
    <cellStyle name="常规 19 4 2 3 8 2" xfId="13925"/>
    <cellStyle name="常规 19 4 2 3 8 3" xfId="13928"/>
    <cellStyle name="常规 19 4 2 3 8 4" xfId="13934"/>
    <cellStyle name="常规 19 4 2 3 8 5" xfId="13941"/>
    <cellStyle name="常规 19 4 2 3 8 6" xfId="5973"/>
    <cellStyle name="常规 19 4 2 3 8 7" xfId="5985"/>
    <cellStyle name="常规 19 4 2 3 8 8" xfId="6503"/>
    <cellStyle name="常规 19 4 2 3 9" xfId="18197"/>
    <cellStyle name="常规 19 4 2 3 9 2" xfId="13948"/>
    <cellStyle name="常规 19 4 2 3 9 3" xfId="13951"/>
    <cellStyle name="常规 19 4 2 3 9 4" xfId="13956"/>
    <cellStyle name="常规 19 4 2 3 9 5" xfId="13961"/>
    <cellStyle name="常规 19 4 2 3 9 6" xfId="5994"/>
    <cellStyle name="常规 19 4 2 3 9 7" xfId="6001"/>
    <cellStyle name="常规 19 4 2 3 9 8" xfId="18200"/>
    <cellStyle name="常规 19 4 2 4" xfId="18205"/>
    <cellStyle name="常规 19 4 2 4 10" xfId="18208"/>
    <cellStyle name="常规 19 4 2 4 10 2" xfId="13968"/>
    <cellStyle name="常规 19 4 2 4 10 3" xfId="13972"/>
    <cellStyle name="常规 19 4 2 4 10 4" xfId="15388"/>
    <cellStyle name="常规 19 4 2 4 10 5" xfId="15401"/>
    <cellStyle name="常规 19 4 2 4 10 6" xfId="15411"/>
    <cellStyle name="常规 19 4 2 4 10 7" xfId="18210"/>
    <cellStyle name="常规 19 4 2 4 10 8" xfId="18214"/>
    <cellStyle name="常规 19 4 2 4 11" xfId="18219"/>
    <cellStyle name="常规 19 4 2 4 11 2" xfId="13983"/>
    <cellStyle name="常规 19 4 2 4 11 3" xfId="13988"/>
    <cellStyle name="常规 19 4 2 4 11 4" xfId="16200"/>
    <cellStyle name="常规 19 4 2 4 11 5" xfId="16214"/>
    <cellStyle name="常规 19 4 2 4 11 6" xfId="16227"/>
    <cellStyle name="常规 19 4 2 4 11 7" xfId="18222"/>
    <cellStyle name="常规 19 4 2 4 11 8" xfId="18225"/>
    <cellStyle name="常规 19 4 2 4 12" xfId="18228"/>
    <cellStyle name="常规 19 4 2 4 12 2" xfId="13996"/>
    <cellStyle name="常规 19 4 2 4 12 3" xfId="17295"/>
    <cellStyle name="常规 19 4 2 4 12 4" xfId="17306"/>
    <cellStyle name="常规 19 4 2 4 12 5" xfId="9627"/>
    <cellStyle name="常规 19 4 2 4 12 6" xfId="9632"/>
    <cellStyle name="常规 19 4 2 4 12 7" xfId="18232"/>
    <cellStyle name="常规 19 4 2 4 13" xfId="18235"/>
    <cellStyle name="常规 19 4 2 4 14" xfId="18240"/>
    <cellStyle name="常规 19 4 2 4 15" xfId="18244"/>
    <cellStyle name="常规 19 4 2 4 16" xfId="7296"/>
    <cellStyle name="常规 19 4 2 4 17" xfId="6476"/>
    <cellStyle name="常规 19 4 2 4 18" xfId="18248"/>
    <cellStyle name="常规 19 4 2 4 19" xfId="18253"/>
    <cellStyle name="常规 19 4 2 4 2" xfId="18256"/>
    <cellStyle name="常规 19 4 2 4 2 10" xfId="7011"/>
    <cellStyle name="常规 19 4 2 4 2 10 2" xfId="5531"/>
    <cellStyle name="常规 19 4 2 4 2 10 3" xfId="5621"/>
    <cellStyle name="常规 19 4 2 4 2 10 4" xfId="5665"/>
    <cellStyle name="常规 19 4 2 4 2 10 5" xfId="5685"/>
    <cellStyle name="常规 19 4 2 4 2 10 6" xfId="3744"/>
    <cellStyle name="常规 19 4 2 4 2 10 7" xfId="1342"/>
    <cellStyle name="常规 19 4 2 4 2 11" xfId="14011"/>
    <cellStyle name="常规 19 4 2 4 2 12" xfId="14015"/>
    <cellStyle name="常规 19 4 2 4 2 13" xfId="18262"/>
    <cellStyle name="常规 19 4 2 4 2 14" xfId="18266"/>
    <cellStyle name="常规 19 4 2 4 2 15" xfId="18269"/>
    <cellStyle name="常规 19 4 2 4 2 16" xfId="18271"/>
    <cellStyle name="常规 19 4 2 4 2 17" xfId="18273"/>
    <cellStyle name="常规 19 4 2 4 2 2" xfId="12995"/>
    <cellStyle name="常规 19 4 2 4 2 2 2" xfId="13607"/>
    <cellStyle name="常规 19 4 2 4 2 2 3" xfId="13649"/>
    <cellStyle name="常规 19 4 2 4 2 2 4" xfId="13676"/>
    <cellStyle name="常规 19 4 2 4 2 2 5" xfId="13710"/>
    <cellStyle name="常规 19 4 2 4 2 2 6" xfId="14033"/>
    <cellStyle name="常规 19 4 2 4 2 2 7" xfId="14037"/>
    <cellStyle name="常规 19 4 2 4 2 2 8" xfId="14041"/>
    <cellStyle name="常规 19 4 2 4 2 3" xfId="4270"/>
    <cellStyle name="常规 19 4 2 4 2 3 2" xfId="4280"/>
    <cellStyle name="常规 19 4 2 4 2 3 3" xfId="4068"/>
    <cellStyle name="常规 19 4 2 4 2 3 4" xfId="4083"/>
    <cellStyle name="常规 19 4 2 4 2 3 5" xfId="2943"/>
    <cellStyle name="常规 19 4 2 4 2 3 6" xfId="14044"/>
    <cellStyle name="常规 19 4 2 4 2 3 7" xfId="14048"/>
    <cellStyle name="常规 19 4 2 4 2 3 8" xfId="14051"/>
    <cellStyle name="常规 19 4 2 4 2 4" xfId="4287"/>
    <cellStyle name="常规 19 4 2 4 2 4 2" xfId="13835"/>
    <cellStyle name="常规 19 4 2 4 2 4 3" xfId="13842"/>
    <cellStyle name="常规 19 4 2 4 2 4 4" xfId="8586"/>
    <cellStyle name="常规 19 4 2 4 2 4 5" xfId="8606"/>
    <cellStyle name="常规 19 4 2 4 2 4 6" xfId="8642"/>
    <cellStyle name="常规 19 4 2 4 2 4 7" xfId="14054"/>
    <cellStyle name="常规 19 4 2 4 2 4 8" xfId="10350"/>
    <cellStyle name="常规 19 4 2 4 2 5" xfId="13002"/>
    <cellStyle name="常规 19 4 2 4 2 5 2" xfId="13862"/>
    <cellStyle name="常规 19 4 2 4 2 5 3" xfId="13870"/>
    <cellStyle name="常规 19 4 2 4 2 5 4" xfId="10394"/>
    <cellStyle name="常规 19 4 2 4 2 5 5" xfId="10401"/>
    <cellStyle name="常规 19 4 2 4 2 5 6" xfId="14057"/>
    <cellStyle name="常规 19 4 2 4 2 5 7" xfId="14062"/>
    <cellStyle name="常规 19 4 2 4 2 5 8" xfId="14065"/>
    <cellStyle name="常规 19 4 2 4 2 6" xfId="6652"/>
    <cellStyle name="常规 19 4 2 4 2 6 2" xfId="6943"/>
    <cellStyle name="常规 19 4 2 4 2 6 3" xfId="6952"/>
    <cellStyle name="常规 19 4 2 4 2 6 4" xfId="10409"/>
    <cellStyle name="常规 19 4 2 4 2 6 5" xfId="10417"/>
    <cellStyle name="常规 19 4 2 4 2 6 6" xfId="14069"/>
    <cellStyle name="常规 19 4 2 4 2 6 7" xfId="9444"/>
    <cellStyle name="常规 19 4 2 4 2 6 8" xfId="9471"/>
    <cellStyle name="常规 19 4 2 4 2 7" xfId="6664"/>
    <cellStyle name="常规 19 4 2 4 2 7 2" xfId="13912"/>
    <cellStyle name="常规 19 4 2 4 2 7 3" xfId="13919"/>
    <cellStyle name="常规 19 4 2 4 2 7 4" xfId="13386"/>
    <cellStyle name="常规 19 4 2 4 2 7 5" xfId="13399"/>
    <cellStyle name="常规 19 4 2 4 2 7 6" xfId="936"/>
    <cellStyle name="常规 19 4 2 4 2 7 7" xfId="1025"/>
    <cellStyle name="常规 19 4 2 4 2 7 8" xfId="1058"/>
    <cellStyle name="常规 19 4 2 4 2 8" xfId="14074"/>
    <cellStyle name="常规 19 4 2 4 2 8 2" xfId="13942"/>
    <cellStyle name="常规 19 4 2 4 2 8 3" xfId="5974"/>
    <cellStyle name="常规 19 4 2 4 2 8 4" xfId="5986"/>
    <cellStyle name="常规 19 4 2 4 2 8 5" xfId="6504"/>
    <cellStyle name="常规 19 4 2 4 2 8 6" xfId="1107"/>
    <cellStyle name="常规 19 4 2 4 2 8 7" xfId="1128"/>
    <cellStyle name="常规 19 4 2 4 2 8 8" xfId="1162"/>
    <cellStyle name="常规 19 4 2 4 2 9" xfId="18275"/>
    <cellStyle name="常规 19 4 2 4 2 9 2" xfId="13962"/>
    <cellStyle name="常规 19 4 2 4 2 9 3" xfId="5995"/>
    <cellStyle name="常规 19 4 2 4 2 9 4" xfId="6002"/>
    <cellStyle name="常规 19 4 2 4 2 9 5" xfId="18201"/>
    <cellStyle name="常规 19 4 2 4 2 9 6" xfId="18278"/>
    <cellStyle name="常规 19 4 2 4 2 9 7" xfId="1218"/>
    <cellStyle name="常规 19 4 2 4 2 9 8" xfId="1250"/>
    <cellStyle name="常规 19 4 2 4 3" xfId="18282"/>
    <cellStyle name="常规 19 4 2 4 3 2" xfId="14081"/>
    <cellStyle name="常规 19 4 2 4 3 3" xfId="4295"/>
    <cellStyle name="常规 19 4 2 4 3 4" xfId="2951"/>
    <cellStyle name="常规 19 4 2 4 3 5" xfId="14085"/>
    <cellStyle name="常规 19 4 2 4 3 6" xfId="6958"/>
    <cellStyle name="常规 19 4 2 4 3 7" xfId="6964"/>
    <cellStyle name="常规 19 4 2 4 3 8" xfId="18285"/>
    <cellStyle name="常规 19 4 2 4 4" xfId="18290"/>
    <cellStyle name="常规 19 4 2 4 4 2" xfId="14091"/>
    <cellStyle name="常规 19 4 2 4 4 3" xfId="14096"/>
    <cellStyle name="常规 19 4 2 4 4 4" xfId="14102"/>
    <cellStyle name="常规 19 4 2 4 4 5" xfId="14107"/>
    <cellStyle name="常规 19 4 2 4 4 6" xfId="7339"/>
    <cellStyle name="常规 19 4 2 4 4 7" xfId="7345"/>
    <cellStyle name="常规 19 4 2 4 4 8" xfId="18294"/>
    <cellStyle name="常规 19 4 2 4 5" xfId="18298"/>
    <cellStyle name="常规 19 4 2 4 5 2" xfId="14115"/>
    <cellStyle name="常规 19 4 2 4 5 3" xfId="14119"/>
    <cellStyle name="常规 19 4 2 4 5 4" xfId="14125"/>
    <cellStyle name="常规 19 4 2 4 5 5" xfId="14131"/>
    <cellStyle name="常规 19 4 2 4 5 6" xfId="14138"/>
    <cellStyle name="常规 19 4 2 4 5 7" xfId="10426"/>
    <cellStyle name="常规 19 4 2 4 5 8" xfId="18304"/>
    <cellStyle name="常规 19 4 2 4 6" xfId="18308"/>
    <cellStyle name="常规 19 4 2 4 6 2" xfId="14144"/>
    <cellStyle name="常规 19 4 2 4 6 3" xfId="14147"/>
    <cellStyle name="常规 19 4 2 4 6 4" xfId="14153"/>
    <cellStyle name="常规 19 4 2 4 6 5" xfId="14159"/>
    <cellStyle name="常规 19 4 2 4 6 6" xfId="14164"/>
    <cellStyle name="常规 19 4 2 4 6 7" xfId="14169"/>
    <cellStyle name="常规 19 4 2 4 6 8" xfId="18313"/>
    <cellStyle name="常规 19 4 2 4 7" xfId="18316"/>
    <cellStyle name="常规 19 4 2 4 7 2" xfId="14175"/>
    <cellStyle name="常规 19 4 2 4 7 3" xfId="14178"/>
    <cellStyle name="常规 19 4 2 4 7 4" xfId="14184"/>
    <cellStyle name="常规 19 4 2 4 7 5" xfId="14190"/>
    <cellStyle name="常规 19 4 2 4 7 6" xfId="14194"/>
    <cellStyle name="常规 19 4 2 4 7 7" xfId="14198"/>
    <cellStyle name="常规 19 4 2 4 7 8" xfId="18320"/>
    <cellStyle name="常规 19 4 2 4 8" xfId="18324"/>
    <cellStyle name="常规 19 4 2 4 8 2" xfId="12208"/>
    <cellStyle name="常规 19 4 2 4 8 3" xfId="14203"/>
    <cellStyle name="常规 19 4 2 4 8 4" xfId="14210"/>
    <cellStyle name="常规 19 4 2 4 8 5" xfId="14216"/>
    <cellStyle name="常规 19 4 2 4 8 6" xfId="3540"/>
    <cellStyle name="常规 19 4 2 4 8 7" xfId="3556"/>
    <cellStyle name="常规 19 4 2 4 8 8" xfId="18328"/>
    <cellStyle name="常规 19 4 2 4 9" xfId="18332"/>
    <cellStyle name="常规 19 4 2 4 9 2" xfId="14223"/>
    <cellStyle name="常规 19 4 2 4 9 3" xfId="14229"/>
    <cellStyle name="常规 19 4 2 4 9 4" xfId="14236"/>
    <cellStyle name="常规 19 4 2 4 9 5" xfId="14243"/>
    <cellStyle name="常规 19 4 2 4 9 6" xfId="4635"/>
    <cellStyle name="常规 19 4 2 4 9 7" xfId="4608"/>
    <cellStyle name="常规 19 4 2 4 9 8" xfId="11747"/>
    <cellStyle name="常规 19 4 2 5" xfId="18337"/>
    <cellStyle name="常规 19 4 2 5 10" xfId="9137"/>
    <cellStyle name="常规 19 4 2 5 10 2" xfId="14254"/>
    <cellStyle name="常规 19 4 2 5 10 3" xfId="14257"/>
    <cellStyle name="常规 19 4 2 5 10 4" xfId="18339"/>
    <cellStyle name="常规 19 4 2 5 10 5" xfId="18341"/>
    <cellStyle name="常规 19 4 2 5 10 6" xfId="18343"/>
    <cellStyle name="常规 19 4 2 5 10 7" xfId="18345"/>
    <cellStyle name="常规 19 4 2 5 11" xfId="12553"/>
    <cellStyle name="常规 19 4 2 5 12" xfId="18347"/>
    <cellStyle name="常规 19 4 2 5 13" xfId="7072"/>
    <cellStyle name="常规 19 4 2 5 14" xfId="14586"/>
    <cellStyle name="常规 19 4 2 5 15" xfId="14591"/>
    <cellStyle name="常规 19 4 2 5 16" xfId="14596"/>
    <cellStyle name="常规 19 4 2 5 17" xfId="14601"/>
    <cellStyle name="常规 19 4 2 5 2" xfId="11925"/>
    <cellStyle name="常规 19 4 2 5 2 2" xfId="14287"/>
    <cellStyle name="常规 19 4 2 5 2 3" xfId="2699"/>
    <cellStyle name="常规 19 4 2 5 2 4" xfId="2719"/>
    <cellStyle name="常规 19 4 2 5 2 5" xfId="14366"/>
    <cellStyle name="常规 19 4 2 5 2 6" xfId="6971"/>
    <cellStyle name="常规 19 4 2 5 2 7" xfId="1318"/>
    <cellStyle name="常规 19 4 2 5 2 8" xfId="14448"/>
    <cellStyle name="常规 19 4 2 5 3" xfId="18352"/>
    <cellStyle name="常规 19 4 2 5 3 2" xfId="14457"/>
    <cellStyle name="常规 19 4 2 5 3 3" xfId="4157"/>
    <cellStyle name="常规 19 4 2 5 3 4" xfId="4505"/>
    <cellStyle name="常规 19 4 2 5 3 5" xfId="14463"/>
    <cellStyle name="常规 19 4 2 5 3 6" xfId="14466"/>
    <cellStyle name="常规 19 4 2 5 3 7" xfId="14469"/>
    <cellStyle name="常规 19 4 2 5 3 8" xfId="18354"/>
    <cellStyle name="常规 19 4 2 5 4" xfId="18357"/>
    <cellStyle name="常规 19 4 2 5 4 2" xfId="14476"/>
    <cellStyle name="常规 19 4 2 5 4 3" xfId="14480"/>
    <cellStyle name="常规 19 4 2 5 4 4" xfId="14483"/>
    <cellStyle name="常规 19 4 2 5 4 5" xfId="14486"/>
    <cellStyle name="常规 19 4 2 5 4 6" xfId="14489"/>
    <cellStyle name="常规 19 4 2 5 4 7" xfId="8838"/>
    <cellStyle name="常规 19 4 2 5 4 8" xfId="18359"/>
    <cellStyle name="常规 19 4 2 5 5" xfId="18362"/>
    <cellStyle name="常规 19 4 2 5 5 2" xfId="14497"/>
    <cellStyle name="常规 19 4 2 5 5 3" xfId="14502"/>
    <cellStyle name="常规 19 4 2 5 5 4" xfId="14505"/>
    <cellStyle name="常规 19 4 2 5 5 5" xfId="14508"/>
    <cellStyle name="常规 19 4 2 5 5 6" xfId="12265"/>
    <cellStyle name="常规 19 4 2 5 5 7" xfId="8898"/>
    <cellStyle name="常规 19 4 2 5 5 8" xfId="8920"/>
    <cellStyle name="常规 19 4 2 5 6" xfId="18365"/>
    <cellStyle name="常规 19 4 2 5 6 2" xfId="14516"/>
    <cellStyle name="常规 19 4 2 5 6 3" xfId="14520"/>
    <cellStyle name="常规 19 4 2 5 6 4" xfId="14524"/>
    <cellStyle name="常规 19 4 2 5 6 5" xfId="14527"/>
    <cellStyle name="常规 19 4 2 5 6 6" xfId="12276"/>
    <cellStyle name="常规 19 4 2 5 6 7" xfId="12286"/>
    <cellStyle name="常规 19 4 2 5 6 8" xfId="18368"/>
    <cellStyle name="常规 19 4 2 5 7" xfId="18371"/>
    <cellStyle name="常规 19 4 2 5 7 2" xfId="14532"/>
    <cellStyle name="常规 19 4 2 5 7 3" xfId="682"/>
    <cellStyle name="常规 19 4 2 5 7 4" xfId="2505"/>
    <cellStyle name="常规 19 4 2 5 7 5" xfId="2524"/>
    <cellStyle name="常规 19 4 2 5 7 6" xfId="3590"/>
    <cellStyle name="常规 19 4 2 5 7 7" xfId="10731"/>
    <cellStyle name="常规 19 4 2 5 7 8" xfId="18373"/>
    <cellStyle name="常规 19 4 2 5 8" xfId="18376"/>
    <cellStyle name="常规 19 4 2 5 8 2" xfId="14541"/>
    <cellStyle name="常规 19 4 2 5 8 3" xfId="9422"/>
    <cellStyle name="常规 19 4 2 5 8 4" xfId="9806"/>
    <cellStyle name="常规 19 4 2 5 8 5" xfId="14545"/>
    <cellStyle name="常规 19 4 2 5 8 6" xfId="4650"/>
    <cellStyle name="常规 19 4 2 5 8 7" xfId="4662"/>
    <cellStyle name="常规 19 4 2 5 8 8" xfId="18378"/>
    <cellStyle name="常规 19 4 2 5 9" xfId="9429"/>
    <cellStyle name="常规 19 4 2 5 9 2" xfId="10335"/>
    <cellStyle name="常规 19 4 2 5 9 3" xfId="10340"/>
    <cellStyle name="常规 19 4 2 5 9 4" xfId="14550"/>
    <cellStyle name="常规 19 4 2 5 9 5" xfId="14553"/>
    <cellStyle name="常规 19 4 2 5 9 6" xfId="14556"/>
    <cellStyle name="常规 19 4 2 5 9 7" xfId="14559"/>
    <cellStyle name="常规 19 4 2 5 9 8" xfId="18380"/>
    <cellStyle name="常规 19 4 2 6" xfId="21838"/>
    <cellStyle name="常规 19 4 2 6 2" xfId="21839"/>
    <cellStyle name="常规 19 4 2 6 3" xfId="21840"/>
    <cellStyle name="常规 19 4 2 6 4" xfId="21841"/>
    <cellStyle name="常规 19 4 2 6 5" xfId="21843"/>
    <cellStyle name="常规 19 4 2 6 6" xfId="21845"/>
    <cellStyle name="常规 19 4 2 6 7" xfId="21847"/>
    <cellStyle name="常规 19 4 2 6 8" xfId="21849"/>
    <cellStyle name="常规 19 4 2 7" xfId="21851"/>
    <cellStyle name="常规 19 4 2 7 2" xfId="21852"/>
    <cellStyle name="常规 19 4 2 7 3" xfId="21853"/>
    <cellStyle name="常规 19 4 2 7 4" xfId="21854"/>
    <cellStyle name="常规 19 4 2 7 5" xfId="21855"/>
    <cellStyle name="常规 19 4 2 7 6" xfId="21856"/>
    <cellStyle name="常规 19 4 2 7 7" xfId="21857"/>
    <cellStyle name="常规 19 4 2 7 8" xfId="21859"/>
    <cellStyle name="常规 19 4 2 8" xfId="21862"/>
    <cellStyle name="常规 19 4 2 8 2" xfId="21865"/>
    <cellStyle name="常规 19 4 2 8 3" xfId="21866"/>
    <cellStyle name="常规 19 4 2 8 4" xfId="21867"/>
    <cellStyle name="常规 19 4 2 8 5" xfId="21868"/>
    <cellStyle name="常规 19 4 2 8 6" xfId="21869"/>
    <cellStyle name="常规 19 4 2 8 7" xfId="21870"/>
    <cellStyle name="常规 19 4 2 8 8" xfId="21872"/>
    <cellStyle name="常规 19 4 2 9" xfId="21874"/>
    <cellStyle name="常规 19 4 2 9 2" xfId="20881"/>
    <cellStyle name="常规 19 4 2 9 3" xfId="20888"/>
    <cellStyle name="常规 19 4 2 9 4" xfId="20890"/>
    <cellStyle name="常规 19 4 2 9 5" xfId="4476"/>
    <cellStyle name="常规 19 4 2 9 6" xfId="20892"/>
    <cellStyle name="常规 19 4 2 9 7" xfId="20895"/>
    <cellStyle name="常规 19 4 2 9 8" xfId="20898"/>
    <cellStyle name="常规 19 4 20" xfId="21771"/>
    <cellStyle name="常规 19 4 21" xfId="21781"/>
    <cellStyle name="常规 19 4 22" xfId="21783"/>
    <cellStyle name="常规 19 4 23" xfId="21785"/>
    <cellStyle name="常规 19 4 3" xfId="21875"/>
    <cellStyle name="常规 19 4 3 10" xfId="21876"/>
    <cellStyle name="常规 19 4 3 10 2" xfId="4007"/>
    <cellStyle name="常规 19 4 3 10 3" xfId="15094"/>
    <cellStyle name="常规 19 4 3 10 4" xfId="6540"/>
    <cellStyle name="常规 19 4 3 10 5" xfId="6569"/>
    <cellStyle name="常规 19 4 3 10 6" xfId="6578"/>
    <cellStyle name="常规 19 4 3 10 7" xfId="21877"/>
    <cellStyle name="常规 19 4 3 10 8" xfId="6108"/>
    <cellStyle name="常规 19 4 3 11" xfId="21878"/>
    <cellStyle name="常规 19 4 3 11 2" xfId="11206"/>
    <cellStyle name="常规 19 4 3 11 3" xfId="15097"/>
    <cellStyle name="常规 19 4 3 11 4" xfId="6594"/>
    <cellStyle name="常规 19 4 3 11 5" xfId="6609"/>
    <cellStyle name="常规 19 4 3 11 6" xfId="21879"/>
    <cellStyle name="常规 19 4 3 11 7" xfId="21880"/>
    <cellStyle name="常规 19 4 3 11 8" xfId="9057"/>
    <cellStyle name="常规 19 4 3 12" xfId="21881"/>
    <cellStyle name="常规 19 4 3 12 2" xfId="224"/>
    <cellStyle name="常规 19 4 3 12 3" xfId="21882"/>
    <cellStyle name="常规 19 4 3 12 4" xfId="101"/>
    <cellStyle name="常规 19 4 3 12 5" xfId="617"/>
    <cellStyle name="常规 19 4 3 12 6" xfId="717"/>
    <cellStyle name="常规 19 4 3 12 7" xfId="858"/>
    <cellStyle name="常规 19 4 3 12 8" xfId="899"/>
    <cellStyle name="常规 19 4 3 13" xfId="21883"/>
    <cellStyle name="常规 19 4 3 13 2" xfId="21884"/>
    <cellStyle name="常规 19 4 3 13 3" xfId="21885"/>
    <cellStyle name="常规 19 4 3 13 4" xfId="933"/>
    <cellStyle name="常规 19 4 3 13 5" xfId="1102"/>
    <cellStyle name="常规 19 4 3 13 6" xfId="1169"/>
    <cellStyle name="常规 19 4 3 13 7" xfId="1254"/>
    <cellStyle name="常规 19 4 3 14" xfId="21886"/>
    <cellStyle name="常规 19 4 3 15" xfId="21888"/>
    <cellStyle name="常规 19 4 3 16" xfId="21890"/>
    <cellStyle name="常规 19 4 3 17" xfId="21891"/>
    <cellStyle name="常规 19 4 3 18" xfId="21892"/>
    <cellStyle name="常规 19 4 3 19" xfId="16281"/>
    <cellStyle name="常规 19 4 3 2" xfId="12466"/>
    <cellStyle name="常规 19 4 3 2 10" xfId="19804"/>
    <cellStyle name="常规 19 4 3 2 10 2" xfId="10907"/>
    <cellStyle name="常规 19 4 3 2 10 3" xfId="10918"/>
    <cellStyle name="常规 19 4 3 2 10 4" xfId="14949"/>
    <cellStyle name="常规 19 4 3 2 10 5" xfId="15583"/>
    <cellStyle name="常规 19 4 3 2 10 6" xfId="15588"/>
    <cellStyle name="常规 19 4 3 2 10 7" xfId="15591"/>
    <cellStyle name="常规 19 4 3 2 10 8" xfId="21240"/>
    <cellStyle name="常规 19 4 3 2 11" xfId="19809"/>
    <cellStyle name="常规 19 4 3 2 11 2" xfId="9320"/>
    <cellStyle name="常规 19 4 3 2 11 3" xfId="10947"/>
    <cellStyle name="常规 19 4 3 2 11 4" xfId="15597"/>
    <cellStyle name="常规 19 4 3 2 11 5" xfId="15606"/>
    <cellStyle name="常规 19 4 3 2 11 6" xfId="15614"/>
    <cellStyle name="常规 19 4 3 2 11 7" xfId="15620"/>
    <cellStyle name="常规 19 4 3 2 11 8" xfId="18132"/>
    <cellStyle name="常规 19 4 3 2 12" xfId="21243"/>
    <cellStyle name="常规 19 4 3 2 12 2" xfId="10965"/>
    <cellStyle name="常规 19 4 3 2 12 3" xfId="15624"/>
    <cellStyle name="常规 19 4 3 2 12 4" xfId="11515"/>
    <cellStyle name="常规 19 4 3 2 12 5" xfId="6280"/>
    <cellStyle name="常规 19 4 3 2 12 6" xfId="6288"/>
    <cellStyle name="常规 19 4 3 2 12 7" xfId="15631"/>
    <cellStyle name="常规 19 4 3 2 13" xfId="21248"/>
    <cellStyle name="常规 19 4 3 2 14" xfId="21250"/>
    <cellStyle name="常规 19 4 3 2 15" xfId="2359"/>
    <cellStyle name="常规 19 4 3 2 16" xfId="11341"/>
    <cellStyle name="常规 19 4 3 2 17" xfId="21252"/>
    <cellStyle name="常规 19 4 3 2 18" xfId="388"/>
    <cellStyle name="常规 19 4 3 2 19" xfId="404"/>
    <cellStyle name="常规 19 4 3 2 2" xfId="21254"/>
    <cellStyle name="常规 19 4 3 2 2 10" xfId="21256"/>
    <cellStyle name="常规 19 4 3 2 2 10 2" xfId="1733"/>
    <cellStyle name="常规 19 4 3 2 2 10 3" xfId="962"/>
    <cellStyle name="常规 19 4 3 2 2 10 4" xfId="976"/>
    <cellStyle name="常规 19 4 3 2 2 10 5" xfId="9823"/>
    <cellStyle name="常规 19 4 3 2 2 10 6" xfId="9845"/>
    <cellStyle name="常规 19 4 3 2 2 10 7" xfId="9850"/>
    <cellStyle name="常规 19 4 3 2 2 11" xfId="21258"/>
    <cellStyle name="常规 19 4 3 2 2 12" xfId="21262"/>
    <cellStyle name="常规 19 4 3 2 2 13" xfId="19106"/>
    <cellStyle name="常规 19 4 3 2 2 14" xfId="19110"/>
    <cellStyle name="常规 19 4 3 2 2 15" xfId="13758"/>
    <cellStyle name="常规 19 4 3 2 2 16" xfId="13246"/>
    <cellStyle name="常规 19 4 3 2 2 17" xfId="13251"/>
    <cellStyle name="常规 19 4 3 2 2 2" xfId="13336"/>
    <cellStyle name="常规 19 4 3 2 2 2 2" xfId="17669"/>
    <cellStyle name="常规 19 4 3 2 2 2 3" xfId="17672"/>
    <cellStyle name="常规 19 4 3 2 2 2 4" xfId="21299"/>
    <cellStyle name="常规 19 4 3 2 2 2 5" xfId="7061"/>
    <cellStyle name="常规 19 4 3 2 2 2 6" xfId="5010"/>
    <cellStyle name="常规 19 4 3 2 2 2 7" xfId="21319"/>
    <cellStyle name="常规 19 4 3 2 2 2 8" xfId="21328"/>
    <cellStyle name="常规 19 4 3 2 2 3" xfId="13339"/>
    <cellStyle name="常规 19 4 3 2 2 3 2" xfId="16290"/>
    <cellStyle name="常规 19 4 3 2 2 3 3" xfId="16301"/>
    <cellStyle name="常规 19 4 3 2 2 3 4" xfId="16305"/>
    <cellStyle name="常规 19 4 3 2 2 3 5" xfId="8128"/>
    <cellStyle name="常规 19 4 3 2 2 3 6" xfId="8516"/>
    <cellStyle name="常规 19 4 3 2 2 3 7" xfId="16309"/>
    <cellStyle name="常规 19 4 3 2 2 3 8" xfId="16313"/>
    <cellStyle name="常规 19 4 3 2 2 4" xfId="21338"/>
    <cellStyle name="常规 19 4 3 2 2 4 2" xfId="21340"/>
    <cellStyle name="常规 19 4 3 2 2 4 3" xfId="21342"/>
    <cellStyle name="常规 19 4 3 2 2 4 4" xfId="21344"/>
    <cellStyle name="常规 19 4 3 2 2 4 5" xfId="8148"/>
    <cellStyle name="常规 19 4 3 2 2 4 6" xfId="11855"/>
    <cellStyle name="常规 19 4 3 2 2 4 7" xfId="10310"/>
    <cellStyle name="常规 19 4 3 2 2 4 8" xfId="21347"/>
    <cellStyle name="常规 19 4 3 2 2 5" xfId="21349"/>
    <cellStyle name="常规 19 4 3 2 2 5 2" xfId="21351"/>
    <cellStyle name="常规 19 4 3 2 2 5 3" xfId="21353"/>
    <cellStyle name="常规 19 4 3 2 2 5 4" xfId="21356"/>
    <cellStyle name="常规 19 4 3 2 2 5 5" xfId="21359"/>
    <cellStyle name="常规 19 4 3 2 2 5 6" xfId="21363"/>
    <cellStyle name="常规 19 4 3 2 2 5 7" xfId="21367"/>
    <cellStyle name="常规 19 4 3 2 2 5 8" xfId="5330"/>
    <cellStyle name="常规 19 4 3 2 2 6" xfId="21369"/>
    <cellStyle name="常规 19 4 3 2 2 6 2" xfId="21371"/>
    <cellStyle name="常规 19 4 3 2 2 6 3" xfId="21373"/>
    <cellStyle name="常规 19 4 3 2 2 6 4" xfId="579"/>
    <cellStyle name="常规 19 4 3 2 2 6 5" xfId="591"/>
    <cellStyle name="常规 19 4 3 2 2 6 6" xfId="21377"/>
    <cellStyle name="常规 19 4 3 2 2 6 7" xfId="21381"/>
    <cellStyle name="常规 19 4 3 2 2 6 8" xfId="21385"/>
    <cellStyle name="常规 19 4 3 2 2 7" xfId="21388"/>
    <cellStyle name="常规 19 4 3 2 2 7 2" xfId="21391"/>
    <cellStyle name="常规 19 4 3 2 2 7 3" xfId="21394"/>
    <cellStyle name="常规 19 4 3 2 2 7 4" xfId="21397"/>
    <cellStyle name="常规 19 4 3 2 2 7 5" xfId="21400"/>
    <cellStyle name="常规 19 4 3 2 2 7 6" xfId="21403"/>
    <cellStyle name="常规 19 4 3 2 2 7 7" xfId="11558"/>
    <cellStyle name="常规 19 4 3 2 2 7 8" xfId="6387"/>
    <cellStyle name="常规 19 4 3 2 2 8" xfId="21406"/>
    <cellStyle name="常规 19 4 3 2 2 8 2" xfId="16755"/>
    <cellStyle name="常规 19 4 3 2 2 8 3" xfId="16758"/>
    <cellStyle name="常规 19 4 3 2 2 8 4" xfId="2393"/>
    <cellStyle name="常规 19 4 3 2 2 8 5" xfId="2405"/>
    <cellStyle name="常规 19 4 3 2 2 8 6" xfId="16763"/>
    <cellStyle name="常规 19 4 3 2 2 8 7" xfId="7420"/>
    <cellStyle name="常规 19 4 3 2 2 8 8" xfId="7517"/>
    <cellStyle name="常规 19 4 3 2 2 9" xfId="21409"/>
    <cellStyle name="常规 19 4 3 2 2 9 2" xfId="21412"/>
    <cellStyle name="常规 19 4 3 2 2 9 3" xfId="21414"/>
    <cellStyle name="常规 19 4 3 2 2 9 4" xfId="21418"/>
    <cellStyle name="常规 19 4 3 2 2 9 5" xfId="21422"/>
    <cellStyle name="常规 19 4 3 2 2 9 6" xfId="21425"/>
    <cellStyle name="常规 19 4 3 2 2 9 7" xfId="18973"/>
    <cellStyle name="常规 19 4 3 2 2 9 8" xfId="7020"/>
    <cellStyle name="常规 19 4 3 2 3" xfId="21427"/>
    <cellStyle name="常规 19 4 3 2 3 2" xfId="408"/>
    <cellStyle name="常规 19 4 3 2 3 3" xfId="3367"/>
    <cellStyle name="常规 19 4 3 2 3 4" xfId="3392"/>
    <cellStyle name="常规 19 4 3 2 3 5" xfId="4103"/>
    <cellStyle name="常规 19 4 3 2 3 6" xfId="4114"/>
    <cellStyle name="常规 19 4 3 2 3 7" xfId="11256"/>
    <cellStyle name="常规 19 4 3 2 3 8" xfId="21487"/>
    <cellStyle name="常规 19 4 3 2 4" xfId="21510"/>
    <cellStyle name="常规 19 4 3 2 4 2" xfId="2247"/>
    <cellStyle name="常规 19 4 3 2 4 3" xfId="3415"/>
    <cellStyle name="常规 19 4 3 2 4 4" xfId="3426"/>
    <cellStyle name="常规 19 4 3 2 4 5" xfId="4013"/>
    <cellStyle name="常规 19 4 3 2 4 6" xfId="4488"/>
    <cellStyle name="常规 19 4 3 2 4 7" xfId="21512"/>
    <cellStyle name="常规 19 4 3 2 4 8" xfId="21514"/>
    <cellStyle name="常规 19 4 3 2 5" xfId="18624"/>
    <cellStyle name="常规 19 4 3 2 5 2" xfId="21516"/>
    <cellStyle name="常规 19 4 3 2 5 3" xfId="21518"/>
    <cellStyle name="常规 19 4 3 2 5 4" xfId="21520"/>
    <cellStyle name="常规 19 4 3 2 5 5" xfId="21522"/>
    <cellStyle name="常规 19 4 3 2 5 6" xfId="21524"/>
    <cellStyle name="常规 19 4 3 2 5 7" xfId="21526"/>
    <cellStyle name="常规 19 4 3 2 5 8" xfId="21528"/>
    <cellStyle name="常规 19 4 3 2 6" xfId="18628"/>
    <cellStyle name="常规 19 4 3 2 6 2" xfId="21530"/>
    <cellStyle name="常规 19 4 3 2 6 3" xfId="21532"/>
    <cellStyle name="常规 19 4 3 2 6 4" xfId="21534"/>
    <cellStyle name="常规 19 4 3 2 6 5" xfId="14562"/>
    <cellStyle name="常规 19 4 3 2 6 6" xfId="14581"/>
    <cellStyle name="常规 19 4 3 2 6 7" xfId="10503"/>
    <cellStyle name="常规 19 4 3 2 6 8" xfId="10509"/>
    <cellStyle name="常规 19 4 3 2 7" xfId="18632"/>
    <cellStyle name="常规 19 4 3 2 7 2" xfId="21536"/>
    <cellStyle name="常规 19 4 3 2 7 3" xfId="21538"/>
    <cellStyle name="常规 19 4 3 2 7 4" xfId="21540"/>
    <cellStyle name="常规 19 4 3 2 7 5" xfId="21542"/>
    <cellStyle name="常规 19 4 3 2 7 6" xfId="21545"/>
    <cellStyle name="常规 19 4 3 2 7 7" xfId="21548"/>
    <cellStyle name="常规 19 4 3 2 7 8" xfId="21550"/>
    <cellStyle name="常规 19 4 3 2 8" xfId="18637"/>
    <cellStyle name="常规 19 4 3 2 8 2" xfId="21552"/>
    <cellStyle name="常规 19 4 3 2 8 3" xfId="9856"/>
    <cellStyle name="常规 19 4 3 2 8 4" xfId="9864"/>
    <cellStyle name="常规 19 4 3 2 8 5" xfId="21554"/>
    <cellStyle name="常规 19 4 3 2 8 6" xfId="21556"/>
    <cellStyle name="常规 19 4 3 2 8 7" xfId="21558"/>
    <cellStyle name="常规 19 4 3 2 8 8" xfId="21560"/>
    <cellStyle name="常规 19 4 3 2 9" xfId="18643"/>
    <cellStyle name="常规 19 4 3 2 9 2" xfId="21562"/>
    <cellStyle name="常规 19 4 3 2 9 3" xfId="2466"/>
    <cellStyle name="常规 19 4 3 2 9 4" xfId="2480"/>
    <cellStyle name="常规 19 4 3 2 9 5" xfId="20014"/>
    <cellStyle name="常规 19 4 3 2 9 6" xfId="20017"/>
    <cellStyle name="常规 19 4 3 2 9 7" xfId="16354"/>
    <cellStyle name="常规 19 4 3 2 9 8" xfId="16370"/>
    <cellStyle name="常规 19 4 3 20" xfId="21889"/>
    <cellStyle name="常规 19 4 3 3" xfId="21565"/>
    <cellStyle name="常规 19 4 3 3 10" xfId="14723"/>
    <cellStyle name="常规 19 4 3 3 10 2" xfId="12464"/>
    <cellStyle name="常规 19 4 3 3 10 3" xfId="14718"/>
    <cellStyle name="常规 19 4 3 3 10 4" xfId="21567"/>
    <cellStyle name="常规 19 4 3 3 10 5" xfId="21569"/>
    <cellStyle name="常规 19 4 3 3 10 6" xfId="21571"/>
    <cellStyle name="常规 19 4 3 3 10 7" xfId="19560"/>
    <cellStyle name="常规 19 4 3 3 11" xfId="14727"/>
    <cellStyle name="常规 19 4 3 3 12" xfId="14730"/>
    <cellStyle name="常规 19 4 3 3 13" xfId="14734"/>
    <cellStyle name="常规 19 4 3 3 14" xfId="14738"/>
    <cellStyle name="常规 19 4 3 3 15" xfId="21574"/>
    <cellStyle name="常规 19 4 3 3 16" xfId="21577"/>
    <cellStyle name="常规 19 4 3 3 17" xfId="21580"/>
    <cellStyle name="常规 19 4 3 3 2" xfId="21591"/>
    <cellStyle name="常规 19 4 3 3 2 2" xfId="14751"/>
    <cellStyle name="常规 19 4 3 3 2 3" xfId="14755"/>
    <cellStyle name="常规 19 4 3 3 2 4" xfId="14769"/>
    <cellStyle name="常规 19 4 3 3 2 5" xfId="14292"/>
    <cellStyle name="常规 19 4 3 3 2 6" xfId="14298"/>
    <cellStyle name="常规 19 4 3 3 2 7" xfId="14305"/>
    <cellStyle name="常规 19 4 3 3 2 8" xfId="14312"/>
    <cellStyle name="常规 19 4 3 3 3" xfId="21598"/>
    <cellStyle name="常规 19 4 3 3 3 2" xfId="1627"/>
    <cellStyle name="常规 19 4 3 3 3 3" xfId="1788"/>
    <cellStyle name="常规 19 4 3 3 3 4" xfId="1839"/>
    <cellStyle name="常规 19 4 3 3 3 5" xfId="1888"/>
    <cellStyle name="常规 19 4 3 3 3 6" xfId="1929"/>
    <cellStyle name="常规 19 4 3 3 3 7" xfId="14328"/>
    <cellStyle name="常规 19 4 3 3 3 8" xfId="14334"/>
    <cellStyle name="常规 19 4 3 3 4" xfId="21602"/>
    <cellStyle name="常规 19 4 3 3 4 2" xfId="14870"/>
    <cellStyle name="常规 19 4 3 3 4 3" xfId="14874"/>
    <cellStyle name="常规 19 4 3 3 4 4" xfId="14879"/>
    <cellStyle name="常规 19 4 3 3 4 5" xfId="14350"/>
    <cellStyle name="常规 19 4 3 3 4 6" xfId="14356"/>
    <cellStyle name="常规 19 4 3 3 4 7" xfId="10521"/>
    <cellStyle name="常规 19 4 3 3 4 8" xfId="10538"/>
    <cellStyle name="常规 19 4 3 3 5" xfId="18652"/>
    <cellStyle name="常规 19 4 3 3 5 2" xfId="14885"/>
    <cellStyle name="常规 19 4 3 3 5 3" xfId="14888"/>
    <cellStyle name="常规 19 4 3 3 5 4" xfId="14893"/>
    <cellStyle name="常规 19 4 3 3 5 5" xfId="14372"/>
    <cellStyle name="常规 19 4 3 3 5 6" xfId="14378"/>
    <cellStyle name="常规 19 4 3 3 5 7" xfId="10553"/>
    <cellStyle name="常规 19 4 3 3 5 8" xfId="10561"/>
    <cellStyle name="常规 19 4 3 3 6" xfId="18657"/>
    <cellStyle name="常规 19 4 3 3 6 2" xfId="14899"/>
    <cellStyle name="常规 19 4 3 3 6 3" xfId="6818"/>
    <cellStyle name="常规 19 4 3 3 6 4" xfId="6825"/>
    <cellStyle name="常规 19 4 3 3 6 5" xfId="14386"/>
    <cellStyle name="常规 19 4 3 3 6 6" xfId="14392"/>
    <cellStyle name="常规 19 4 3 3 6 7" xfId="14399"/>
    <cellStyle name="常规 19 4 3 3 6 8" xfId="14406"/>
    <cellStyle name="常规 19 4 3 3 7" xfId="18662"/>
    <cellStyle name="常规 19 4 3 3 7 2" xfId="14905"/>
    <cellStyle name="常规 19 4 3 3 7 3" xfId="14910"/>
    <cellStyle name="常规 19 4 3 3 7 4" xfId="14917"/>
    <cellStyle name="常规 19 4 3 3 7 5" xfId="14416"/>
    <cellStyle name="常规 19 4 3 3 7 6" xfId="14422"/>
    <cellStyle name="常规 19 4 3 3 7 7" xfId="14428"/>
    <cellStyle name="常规 19 4 3 3 7 8" xfId="14433"/>
    <cellStyle name="常规 19 4 3 3 8" xfId="18666"/>
    <cellStyle name="常规 19 4 3 3 8 2" xfId="14928"/>
    <cellStyle name="常规 19 4 3 3 8 3" xfId="7083"/>
    <cellStyle name="常规 19 4 3 3 8 4" xfId="7107"/>
    <cellStyle name="常规 19 4 3 3 8 5" xfId="1358"/>
    <cellStyle name="常规 19 4 3 3 8 6" xfId="1368"/>
    <cellStyle name="常规 19 4 3 3 8 7" xfId="6044"/>
    <cellStyle name="常规 19 4 3 3 8 8" xfId="259"/>
    <cellStyle name="常规 19 4 3 3 9" xfId="18670"/>
    <cellStyle name="常规 19 4 3 3 9 2" xfId="766"/>
    <cellStyle name="常规 19 4 3 3 9 3" xfId="2554"/>
    <cellStyle name="常规 19 4 3 3 9 4" xfId="7150"/>
    <cellStyle name="常规 19 4 3 3 9 5" xfId="1200"/>
    <cellStyle name="常规 19 4 3 3 9 6" xfId="2823"/>
    <cellStyle name="常规 19 4 3 3 9 7" xfId="6056"/>
    <cellStyle name="常规 19 4 3 3 9 8" xfId="19575"/>
    <cellStyle name="常规 19 4 3 4" xfId="21605"/>
    <cellStyle name="常规 19 4 3 4 2" xfId="21645"/>
    <cellStyle name="常规 19 4 3 4 3" xfId="21655"/>
    <cellStyle name="常规 19 4 3 4 4" xfId="10056"/>
    <cellStyle name="常规 19 4 3 4 5" xfId="10111"/>
    <cellStyle name="常规 19 4 3 4 6" xfId="21662"/>
    <cellStyle name="常规 19 4 3 4 7" xfId="12572"/>
    <cellStyle name="常规 19 4 3 4 8" xfId="12578"/>
    <cellStyle name="常规 19 4 3 5" xfId="21672"/>
    <cellStyle name="常规 19 4 3 5 2" xfId="21686"/>
    <cellStyle name="常规 19 4 3 5 3" xfId="21690"/>
    <cellStyle name="常规 19 4 3 5 4" xfId="21699"/>
    <cellStyle name="常规 19 4 3 5 5" xfId="21709"/>
    <cellStyle name="常规 19 4 3 5 6" xfId="21718"/>
    <cellStyle name="常规 19 4 3 5 7" xfId="12587"/>
    <cellStyle name="常规 19 4 3 5 8" xfId="12599"/>
    <cellStyle name="常规 19 4 3 6" xfId="21893"/>
    <cellStyle name="常规 19 4 3 6 2" xfId="9788"/>
    <cellStyle name="常规 19 4 3 6 3" xfId="15983"/>
    <cellStyle name="常规 19 4 3 6 4" xfId="15985"/>
    <cellStyle name="常规 19 4 3 6 5" xfId="6514"/>
    <cellStyle name="常规 19 4 3 6 6" xfId="1172"/>
    <cellStyle name="常规 19 4 3 6 7" xfId="21895"/>
    <cellStyle name="常规 19 4 3 6 8" xfId="21897"/>
    <cellStyle name="常规 19 4 3 7" xfId="21898"/>
    <cellStyle name="常规 19 4 3 7 2" xfId="21899"/>
    <cellStyle name="常规 19 4 3 7 3" xfId="21901"/>
    <cellStyle name="常规 19 4 3 7 4" xfId="21903"/>
    <cellStyle name="常规 19 4 3 7 5" xfId="21904"/>
    <cellStyle name="常规 19 4 3 7 6" xfId="21905"/>
    <cellStyle name="常规 19 4 3 7 7" xfId="21906"/>
    <cellStyle name="常规 19 4 3 7 8" xfId="21908"/>
    <cellStyle name="常规 19 4 3 8" xfId="21911"/>
    <cellStyle name="常规 19 4 3 8 2" xfId="21913"/>
    <cellStyle name="常规 19 4 3 8 3" xfId="21915"/>
    <cellStyle name="常规 19 4 3 8 4" xfId="21917"/>
    <cellStyle name="常规 19 4 3 8 5" xfId="21918"/>
    <cellStyle name="常规 19 4 3 8 6" xfId="21919"/>
    <cellStyle name="常规 19 4 3 8 7" xfId="21922"/>
    <cellStyle name="常规 19 4 3 8 8" xfId="21924"/>
    <cellStyle name="常规 19 4 3 9" xfId="21927"/>
    <cellStyle name="常规 19 4 3 9 2" xfId="21929"/>
    <cellStyle name="常规 19 4 3 9 3" xfId="21930"/>
    <cellStyle name="常规 19 4 3 9 4" xfId="21931"/>
    <cellStyle name="常规 19 4 3 9 5" xfId="21932"/>
    <cellStyle name="常规 19 4 3 9 6" xfId="21933"/>
    <cellStyle name="常规 19 4 3 9 7" xfId="21934"/>
    <cellStyle name="常规 19 4 3 9 8" xfId="21936"/>
    <cellStyle name="常规 19 4 4" xfId="21938"/>
    <cellStyle name="常规 19 4 4 10" xfId="12375"/>
    <cellStyle name="常规 19 4 4 10 2" xfId="12295"/>
    <cellStyle name="常规 19 4 4 10 3" xfId="12304"/>
    <cellStyle name="常规 19 4 4 10 4" xfId="15253"/>
    <cellStyle name="常规 19 4 4 10 5" xfId="15255"/>
    <cellStyle name="常规 19 4 4 10 6" xfId="15257"/>
    <cellStyle name="常规 19 4 4 10 7" xfId="21939"/>
    <cellStyle name="常规 19 4 4 10 8" xfId="10900"/>
    <cellStyle name="常规 19 4 4 11" xfId="12378"/>
    <cellStyle name="常规 19 4 4 11 2" xfId="1092"/>
    <cellStyle name="常规 19 4 4 11 3" xfId="15259"/>
    <cellStyle name="常规 19 4 4 11 4" xfId="15261"/>
    <cellStyle name="常规 19 4 4 11 5" xfId="15263"/>
    <cellStyle name="常规 19 4 4 11 6" xfId="21940"/>
    <cellStyle name="常规 19 4 4 11 7" xfId="21942"/>
    <cellStyle name="常规 19 4 4 11 8" xfId="10914"/>
    <cellStyle name="常规 19 4 4 12" xfId="13113"/>
    <cellStyle name="常规 19 4 4 12 2" xfId="12312"/>
    <cellStyle name="常规 19 4 4 12 3" xfId="21944"/>
    <cellStyle name="常规 19 4 4 12 4" xfId="21946"/>
    <cellStyle name="常规 19 4 4 12 5" xfId="21948"/>
    <cellStyle name="常规 19 4 4 12 6" xfId="21950"/>
    <cellStyle name="常规 19 4 4 12 7" xfId="21952"/>
    <cellStyle name="常规 19 4 4 13" xfId="13116"/>
    <cellStyle name="常规 19 4 4 14" xfId="21953"/>
    <cellStyle name="常规 19 4 4 15" xfId="21955"/>
    <cellStyle name="常规 19 4 4 16" xfId="21957"/>
    <cellStyle name="常规 19 4 4 17" xfId="5478"/>
    <cellStyle name="常规 19 4 4 18" xfId="5484"/>
    <cellStyle name="常规 19 4 4 19" xfId="10587"/>
    <cellStyle name="常规 19 4 4 2" xfId="21958"/>
    <cellStyle name="常规 19 4 4 2 10" xfId="5957"/>
    <cellStyle name="常规 19 4 4 2 10 2" xfId="21960"/>
    <cellStyle name="常规 19 4 4 2 10 3" xfId="21962"/>
    <cellStyle name="常规 19 4 4 2 10 4" xfId="21964"/>
    <cellStyle name="常规 19 4 4 2 10 5" xfId="21967"/>
    <cellStyle name="常规 19 4 4 2 10 6" xfId="21970"/>
    <cellStyle name="常规 19 4 4 2 10 7" xfId="21973"/>
    <cellStyle name="常规 19 4 4 2 11" xfId="5960"/>
    <cellStyle name="常规 19 4 4 2 12" xfId="6487"/>
    <cellStyle name="常规 19 4 4 2 13" xfId="727"/>
    <cellStyle name="常规 19 4 4 2 14" xfId="797"/>
    <cellStyle name="常规 19 4 4 2 15" xfId="851"/>
    <cellStyle name="常规 19 4 4 2 16" xfId="7438"/>
    <cellStyle name="常规 19 4 4 2 17" xfId="9925"/>
    <cellStyle name="常规 19 4 4 2 2" xfId="21976"/>
    <cellStyle name="常规 19 4 4 2 2 2" xfId="21979"/>
    <cellStyle name="常规 19 4 4 2 2 3" xfId="21982"/>
    <cellStyle name="常规 19 4 4 2 2 4" xfId="21985"/>
    <cellStyle name="常规 19 4 4 2 2 5" xfId="21988"/>
    <cellStyle name="常规 19 4 4 2 2 6" xfId="21992"/>
    <cellStyle name="常规 19 4 4 2 2 7" xfId="21996"/>
    <cellStyle name="常规 19 4 4 2 2 8" xfId="21999"/>
    <cellStyle name="常规 19 4 4 2 3" xfId="22003"/>
    <cellStyle name="常规 19 4 4 2 3 2" xfId="1180"/>
    <cellStyle name="常规 19 4 4 2 3 3" xfId="3627"/>
    <cellStyle name="常规 19 4 4 2 3 4" xfId="3637"/>
    <cellStyle name="常规 19 4 4 2 3 5" xfId="22006"/>
    <cellStyle name="常规 19 4 4 2 3 6" xfId="22010"/>
    <cellStyle name="常规 19 4 4 2 3 7" xfId="22014"/>
    <cellStyle name="常规 19 4 4 2 3 8" xfId="22017"/>
    <cellStyle name="常规 19 4 4 2 4" xfId="22020"/>
    <cellStyle name="常规 19 4 4 2 4 2" xfId="2602"/>
    <cellStyle name="常规 19 4 4 2 4 3" xfId="3654"/>
    <cellStyle name="常规 19 4 4 2 4 4" xfId="3661"/>
    <cellStyle name="常规 19 4 4 2 4 5" xfId="22024"/>
    <cellStyle name="常规 19 4 4 2 4 6" xfId="22028"/>
    <cellStyle name="常规 19 4 4 2 4 7" xfId="22031"/>
    <cellStyle name="常规 19 4 4 2 4 8" xfId="22035"/>
    <cellStyle name="常规 19 4 4 2 5" xfId="22038"/>
    <cellStyle name="常规 19 4 4 2 5 2" xfId="22041"/>
    <cellStyle name="常规 19 4 4 2 5 3" xfId="22044"/>
    <cellStyle name="常规 19 4 4 2 5 4" xfId="22047"/>
    <cellStyle name="常规 19 4 4 2 5 5" xfId="22050"/>
    <cellStyle name="常规 19 4 4 2 5 6" xfId="22054"/>
    <cellStyle name="常规 19 4 4 2 5 7" xfId="22058"/>
    <cellStyle name="常规 19 4 4 2 5 8" xfId="5894"/>
    <cellStyle name="常规 19 4 4 2 6" xfId="22060"/>
    <cellStyle name="常规 19 4 4 2 6 2" xfId="22062"/>
    <cellStyle name="常规 19 4 4 2 6 3" xfId="22064"/>
    <cellStyle name="常规 19 4 4 2 6 4" xfId="22066"/>
    <cellStyle name="常规 19 4 4 2 6 5" xfId="4803"/>
    <cellStyle name="常规 19 4 4 2 6 6" xfId="4848"/>
    <cellStyle name="常规 19 4 4 2 6 7" xfId="1692"/>
    <cellStyle name="常规 19 4 4 2 6 8" xfId="2103"/>
    <cellStyle name="常规 19 4 4 2 7" xfId="22069"/>
    <cellStyle name="常规 19 4 4 2 7 2" xfId="19890"/>
    <cellStyle name="常规 19 4 4 2 7 3" xfId="19894"/>
    <cellStyle name="常规 19 4 4 2 7 4" xfId="19897"/>
    <cellStyle name="常规 19 4 4 2 7 5" xfId="4868"/>
    <cellStyle name="常规 19 4 4 2 7 6" xfId="4878"/>
    <cellStyle name="常规 19 4 4 2 7 7" xfId="2276"/>
    <cellStyle name="常规 19 4 4 2 7 8" xfId="2458"/>
    <cellStyle name="常规 19 4 4 2 8" xfId="22073"/>
    <cellStyle name="常规 19 4 4 2 8 2" xfId="22075"/>
    <cellStyle name="常规 19 4 4 2 8 3" xfId="22077"/>
    <cellStyle name="常规 19 4 4 2 8 4" xfId="22079"/>
    <cellStyle name="常规 19 4 4 2 8 5" xfId="1595"/>
    <cellStyle name="常规 19 4 4 2 8 6" xfId="162"/>
    <cellStyle name="常规 19 4 4 2 8 7" xfId="2641"/>
    <cellStyle name="常规 19 4 4 2 8 8" xfId="2673"/>
    <cellStyle name="常规 19 4 4 2 9" xfId="22083"/>
    <cellStyle name="常规 19 4 4 2 9 2" xfId="22085"/>
    <cellStyle name="常规 19 4 4 2 9 3" xfId="15715"/>
    <cellStyle name="常规 19 4 4 2 9 4" xfId="15719"/>
    <cellStyle name="常规 19 4 4 2 9 5" xfId="4905"/>
    <cellStyle name="常规 19 4 4 2 9 6" xfId="4917"/>
    <cellStyle name="常规 19 4 4 2 9 7" xfId="15722"/>
    <cellStyle name="常规 19 4 4 2 9 8" xfId="2839"/>
    <cellStyle name="常规 19 4 4 3" xfId="22088"/>
    <cellStyle name="常规 19 4 4 3 2" xfId="2345"/>
    <cellStyle name="常规 19 4 4 3 3" xfId="1230"/>
    <cellStyle name="常规 19 4 4 3 4" xfId="3500"/>
    <cellStyle name="常规 19 4 4 3 5" xfId="3509"/>
    <cellStyle name="常规 19 4 4 3 6" xfId="4513"/>
    <cellStyle name="常规 19 4 4 3 7" xfId="5146"/>
    <cellStyle name="常规 19 4 4 3 8" xfId="5156"/>
    <cellStyle name="常规 19 4 4 4" xfId="22091"/>
    <cellStyle name="常规 19 4 4 4 2" xfId="2417"/>
    <cellStyle name="常规 19 4 4 4 3" xfId="3521"/>
    <cellStyle name="常规 19 4 4 4 4" xfId="3529"/>
    <cellStyle name="常规 19 4 4 4 5" xfId="4519"/>
    <cellStyle name="常规 19 4 4 4 6" xfId="1312"/>
    <cellStyle name="常规 19 4 4 4 7" xfId="12611"/>
    <cellStyle name="常规 19 4 4 4 8" xfId="12616"/>
    <cellStyle name="常规 19 4 4 5" xfId="22094"/>
    <cellStyle name="常规 19 4 4 5 2" xfId="2445"/>
    <cellStyle name="常规 19 4 4 5 3" xfId="3547"/>
    <cellStyle name="常规 19 4 4 5 4" xfId="3563"/>
    <cellStyle name="常规 19 4 4 5 5" xfId="22098"/>
    <cellStyle name="常规 19 4 4 5 6" xfId="22101"/>
    <cellStyle name="常规 19 4 4 5 7" xfId="22104"/>
    <cellStyle name="常规 19 4 4 5 8" xfId="22107"/>
    <cellStyle name="常规 19 4 4 6" xfId="22108"/>
    <cellStyle name="常规 19 4 4 6 2" xfId="20252"/>
    <cellStyle name="常规 19 4 4 6 3" xfId="22109"/>
    <cellStyle name="常规 19 4 4 6 4" xfId="22110"/>
    <cellStyle name="常规 19 4 4 6 5" xfId="8279"/>
    <cellStyle name="常规 19 4 4 6 6" xfId="1485"/>
    <cellStyle name="常规 19 4 4 6 7" xfId="22112"/>
    <cellStyle name="常规 19 4 4 6 8" xfId="22114"/>
    <cellStyle name="常规 19 4 4 7" xfId="22116"/>
    <cellStyle name="常规 19 4 4 7 2" xfId="20256"/>
    <cellStyle name="常规 19 4 4 7 3" xfId="22118"/>
    <cellStyle name="常规 19 4 4 7 4" xfId="22120"/>
    <cellStyle name="常规 19 4 4 7 5" xfId="22121"/>
    <cellStyle name="常规 19 4 4 7 6" xfId="22122"/>
    <cellStyle name="常规 19 4 4 7 7" xfId="22123"/>
    <cellStyle name="常规 19 4 4 7 8" xfId="22125"/>
    <cellStyle name="常规 19 4 4 8" xfId="22128"/>
    <cellStyle name="常规 19 4 4 8 2" xfId="20262"/>
    <cellStyle name="常规 19 4 4 8 3" xfId="22129"/>
    <cellStyle name="常规 19 4 4 8 4" xfId="22130"/>
    <cellStyle name="常规 19 4 4 8 5" xfId="22131"/>
    <cellStyle name="常规 19 4 4 8 6" xfId="22132"/>
    <cellStyle name="常规 19 4 4 8 7" xfId="22133"/>
    <cellStyle name="常规 19 4 4 8 8" xfId="22135"/>
    <cellStyle name="常规 19 4 4 9" xfId="22137"/>
    <cellStyle name="常规 19 4 4 9 2" xfId="20268"/>
    <cellStyle name="常规 19 4 4 9 3" xfId="22138"/>
    <cellStyle name="常规 19 4 4 9 4" xfId="22140"/>
    <cellStyle name="常规 19 4 4 9 5" xfId="22142"/>
    <cellStyle name="常规 19 4 4 9 6" xfId="22144"/>
    <cellStyle name="常规 19 4 4 9 7" xfId="22146"/>
    <cellStyle name="常规 19 4 4 9 8" xfId="22149"/>
    <cellStyle name="常规 19 4 5" xfId="22151"/>
    <cellStyle name="常规 19 4 5 10" xfId="4258"/>
    <cellStyle name="常规 19 4 5 10 2" xfId="15708"/>
    <cellStyle name="常规 19 4 5 10 3" xfId="15711"/>
    <cellStyle name="常规 19 4 5 10 4" xfId="11394"/>
    <cellStyle name="常规 19 4 5 10 5" xfId="22153"/>
    <cellStyle name="常规 19 4 5 10 6" xfId="2796"/>
    <cellStyle name="常规 19 4 5 10 7" xfId="2984"/>
    <cellStyle name="常规 19 4 5 10 8" xfId="22154"/>
    <cellStyle name="常规 19 4 5 11" xfId="5105"/>
    <cellStyle name="常规 19 4 5 11 2" xfId="9635"/>
    <cellStyle name="常规 19 4 5 11 3" xfId="3072"/>
    <cellStyle name="常规 19 4 5 11 4" xfId="271"/>
    <cellStyle name="常规 19 4 5 11 5" xfId="4198"/>
    <cellStyle name="常规 19 4 5 11 6" xfId="11003"/>
    <cellStyle name="常规 19 4 5 11 7" xfId="5024"/>
    <cellStyle name="常规 19 4 5 11 8" xfId="5027"/>
    <cellStyle name="常规 19 4 5 12" xfId="318"/>
    <cellStyle name="常规 19 4 5 12 2" xfId="9648"/>
    <cellStyle name="常规 19 4 5 12 3" xfId="550"/>
    <cellStyle name="常规 19 4 5 12 4" xfId="1650"/>
    <cellStyle name="常规 19 4 5 12 5" xfId="10688"/>
    <cellStyle name="常规 19 4 5 12 6" xfId="22155"/>
    <cellStyle name="常规 19 4 5 12 7" xfId="7441"/>
    <cellStyle name="常规 19 4 5 13" xfId="10354"/>
    <cellStyle name="常规 19 4 5 14" xfId="10359"/>
    <cellStyle name="常规 19 4 5 15" xfId="22156"/>
    <cellStyle name="常规 19 4 5 16" xfId="22157"/>
    <cellStyle name="常规 19 4 5 17" xfId="22158"/>
    <cellStyle name="常规 19 4 5 18" xfId="22160"/>
    <cellStyle name="常规 19 4 5 19" xfId="22163"/>
    <cellStyle name="常规 19 4 5 2" xfId="22165"/>
    <cellStyle name="常规 19 4 5 2 10" xfId="22166"/>
    <cellStyle name="常规 19 4 5 2 10 2" xfId="22167"/>
    <cellStyle name="常规 19 4 5 2 10 3" xfId="22168"/>
    <cellStyle name="常规 19 4 5 2 10 4" xfId="22169"/>
    <cellStyle name="常规 19 4 5 2 10 5" xfId="22170"/>
    <cellStyle name="常规 19 4 5 2 10 6" xfId="22171"/>
    <cellStyle name="常规 19 4 5 2 10 7" xfId="22172"/>
    <cellStyle name="常规 19 4 5 2 11" xfId="22173"/>
    <cellStyle name="常规 19 4 5 2 12" xfId="22175"/>
    <cellStyle name="常规 19 4 5 2 13" xfId="22177"/>
    <cellStyle name="常规 19 4 5 2 14" xfId="4989"/>
    <cellStyle name="常规 19 4 5 2 15" xfId="5004"/>
    <cellStyle name="常规 19 4 5 2 16" xfId="22179"/>
    <cellStyle name="常规 19 4 5 2 17" xfId="22181"/>
    <cellStyle name="常规 19 4 5 2 2" xfId="22183"/>
    <cellStyle name="常规 19 4 5 2 2 2" xfId="22184"/>
    <cellStyle name="常规 19 4 5 2 2 3" xfId="22185"/>
    <cellStyle name="常规 19 4 5 2 2 4" xfId="22186"/>
    <cellStyle name="常规 19 4 5 2 2 5" xfId="22187"/>
    <cellStyle name="常规 19 4 5 2 2 6" xfId="22190"/>
    <cellStyle name="常规 19 4 5 2 2 7" xfId="22193"/>
    <cellStyle name="常规 19 4 5 2 2 8" xfId="22194"/>
    <cellStyle name="常规 19 4 5 2 3" xfId="22196"/>
    <cellStyle name="常规 19 4 5 2 3 2" xfId="2757"/>
    <cellStyle name="常规 19 4 5 2 3 3" xfId="22197"/>
    <cellStyle name="常规 19 4 5 2 3 4" xfId="22198"/>
    <cellStyle name="常规 19 4 5 2 3 5" xfId="22199"/>
    <cellStyle name="常规 19 4 5 2 3 6" xfId="22200"/>
    <cellStyle name="常规 19 4 5 2 3 7" xfId="22201"/>
    <cellStyle name="常规 19 4 5 2 3 8" xfId="15267"/>
    <cellStyle name="常规 19 4 5 2 4" xfId="22203"/>
    <cellStyle name="常规 19 4 5 2 4 2" xfId="2780"/>
    <cellStyle name="常规 19 4 5 2 4 3" xfId="22204"/>
    <cellStyle name="常规 19 4 5 2 4 4" xfId="22205"/>
    <cellStyle name="常规 19 4 5 2 4 5" xfId="8020"/>
    <cellStyle name="常规 19 4 5 2 4 6" xfId="8027"/>
    <cellStyle name="常规 19 4 5 2 4 7" xfId="22207"/>
    <cellStyle name="常规 19 4 5 2 4 8" xfId="22208"/>
    <cellStyle name="常规 19 4 5 2 5" xfId="22210"/>
    <cellStyle name="常规 19 4 5 2 5 2" xfId="22211"/>
    <cellStyle name="常规 19 4 5 2 5 3" xfId="22213"/>
    <cellStyle name="常规 19 4 5 2 5 4" xfId="22215"/>
    <cellStyle name="常规 19 4 5 2 5 5" xfId="22217"/>
    <cellStyle name="常规 19 4 5 2 5 6" xfId="22219"/>
    <cellStyle name="常规 19 4 5 2 5 7" xfId="22221"/>
    <cellStyle name="常规 19 4 5 2 5 8" xfId="5953"/>
    <cellStyle name="常规 19 4 5 2 6" xfId="22223"/>
    <cellStyle name="常规 19 4 5 2 6 2" xfId="16952"/>
    <cellStyle name="常规 19 4 5 2 6 3" xfId="16954"/>
    <cellStyle name="常规 19 4 5 2 6 4" xfId="16957"/>
    <cellStyle name="常规 19 4 5 2 6 5" xfId="16960"/>
    <cellStyle name="常规 19 4 5 2 6 6" xfId="16963"/>
    <cellStyle name="常规 19 4 5 2 6 7" xfId="22224"/>
    <cellStyle name="常规 19 4 5 2 6 8" xfId="22225"/>
    <cellStyle name="常规 19 4 5 2 7" xfId="22229"/>
    <cellStyle name="常规 19 4 5 2 7 2" xfId="16973"/>
    <cellStyle name="常规 19 4 5 2 7 3" xfId="16977"/>
    <cellStyle name="常规 19 4 5 2 7 4" xfId="16981"/>
    <cellStyle name="常规 19 4 5 2 7 5" xfId="16986"/>
    <cellStyle name="常规 19 4 5 2 7 6" xfId="16990"/>
    <cellStyle name="常规 19 4 5 2 7 7" xfId="22231"/>
    <cellStyle name="常规 19 4 5 2 7 8" xfId="3302"/>
    <cellStyle name="常规 19 4 5 2 8" xfId="22235"/>
    <cellStyle name="常规 19 4 5 2 8 2" xfId="17000"/>
    <cellStyle name="常规 19 4 5 2 8 3" xfId="17003"/>
    <cellStyle name="常规 19 4 5 2 8 4" xfId="17007"/>
    <cellStyle name="常规 19 4 5 2 8 5" xfId="17011"/>
    <cellStyle name="常规 19 4 5 2 8 6" xfId="22237"/>
    <cellStyle name="常规 19 4 5 2 8 7" xfId="22239"/>
    <cellStyle name="常规 19 4 5 2 8 8" xfId="630"/>
    <cellStyle name="常规 19 4 5 2 9" xfId="22242"/>
    <cellStyle name="常规 19 4 5 2 9 2" xfId="22244"/>
    <cellStyle name="常规 19 4 5 2 9 3" xfId="22246"/>
    <cellStyle name="常规 19 4 5 2 9 4" xfId="22248"/>
    <cellStyle name="常规 19 4 5 2 9 5" xfId="22250"/>
    <cellStyle name="常规 19 4 5 2 9 6" xfId="22252"/>
    <cellStyle name="常规 19 4 5 2 9 7" xfId="22254"/>
    <cellStyle name="常规 19 4 5 2 9 8" xfId="666"/>
    <cellStyle name="常规 19 4 5 3" xfId="22257"/>
    <cellStyle name="常规 19 4 5 3 2" xfId="2485"/>
    <cellStyle name="常规 19 4 5 3 3" xfId="3573"/>
    <cellStyle name="常规 19 4 5 3 4" xfId="3583"/>
    <cellStyle name="常规 19 4 5 3 5" xfId="4525"/>
    <cellStyle name="常规 19 4 5 3 6" xfId="4529"/>
    <cellStyle name="常规 19 4 5 3 7" xfId="22259"/>
    <cellStyle name="常规 19 4 5 3 8" xfId="22261"/>
    <cellStyle name="常规 19 4 5 4" xfId="22264"/>
    <cellStyle name="常规 19 4 5 4 2" xfId="2528"/>
    <cellStyle name="常规 19 4 5 4 3" xfId="3595"/>
    <cellStyle name="常规 19 4 5 4 4" xfId="3602"/>
    <cellStyle name="常规 19 4 5 4 5" xfId="22267"/>
    <cellStyle name="常规 19 4 5 4 6" xfId="22270"/>
    <cellStyle name="常规 19 4 5 4 7" xfId="22272"/>
    <cellStyle name="常规 19 4 5 4 8" xfId="22275"/>
    <cellStyle name="常规 19 4 5 5" xfId="5765"/>
    <cellStyle name="常规 19 4 5 5 2" xfId="5777"/>
    <cellStyle name="常规 19 4 5 5 3" xfId="4645"/>
    <cellStyle name="常规 19 4 5 5 4" xfId="4658"/>
    <cellStyle name="常规 19 4 5 5 5" xfId="5869"/>
    <cellStyle name="常规 19 4 5 5 6" xfId="1722"/>
    <cellStyle name="常规 19 4 5 5 7" xfId="1751"/>
    <cellStyle name="常规 19 4 5 5 8" xfId="20788"/>
    <cellStyle name="常规 19 4 5 6" xfId="5873"/>
    <cellStyle name="常规 19 4 5 6 2" xfId="5878"/>
    <cellStyle name="常规 19 4 5 6 3" xfId="5941"/>
    <cellStyle name="常规 19 4 5 6 4" xfId="5964"/>
    <cellStyle name="常规 19 4 5 6 5" xfId="4627"/>
    <cellStyle name="常规 19 4 5 6 6" xfId="1765"/>
    <cellStyle name="常规 19 4 5 6 7" xfId="1775"/>
    <cellStyle name="常规 19 4 5 6 8" xfId="4671"/>
    <cellStyle name="常规 19 4 5 7" xfId="5044"/>
    <cellStyle name="常规 19 4 5 7 2" xfId="5056"/>
    <cellStyle name="常规 19 4 5 7 3" xfId="5082"/>
    <cellStyle name="常规 19 4 5 7 4" xfId="5448"/>
    <cellStyle name="常规 19 4 5 7 5" xfId="4679"/>
    <cellStyle name="常规 19 4 5 7 6" xfId="4706"/>
    <cellStyle name="常规 19 4 5 7 7" xfId="4715"/>
    <cellStyle name="常规 19 4 5 7 8" xfId="10302"/>
    <cellStyle name="常规 19 4 5 8" xfId="5091"/>
    <cellStyle name="常规 19 4 5 8 2" xfId="5102"/>
    <cellStyle name="常规 19 4 5 8 3" xfId="315"/>
    <cellStyle name="常规 19 4 5 8 4" xfId="6080"/>
    <cellStyle name="常规 19 4 5 8 5" xfId="1492"/>
    <cellStyle name="常规 19 4 5 8 6" xfId="1535"/>
    <cellStyle name="常规 19 4 5 8 7" xfId="4755"/>
    <cellStyle name="常规 19 4 5 8 8" xfId="6600"/>
    <cellStyle name="常规 19 4 5 9" xfId="5116"/>
    <cellStyle name="常规 19 4 5 9 2" xfId="6104"/>
    <cellStyle name="常规 19 4 5 9 3" xfId="6115"/>
    <cellStyle name="常规 19 4 5 9 4" xfId="6129"/>
    <cellStyle name="常规 19 4 5 9 5" xfId="1556"/>
    <cellStyle name="常规 19 4 5 9 6" xfId="1566"/>
    <cellStyle name="常规 19 4 5 9 7" xfId="6071"/>
    <cellStyle name="常规 19 4 5 9 8" xfId="9312"/>
    <cellStyle name="常规 19 4 6" xfId="21959"/>
    <cellStyle name="常规 19 4 6 10" xfId="5958"/>
    <cellStyle name="常规 19 4 6 10 2" xfId="21961"/>
    <cellStyle name="常规 19 4 6 10 3" xfId="21963"/>
    <cellStyle name="常规 19 4 6 10 4" xfId="21965"/>
    <cellStyle name="常规 19 4 6 10 5" xfId="21968"/>
    <cellStyle name="常规 19 4 6 10 6" xfId="21971"/>
    <cellStyle name="常规 19 4 6 10 7" xfId="21974"/>
    <cellStyle name="常规 19 4 6 11" xfId="5961"/>
    <cellStyle name="常规 19 4 6 12" xfId="6488"/>
    <cellStyle name="常规 19 4 6 13" xfId="728"/>
    <cellStyle name="常规 19 4 6 14" xfId="798"/>
    <cellStyle name="常规 19 4 6 15" xfId="852"/>
    <cellStyle name="常规 19 4 6 16" xfId="7439"/>
    <cellStyle name="常规 19 4 6 17" xfId="9926"/>
    <cellStyle name="常规 19 4 6 2" xfId="21977"/>
    <cellStyle name="常规 19 4 6 2 2" xfId="21980"/>
    <cellStyle name="常规 19 4 6 2 3" xfId="21983"/>
    <cellStyle name="常规 19 4 6 2 4" xfId="21986"/>
    <cellStyle name="常规 19 4 6 2 5" xfId="21989"/>
    <cellStyle name="常规 19 4 6 2 6" xfId="21993"/>
    <cellStyle name="常规 19 4 6 2 7" xfId="21997"/>
    <cellStyle name="常规 19 4 6 2 8" xfId="22000"/>
    <cellStyle name="常规 19 4 6 3" xfId="22002"/>
    <cellStyle name="常规 19 4 6 3 2" xfId="1179"/>
    <cellStyle name="常规 19 4 6 3 3" xfId="3624"/>
    <cellStyle name="常规 19 4 6 3 4" xfId="3635"/>
    <cellStyle name="常规 19 4 6 3 5" xfId="22005"/>
    <cellStyle name="常规 19 4 6 3 6" xfId="22009"/>
    <cellStyle name="常规 19 4 6 3 7" xfId="22013"/>
    <cellStyle name="常规 19 4 6 3 8" xfId="22016"/>
    <cellStyle name="常规 19 4 6 4" xfId="22019"/>
    <cellStyle name="常规 19 4 6 4 2" xfId="2601"/>
    <cellStyle name="常规 19 4 6 4 3" xfId="3652"/>
    <cellStyle name="常规 19 4 6 4 4" xfId="3659"/>
    <cellStyle name="常规 19 4 6 4 5" xfId="22023"/>
    <cellStyle name="常规 19 4 6 4 6" xfId="22027"/>
    <cellStyle name="常规 19 4 6 4 7" xfId="22030"/>
    <cellStyle name="常规 19 4 6 4 8" xfId="22034"/>
    <cellStyle name="常规 19 4 6 5" xfId="22037"/>
    <cellStyle name="常规 19 4 6 5 2" xfId="22040"/>
    <cellStyle name="常规 19 4 6 5 3" xfId="22043"/>
    <cellStyle name="常规 19 4 6 5 4" xfId="22046"/>
    <cellStyle name="常规 19 4 6 5 5" xfId="22049"/>
    <cellStyle name="常规 19 4 6 5 6" xfId="22053"/>
    <cellStyle name="常规 19 4 6 5 7" xfId="22057"/>
    <cellStyle name="常规 19 4 6 5 8" xfId="5893"/>
    <cellStyle name="常规 19 4 6 6" xfId="22059"/>
    <cellStyle name="常规 19 4 6 6 2" xfId="22061"/>
    <cellStyle name="常规 19 4 6 6 3" xfId="22063"/>
    <cellStyle name="常规 19 4 6 6 4" xfId="22065"/>
    <cellStyle name="常规 19 4 6 6 5" xfId="4802"/>
    <cellStyle name="常规 19 4 6 6 6" xfId="4847"/>
    <cellStyle name="常规 19 4 6 6 7" xfId="1691"/>
    <cellStyle name="常规 19 4 6 6 8" xfId="2102"/>
    <cellStyle name="常规 19 4 6 7" xfId="22068"/>
    <cellStyle name="常规 19 4 6 7 2" xfId="19888"/>
    <cellStyle name="常规 19 4 6 7 3" xfId="19892"/>
    <cellStyle name="常规 19 4 6 7 4" xfId="19895"/>
    <cellStyle name="常规 19 4 6 7 5" xfId="4866"/>
    <cellStyle name="常规 19 4 6 7 6" xfId="4876"/>
    <cellStyle name="常规 19 4 6 7 7" xfId="2274"/>
    <cellStyle name="常规 19 4 6 7 8" xfId="2456"/>
    <cellStyle name="常规 19 4 6 8" xfId="22072"/>
    <cellStyle name="常规 19 4 6 8 2" xfId="22074"/>
    <cellStyle name="常规 19 4 6 8 3" xfId="22076"/>
    <cellStyle name="常规 19 4 6 8 4" xfId="22078"/>
    <cellStyle name="常规 19 4 6 8 5" xfId="1594"/>
    <cellStyle name="常规 19 4 6 8 6" xfId="161"/>
    <cellStyle name="常规 19 4 6 8 7" xfId="2640"/>
    <cellStyle name="常规 19 4 6 8 8" xfId="2671"/>
    <cellStyle name="常规 19 4 6 9" xfId="22082"/>
    <cellStyle name="常规 19 4 6 9 2" xfId="22084"/>
    <cellStyle name="常规 19 4 6 9 3" xfId="15713"/>
    <cellStyle name="常规 19 4 6 9 4" xfId="15717"/>
    <cellStyle name="常规 19 4 6 9 5" xfId="4903"/>
    <cellStyle name="常规 19 4 6 9 6" xfId="4915"/>
    <cellStyle name="常规 19 4 6 9 7" xfId="15720"/>
    <cellStyle name="常规 19 4 6 9 8" xfId="2837"/>
    <cellStyle name="常规 19 4 7" xfId="22087"/>
    <cellStyle name="常规 19 4 7 2" xfId="2344"/>
    <cellStyle name="常规 19 4 7 3" xfId="1228"/>
    <cellStyle name="常规 19 4 7 4" xfId="3498"/>
    <cellStyle name="常规 19 4 7 5" xfId="3507"/>
    <cellStyle name="常规 19 4 7 6" xfId="4512"/>
    <cellStyle name="常规 19 4 7 7" xfId="5144"/>
    <cellStyle name="常规 19 4 7 8" xfId="5154"/>
    <cellStyle name="常规 19 4 8" xfId="22090"/>
    <cellStyle name="常规 19 4 8 2" xfId="2415"/>
    <cellStyle name="常规 19 4 8 3" xfId="3519"/>
    <cellStyle name="常规 19 4 8 4" xfId="3527"/>
    <cellStyle name="常规 19 4 8 5" xfId="4518"/>
    <cellStyle name="常规 19 4 8 6" xfId="1311"/>
    <cellStyle name="常规 19 4 8 7" xfId="12610"/>
    <cellStyle name="常规 19 4 8 8" xfId="12615"/>
    <cellStyle name="常规 19 4 9" xfId="22093"/>
    <cellStyle name="常规 19 4 9 2" xfId="2443"/>
    <cellStyle name="常规 19 4 9 3" xfId="3545"/>
    <cellStyle name="常规 19 4 9 4" xfId="3561"/>
    <cellStyle name="常规 19 4 9 5" xfId="22097"/>
    <cellStyle name="常规 19 4 9 6" xfId="22100"/>
    <cellStyle name="常规 19 4 9 7" xfId="22103"/>
    <cellStyle name="常规 19 4 9 8" xfId="22106"/>
    <cellStyle name="常规 19 5" xfId="12671"/>
    <cellStyle name="常规 19 5 10" xfId="22277"/>
    <cellStyle name="常规 19 5 10 2" xfId="22278"/>
    <cellStyle name="常规 19 5 10 3" xfId="22279"/>
    <cellStyle name="常规 19 5 10 4" xfId="22280"/>
    <cellStyle name="常规 19 5 10 5" xfId="22281"/>
    <cellStyle name="常规 19 5 10 6" xfId="22282"/>
    <cellStyle name="常规 19 5 10 7" xfId="22283"/>
    <cellStyle name="常规 19 5 10 8" xfId="16853"/>
    <cellStyle name="常规 19 5 11" xfId="22285"/>
    <cellStyle name="常规 19 5 11 2" xfId="22286"/>
    <cellStyle name="常规 19 5 11 3" xfId="22287"/>
    <cellStyle name="常规 19 5 11 4" xfId="22288"/>
    <cellStyle name="常规 19 5 11 5" xfId="22289"/>
    <cellStyle name="常规 19 5 11 6" xfId="22290"/>
    <cellStyle name="常规 19 5 11 7" xfId="22291"/>
    <cellStyle name="常规 19 5 11 8" xfId="16878"/>
    <cellStyle name="常规 19 5 12" xfId="22292"/>
    <cellStyle name="常规 19 5 12 2" xfId="22293"/>
    <cellStyle name="常规 19 5 12 3" xfId="22295"/>
    <cellStyle name="常规 19 5 12 4" xfId="22297"/>
    <cellStyle name="常规 19 5 12 5" xfId="22298"/>
    <cellStyle name="常规 19 5 12 6" xfId="22299"/>
    <cellStyle name="常规 19 5 12 7" xfId="22300"/>
    <cellStyle name="常规 19 5 12 8" xfId="16899"/>
    <cellStyle name="常规 19 5 13" xfId="22302"/>
    <cellStyle name="常规 19 5 13 2" xfId="22304"/>
    <cellStyle name="常规 19 5 13 3" xfId="22306"/>
    <cellStyle name="常规 19 5 13 4" xfId="22308"/>
    <cellStyle name="常规 19 5 13 5" xfId="22310"/>
    <cellStyle name="常规 19 5 13 6" xfId="22312"/>
    <cellStyle name="常规 19 5 13 7" xfId="22314"/>
    <cellStyle name="常规 19 5 13 8" xfId="4553"/>
    <cellStyle name="常规 19 5 14" xfId="22317"/>
    <cellStyle name="常规 19 5 14 2" xfId="22319"/>
    <cellStyle name="常规 19 5 14 3" xfId="22320"/>
    <cellStyle name="常规 19 5 14 4" xfId="22322"/>
    <cellStyle name="常规 19 5 14 5" xfId="22324"/>
    <cellStyle name="常规 19 5 14 6" xfId="22326"/>
    <cellStyle name="常规 19 5 14 7" xfId="22328"/>
    <cellStyle name="常规 19 5 14 8" xfId="22330"/>
    <cellStyle name="常规 19 5 15" xfId="22334"/>
    <cellStyle name="常规 19 5 15 2" xfId="9988"/>
    <cellStyle name="常规 19 5 15 3" xfId="22336"/>
    <cellStyle name="常规 19 5 15 4" xfId="22338"/>
    <cellStyle name="常规 19 5 15 5" xfId="22340"/>
    <cellStyle name="常规 19 5 15 6" xfId="22342"/>
    <cellStyle name="常规 19 5 15 7" xfId="22344"/>
    <cellStyle name="常规 19 5 16" xfId="22347"/>
    <cellStyle name="常规 19 5 17" xfId="770"/>
    <cellStyle name="常规 19 5 18" xfId="2559"/>
    <cellStyle name="常规 19 5 19" xfId="22348"/>
    <cellStyle name="常规 19 5 2" xfId="22349"/>
    <cellStyle name="常规 19 5 2 10" xfId="22350"/>
    <cellStyle name="常规 19 5 2 10 2" xfId="22351"/>
    <cellStyle name="常规 19 5 2 10 3" xfId="5721"/>
    <cellStyle name="常规 19 5 2 10 4" xfId="5730"/>
    <cellStyle name="常规 19 5 2 10 5" xfId="12427"/>
    <cellStyle name="常规 19 5 2 10 6" xfId="22352"/>
    <cellStyle name="常规 19 5 2 10 7" xfId="22353"/>
    <cellStyle name="常规 19 5 2 10 8" xfId="22355"/>
    <cellStyle name="常规 19 5 2 11" xfId="22357"/>
    <cellStyle name="常规 19 5 2 11 2" xfId="22358"/>
    <cellStyle name="常规 19 5 2 11 3" xfId="22359"/>
    <cellStyle name="常规 19 5 2 11 4" xfId="22360"/>
    <cellStyle name="常规 19 5 2 11 5" xfId="22361"/>
    <cellStyle name="常规 19 5 2 11 6" xfId="22362"/>
    <cellStyle name="常规 19 5 2 11 7" xfId="22363"/>
    <cellStyle name="常规 19 5 2 11 8" xfId="22364"/>
    <cellStyle name="常规 19 5 2 12" xfId="22367"/>
    <cellStyle name="常规 19 5 2 12 2" xfId="22368"/>
    <cellStyle name="常规 19 5 2 12 3" xfId="22369"/>
    <cellStyle name="常规 19 5 2 12 4" xfId="22370"/>
    <cellStyle name="常规 19 5 2 12 5" xfId="22371"/>
    <cellStyle name="常规 19 5 2 12 6" xfId="22372"/>
    <cellStyle name="常规 19 5 2 12 7" xfId="22373"/>
    <cellStyle name="常规 19 5 2 12 8" xfId="22374"/>
    <cellStyle name="常规 19 5 2 13" xfId="22376"/>
    <cellStyle name="常规 19 5 2 13 2" xfId="22377"/>
    <cellStyle name="常规 19 5 2 13 3" xfId="22378"/>
    <cellStyle name="常规 19 5 2 13 4" xfId="22379"/>
    <cellStyle name="常规 19 5 2 13 5" xfId="22380"/>
    <cellStyle name="常规 19 5 2 13 6" xfId="22381"/>
    <cellStyle name="常规 19 5 2 13 7" xfId="12653"/>
    <cellStyle name="常规 19 5 2 14" xfId="22383"/>
    <cellStyle name="常规 19 5 2 15" xfId="22387"/>
    <cellStyle name="常规 19 5 2 16" xfId="10090"/>
    <cellStyle name="常规 19 5 2 17" xfId="10099"/>
    <cellStyle name="常规 19 5 2 18" xfId="22391"/>
    <cellStyle name="常规 19 5 2 19" xfId="22394"/>
    <cellStyle name="常规 19 5 2 2" xfId="22396"/>
    <cellStyle name="常规 19 5 2 2 10" xfId="22397"/>
    <cellStyle name="常规 19 5 2 2 10 2" xfId="22398"/>
    <cellStyle name="常规 19 5 2 2 10 3" xfId="22399"/>
    <cellStyle name="常规 19 5 2 2 10 4" xfId="22400"/>
    <cellStyle name="常规 19 5 2 2 10 5" xfId="22401"/>
    <cellStyle name="常规 19 5 2 2 10 6" xfId="22402"/>
    <cellStyle name="常规 19 5 2 2 10 7" xfId="22403"/>
    <cellStyle name="常规 19 5 2 2 10 8" xfId="22404"/>
    <cellStyle name="常规 19 5 2 2 11" xfId="22405"/>
    <cellStyle name="常规 19 5 2 2 11 2" xfId="22406"/>
    <cellStyle name="常规 19 5 2 2 11 3" xfId="22407"/>
    <cellStyle name="常规 19 5 2 2 11 4" xfId="22408"/>
    <cellStyle name="常规 19 5 2 2 11 5" xfId="22409"/>
    <cellStyle name="常规 19 5 2 2 11 6" xfId="22410"/>
    <cellStyle name="常规 19 5 2 2 11 7" xfId="22411"/>
    <cellStyle name="常规 19 5 2 2 11 8" xfId="22412"/>
    <cellStyle name="常规 19 5 2 2 12" xfId="22413"/>
    <cellStyle name="常规 19 5 2 2 12 2" xfId="5760"/>
    <cellStyle name="常规 19 5 2 2 12 3" xfId="22414"/>
    <cellStyle name="常规 19 5 2 2 12 4" xfId="22415"/>
    <cellStyle name="常规 19 5 2 2 12 5" xfId="22416"/>
    <cellStyle name="常规 19 5 2 2 12 6" xfId="22417"/>
    <cellStyle name="常规 19 5 2 2 12 7" xfId="22419"/>
    <cellStyle name="常规 19 5 2 2 13" xfId="22420"/>
    <cellStyle name="常规 19 5 2 2 14" xfId="22421"/>
    <cellStyle name="常规 19 5 2 2 15" xfId="22422"/>
    <cellStyle name="常规 19 5 2 2 16" xfId="22423"/>
    <cellStyle name="常规 19 5 2 2 17" xfId="6533"/>
    <cellStyle name="常规 19 5 2 2 18" xfId="11757"/>
    <cellStyle name="常规 19 5 2 2 19" xfId="22425"/>
    <cellStyle name="常规 19 5 2 2 2" xfId="22426"/>
    <cellStyle name="常规 19 5 2 2 2 10" xfId="22427"/>
    <cellStyle name="常规 19 5 2 2 2 10 2" xfId="22429"/>
    <cellStyle name="常规 19 5 2 2 2 10 3" xfId="22430"/>
    <cellStyle name="常规 19 5 2 2 2 10 4" xfId="22431"/>
    <cellStyle name="常规 19 5 2 2 2 10 5" xfId="22432"/>
    <cellStyle name="常规 19 5 2 2 2 10 6" xfId="22433"/>
    <cellStyle name="常规 19 5 2 2 2 10 7" xfId="22434"/>
    <cellStyle name="常规 19 5 2 2 2 11" xfId="22436"/>
    <cellStyle name="常规 19 5 2 2 2 12" xfId="22438"/>
    <cellStyle name="常规 19 5 2 2 2 13" xfId="22439"/>
    <cellStyle name="常规 19 5 2 2 2 14" xfId="17445"/>
    <cellStyle name="常规 19 5 2 2 2 15" xfId="17450"/>
    <cellStyle name="常规 19 5 2 2 2 16" xfId="17455"/>
    <cellStyle name="常规 19 5 2 2 2 17" xfId="17459"/>
    <cellStyle name="常规 19 5 2 2 2 2" xfId="22139"/>
    <cellStyle name="常规 19 5 2 2 2 2 2" xfId="22440"/>
    <cellStyle name="常规 19 5 2 2 2 2 3" xfId="22441"/>
    <cellStyle name="常规 19 5 2 2 2 2 4" xfId="22442"/>
    <cellStyle name="常规 19 5 2 2 2 2 5" xfId="22443"/>
    <cellStyle name="常规 19 5 2 2 2 2 6" xfId="22444"/>
    <cellStyle name="常规 19 5 2 2 2 2 7" xfId="22445"/>
    <cellStyle name="常规 19 5 2 2 2 2 8" xfId="22446"/>
    <cellStyle name="常规 19 5 2 2 2 3" xfId="22141"/>
    <cellStyle name="常规 19 5 2 2 2 3 2" xfId="11069"/>
    <cellStyle name="常规 19 5 2 2 2 3 3" xfId="22448"/>
    <cellStyle name="常规 19 5 2 2 2 3 4" xfId="4826"/>
    <cellStyle name="常规 19 5 2 2 2 3 5" xfId="4833"/>
    <cellStyle name="常规 19 5 2 2 2 3 6" xfId="12725"/>
    <cellStyle name="常规 19 5 2 2 2 3 7" xfId="12728"/>
    <cellStyle name="常规 19 5 2 2 2 3 8" xfId="22449"/>
    <cellStyle name="常规 19 5 2 2 2 4" xfId="22143"/>
    <cellStyle name="常规 19 5 2 2 2 4 2" xfId="11075"/>
    <cellStyle name="常规 19 5 2 2 2 4 3" xfId="22450"/>
    <cellStyle name="常规 19 5 2 2 2 4 4" xfId="22451"/>
    <cellStyle name="常规 19 5 2 2 2 4 5" xfId="22452"/>
    <cellStyle name="常规 19 5 2 2 2 4 6" xfId="22453"/>
    <cellStyle name="常规 19 5 2 2 2 4 7" xfId="22454"/>
    <cellStyle name="常规 19 5 2 2 2 4 8" xfId="22455"/>
    <cellStyle name="常规 19 5 2 2 2 5" xfId="22145"/>
    <cellStyle name="常规 19 5 2 2 2 5 2" xfId="22456"/>
    <cellStyle name="常规 19 5 2 2 2 5 3" xfId="22457"/>
    <cellStyle name="常规 19 5 2 2 2 5 4" xfId="22458"/>
    <cellStyle name="常规 19 5 2 2 2 5 5" xfId="22459"/>
    <cellStyle name="常规 19 5 2 2 2 5 6" xfId="22460"/>
    <cellStyle name="常规 19 5 2 2 2 5 7" xfId="22461"/>
    <cellStyle name="常规 19 5 2 2 2 5 8" xfId="22462"/>
    <cellStyle name="常规 19 5 2 2 2 6" xfId="22148"/>
    <cellStyle name="常规 19 5 2 2 2 6 2" xfId="22463"/>
    <cellStyle name="常规 19 5 2 2 2 6 3" xfId="22465"/>
    <cellStyle name="常规 19 5 2 2 2 6 4" xfId="22467"/>
    <cellStyle name="常规 19 5 2 2 2 6 5" xfId="22468"/>
    <cellStyle name="常规 19 5 2 2 2 6 6" xfId="22469"/>
    <cellStyle name="常规 19 5 2 2 2 6 7" xfId="22470"/>
    <cellStyle name="常规 19 5 2 2 2 6 8" xfId="22471"/>
    <cellStyle name="常规 19 5 2 2 2 7" xfId="22473"/>
    <cellStyle name="常规 19 5 2 2 2 7 2" xfId="22474"/>
    <cellStyle name="常规 19 5 2 2 2 7 3" xfId="22476"/>
    <cellStyle name="常规 19 5 2 2 2 7 4" xfId="22478"/>
    <cellStyle name="常规 19 5 2 2 2 7 5" xfId="22479"/>
    <cellStyle name="常规 19 5 2 2 2 7 6" xfId="22480"/>
    <cellStyle name="常规 19 5 2 2 2 7 7" xfId="22481"/>
    <cellStyle name="常规 19 5 2 2 2 7 8" xfId="22483"/>
    <cellStyle name="常规 19 5 2 2 2 8" xfId="22484"/>
    <cellStyle name="常规 19 5 2 2 2 8 2" xfId="22485"/>
    <cellStyle name="常规 19 5 2 2 2 8 3" xfId="22486"/>
    <cellStyle name="常规 19 5 2 2 2 8 4" xfId="22487"/>
    <cellStyle name="常规 19 5 2 2 2 8 5" xfId="22488"/>
    <cellStyle name="常规 19 5 2 2 2 8 6" xfId="22489"/>
    <cellStyle name="常规 19 5 2 2 2 8 7" xfId="22491"/>
    <cellStyle name="常规 19 5 2 2 2 8 8" xfId="22494"/>
    <cellStyle name="常规 19 5 2 2 2 9" xfId="22495"/>
    <cellStyle name="常规 19 5 2 2 2 9 2" xfId="22497"/>
    <cellStyle name="常规 19 5 2 2 2 9 3" xfId="22499"/>
    <cellStyle name="常规 19 5 2 2 2 9 4" xfId="22501"/>
    <cellStyle name="常规 19 5 2 2 2 9 5" xfId="22502"/>
    <cellStyle name="常规 19 5 2 2 2 9 6" xfId="5913"/>
    <cellStyle name="常规 19 5 2 2 2 9 7" xfId="6886"/>
    <cellStyle name="常规 19 5 2 2 2 9 8" xfId="22505"/>
    <cellStyle name="常规 19 5 2 2 3" xfId="22506"/>
    <cellStyle name="常规 19 5 2 2 3 2" xfId="22507"/>
    <cellStyle name="常规 19 5 2 2 3 3" xfId="22508"/>
    <cellStyle name="常规 19 5 2 2 3 4" xfId="22510"/>
    <cellStyle name="常规 19 5 2 2 3 5" xfId="22512"/>
    <cellStyle name="常规 19 5 2 2 3 6" xfId="22513"/>
    <cellStyle name="常规 19 5 2 2 3 7" xfId="22514"/>
    <cellStyle name="常规 19 5 2 2 3 8" xfId="9700"/>
    <cellStyle name="常规 19 5 2 2 4" xfId="22515"/>
    <cellStyle name="常规 19 5 2 2 4 2" xfId="22516"/>
    <cellStyle name="常规 19 5 2 2 4 3" xfId="22517"/>
    <cellStyle name="常规 19 5 2 2 4 4" xfId="22518"/>
    <cellStyle name="常规 19 5 2 2 4 5" xfId="22519"/>
    <cellStyle name="常规 19 5 2 2 4 6" xfId="22521"/>
    <cellStyle name="常规 19 5 2 2 4 7" xfId="22523"/>
    <cellStyle name="常规 19 5 2 2 4 8" xfId="7586"/>
    <cellStyle name="常规 19 5 2 2 5" xfId="22524"/>
    <cellStyle name="常规 19 5 2 2 5 2" xfId="22525"/>
    <cellStyle name="常规 19 5 2 2 5 3" xfId="22526"/>
    <cellStyle name="常规 19 5 2 2 5 4" xfId="22527"/>
    <cellStyle name="常规 19 5 2 2 5 5" xfId="22528"/>
    <cellStyle name="常规 19 5 2 2 5 6" xfId="22529"/>
    <cellStyle name="常规 19 5 2 2 5 7" xfId="22530"/>
    <cellStyle name="常规 19 5 2 2 5 8" xfId="22531"/>
    <cellStyle name="常规 19 5 2 2 6" xfId="22533"/>
    <cellStyle name="常规 19 5 2 2 6 2" xfId="22534"/>
    <cellStyle name="常规 19 5 2 2 6 3" xfId="22535"/>
    <cellStyle name="常规 19 5 2 2 6 4" xfId="22536"/>
    <cellStyle name="常规 19 5 2 2 6 5" xfId="22537"/>
    <cellStyle name="常规 19 5 2 2 6 6" xfId="22538"/>
    <cellStyle name="常规 19 5 2 2 6 7" xfId="740"/>
    <cellStyle name="常规 19 5 2 2 6 8" xfId="749"/>
    <cellStyle name="常规 19 5 2 2 7" xfId="383"/>
    <cellStyle name="常规 19 5 2 2 7 2" xfId="26"/>
    <cellStyle name="常规 19 5 2 2 7 3" xfId="22540"/>
    <cellStyle name="常规 19 5 2 2 7 4" xfId="5433"/>
    <cellStyle name="常规 19 5 2 2 7 5" xfId="5436"/>
    <cellStyle name="常规 19 5 2 2 7 6" xfId="22543"/>
    <cellStyle name="常规 19 5 2 2 7 7" xfId="22546"/>
    <cellStyle name="常规 19 5 2 2 7 8" xfId="22548"/>
    <cellStyle name="常规 19 5 2 2 8" xfId="396"/>
    <cellStyle name="常规 19 5 2 2 8 2" xfId="1937"/>
    <cellStyle name="常规 19 5 2 2 8 3" xfId="22550"/>
    <cellStyle name="常规 19 5 2 2 8 4" xfId="22552"/>
    <cellStyle name="常规 19 5 2 2 8 5" xfId="22554"/>
    <cellStyle name="常规 19 5 2 2 8 6" xfId="22556"/>
    <cellStyle name="常规 19 5 2 2 8 7" xfId="22558"/>
    <cellStyle name="常规 19 5 2 2 8 8" xfId="22560"/>
    <cellStyle name="常规 19 5 2 2 9" xfId="43"/>
    <cellStyle name="常规 19 5 2 2 9 2" xfId="2946"/>
    <cellStyle name="常规 19 5 2 2 9 3" xfId="22562"/>
    <cellStyle name="常规 19 5 2 2 9 4" xfId="22565"/>
    <cellStyle name="常规 19 5 2 2 9 5" xfId="22568"/>
    <cellStyle name="常规 19 5 2 2 9 6" xfId="22570"/>
    <cellStyle name="常规 19 5 2 2 9 7" xfId="22572"/>
    <cellStyle name="常规 19 5 2 2 9 8" xfId="22574"/>
    <cellStyle name="常规 19 5 2 20" xfId="22386"/>
    <cellStyle name="常规 19 5 2 3" xfId="22576"/>
    <cellStyle name="常规 19 5 2 3 10" xfId="22577"/>
    <cellStyle name="常规 19 5 2 3 10 2" xfId="15512"/>
    <cellStyle name="常规 19 5 2 3 10 3" xfId="15514"/>
    <cellStyle name="常规 19 5 2 3 10 4" xfId="22578"/>
    <cellStyle name="常规 19 5 2 3 10 5" xfId="16651"/>
    <cellStyle name="常规 19 5 2 3 10 6" xfId="16654"/>
    <cellStyle name="常规 19 5 2 3 10 7" xfId="16659"/>
    <cellStyle name="常规 19 5 2 3 11" xfId="22579"/>
    <cellStyle name="常规 19 5 2 3 12" xfId="22580"/>
    <cellStyle name="常规 19 5 2 3 13" xfId="22581"/>
    <cellStyle name="常规 19 5 2 3 14" xfId="22582"/>
    <cellStyle name="常规 19 5 2 3 15" xfId="22583"/>
    <cellStyle name="常规 19 5 2 3 16" xfId="22585"/>
    <cellStyle name="常规 19 5 2 3 17" xfId="22587"/>
    <cellStyle name="常规 19 5 2 3 2" xfId="22589"/>
    <cellStyle name="常规 19 5 2 3 2 2" xfId="6126"/>
    <cellStyle name="常规 19 5 2 3 2 3" xfId="1554"/>
    <cellStyle name="常规 19 5 2 3 2 4" xfId="1564"/>
    <cellStyle name="常规 19 5 2 3 2 5" xfId="6068"/>
    <cellStyle name="常规 19 5 2 3 2 6" xfId="9309"/>
    <cellStyle name="常规 19 5 2 3 2 7" xfId="9326"/>
    <cellStyle name="常规 19 5 2 3 2 8" xfId="2034"/>
    <cellStyle name="常规 19 5 2 3 3" xfId="22591"/>
    <cellStyle name="常规 19 5 2 3 3 2" xfId="6150"/>
    <cellStyle name="常规 19 5 2 3 3 3" xfId="4779"/>
    <cellStyle name="常规 19 5 2 3 3 4" xfId="4784"/>
    <cellStyle name="常规 19 5 2 3 3 5" xfId="11194"/>
    <cellStyle name="常规 19 5 2 3 3 6" xfId="9332"/>
    <cellStyle name="常规 19 5 2 3 3 7" xfId="9338"/>
    <cellStyle name="常规 19 5 2 3 3 8" xfId="2077"/>
    <cellStyle name="常规 19 5 2 3 4" xfId="22592"/>
    <cellStyle name="常规 19 5 2 3 4 2" xfId="11293"/>
    <cellStyle name="常规 19 5 2 3 4 3" xfId="11348"/>
    <cellStyle name="常规 19 5 2 3 4 4" xfId="11356"/>
    <cellStyle name="常规 19 5 2 3 4 5" xfId="11369"/>
    <cellStyle name="常规 19 5 2 3 4 6" xfId="11389"/>
    <cellStyle name="常规 19 5 2 3 4 7" xfId="10677"/>
    <cellStyle name="常规 19 5 2 3 4 8" xfId="10683"/>
    <cellStyle name="常规 19 5 2 3 5" xfId="22593"/>
    <cellStyle name="常规 19 5 2 3 5 2" xfId="11404"/>
    <cellStyle name="常规 19 5 2 3 5 3" xfId="11408"/>
    <cellStyle name="常规 19 5 2 3 5 4" xfId="11412"/>
    <cellStyle name="常规 19 5 2 3 5 5" xfId="11423"/>
    <cellStyle name="常规 19 5 2 3 5 6" xfId="11429"/>
    <cellStyle name="常规 19 5 2 3 5 7" xfId="10694"/>
    <cellStyle name="常规 19 5 2 3 5 8" xfId="20130"/>
    <cellStyle name="常规 19 5 2 3 6" xfId="22594"/>
    <cellStyle name="常规 19 5 2 3 6 2" xfId="11440"/>
    <cellStyle name="常规 19 5 2 3 6 3" xfId="11454"/>
    <cellStyle name="常规 19 5 2 3 6 4" xfId="11460"/>
    <cellStyle name="常规 19 5 2 3 6 5" xfId="15635"/>
    <cellStyle name="常规 19 5 2 3 6 6" xfId="15639"/>
    <cellStyle name="常规 19 5 2 3 6 7" xfId="10701"/>
    <cellStyle name="常规 19 5 2 3 6 8" xfId="20139"/>
    <cellStyle name="常规 19 5 2 3 7" xfId="22595"/>
    <cellStyle name="常规 19 5 2 3 7 2" xfId="11465"/>
    <cellStyle name="常规 19 5 2 3 7 3" xfId="11470"/>
    <cellStyle name="常规 19 5 2 3 7 4" xfId="11475"/>
    <cellStyle name="常规 19 5 2 3 7 5" xfId="15644"/>
    <cellStyle name="常规 19 5 2 3 7 6" xfId="15648"/>
    <cellStyle name="常规 19 5 2 3 7 7" xfId="15652"/>
    <cellStyle name="常规 19 5 2 3 7 8" xfId="20150"/>
    <cellStyle name="常规 19 5 2 3 8" xfId="22596"/>
    <cellStyle name="常规 19 5 2 3 8 2" xfId="11480"/>
    <cellStyle name="常规 19 5 2 3 8 3" xfId="11491"/>
    <cellStyle name="常规 19 5 2 3 8 4" xfId="11498"/>
    <cellStyle name="常规 19 5 2 3 8 5" xfId="15657"/>
    <cellStyle name="常规 19 5 2 3 8 6" xfId="15661"/>
    <cellStyle name="常规 19 5 2 3 8 7" xfId="15665"/>
    <cellStyle name="常规 19 5 2 3 8 8" xfId="20155"/>
    <cellStyle name="常规 19 5 2 3 9" xfId="22597"/>
    <cellStyle name="常规 19 5 2 3 9 2" xfId="15672"/>
    <cellStyle name="常规 19 5 2 3 9 3" xfId="15675"/>
    <cellStyle name="常规 19 5 2 3 9 4" xfId="15678"/>
    <cellStyle name="常规 19 5 2 3 9 5" xfId="15680"/>
    <cellStyle name="常规 19 5 2 3 9 6" xfId="15684"/>
    <cellStyle name="常规 19 5 2 3 9 7" xfId="15688"/>
    <cellStyle name="常规 19 5 2 3 9 8" xfId="20163"/>
    <cellStyle name="常规 19 5 2 4" xfId="22599"/>
    <cellStyle name="常规 19 5 2 4 2" xfId="22601"/>
    <cellStyle name="常规 19 5 2 4 3" xfId="22603"/>
    <cellStyle name="常规 19 5 2 4 4" xfId="22605"/>
    <cellStyle name="常规 19 5 2 4 5" xfId="22607"/>
    <cellStyle name="常规 19 5 2 4 6" xfId="15326"/>
    <cellStyle name="常规 19 5 2 4 7" xfId="15328"/>
    <cellStyle name="常规 19 5 2 4 8" xfId="15330"/>
    <cellStyle name="常规 19 5 2 5" xfId="22609"/>
    <cellStyle name="常规 19 5 2 5 2" xfId="22610"/>
    <cellStyle name="常规 19 5 2 5 3" xfId="15693"/>
    <cellStyle name="常规 19 5 2 5 4" xfId="15697"/>
    <cellStyle name="常规 19 5 2 5 5" xfId="15700"/>
    <cellStyle name="常规 19 5 2 5 6" xfId="15703"/>
    <cellStyle name="常规 19 5 2 5 7" xfId="15706"/>
    <cellStyle name="常规 19 5 2 5 8" xfId="15709"/>
    <cellStyle name="常规 19 5 2 6" xfId="22611"/>
    <cellStyle name="常规 19 5 2 6 2" xfId="22612"/>
    <cellStyle name="常规 19 5 2 6 3" xfId="22613"/>
    <cellStyle name="常规 19 5 2 6 4" xfId="22614"/>
    <cellStyle name="常规 19 5 2 6 5" xfId="22616"/>
    <cellStyle name="常规 19 5 2 6 6" xfId="22618"/>
    <cellStyle name="常规 19 5 2 6 7" xfId="22620"/>
    <cellStyle name="常规 19 5 2 6 8" xfId="22621"/>
    <cellStyle name="常规 19 5 2 7" xfId="22622"/>
    <cellStyle name="常规 19 5 2 7 2" xfId="22623"/>
    <cellStyle name="常规 19 5 2 7 3" xfId="22624"/>
    <cellStyle name="常规 19 5 2 7 4" xfId="22625"/>
    <cellStyle name="常规 19 5 2 7 5" xfId="22626"/>
    <cellStyle name="常规 19 5 2 7 6" xfId="22627"/>
    <cellStyle name="常规 19 5 2 7 7" xfId="22628"/>
    <cellStyle name="常规 19 5 2 7 8" xfId="22629"/>
    <cellStyle name="常规 19 5 2 8" xfId="22630"/>
    <cellStyle name="常规 19 5 2 8 2" xfId="22632"/>
    <cellStyle name="常规 19 5 2 8 3" xfId="22633"/>
    <cellStyle name="常规 19 5 2 8 4" xfId="12061"/>
    <cellStyle name="常规 19 5 2 8 5" xfId="22634"/>
    <cellStyle name="常规 19 5 2 8 6" xfId="22635"/>
    <cellStyle name="常规 19 5 2 8 7" xfId="22637"/>
    <cellStyle name="常规 19 5 2 8 8" xfId="22639"/>
    <cellStyle name="常规 19 5 2 9" xfId="22640"/>
    <cellStyle name="常规 19 5 2 9 2" xfId="22642"/>
    <cellStyle name="常规 19 5 2 9 3" xfId="22643"/>
    <cellStyle name="常规 19 5 2 9 4" xfId="22644"/>
    <cellStyle name="常规 19 5 2 9 5" xfId="22645"/>
    <cellStyle name="常规 19 5 2 9 6" xfId="22646"/>
    <cellStyle name="常规 19 5 2 9 7" xfId="22648"/>
    <cellStyle name="常规 19 5 2 9 8" xfId="22650"/>
    <cellStyle name="常规 19 5 20" xfId="22333"/>
    <cellStyle name="常规 19 5 21" xfId="22346"/>
    <cellStyle name="常规 19 5 22" xfId="769"/>
    <cellStyle name="常规 19 5 3" xfId="10386"/>
    <cellStyle name="常规 19 5 3 10" xfId="7313"/>
    <cellStyle name="常规 19 5 3 10 2" xfId="22651"/>
    <cellStyle name="常规 19 5 3 10 3" xfId="22652"/>
    <cellStyle name="常规 19 5 3 10 4" xfId="22653"/>
    <cellStyle name="常规 19 5 3 10 5" xfId="22655"/>
    <cellStyle name="常规 19 5 3 10 6" xfId="22657"/>
    <cellStyle name="常规 19 5 3 10 7" xfId="10632"/>
    <cellStyle name="常规 19 5 3 10 8" xfId="10638"/>
    <cellStyle name="常规 19 5 3 11" xfId="16808"/>
    <cellStyle name="常规 19 5 3 11 2" xfId="22658"/>
    <cellStyle name="常规 19 5 3 11 3" xfId="22659"/>
    <cellStyle name="常规 19 5 3 11 4" xfId="8554"/>
    <cellStyle name="常规 19 5 3 11 5" xfId="8561"/>
    <cellStyle name="常规 19 5 3 11 6" xfId="22661"/>
    <cellStyle name="常规 19 5 3 11 7" xfId="453"/>
    <cellStyle name="常规 19 5 3 11 8" xfId="22662"/>
    <cellStyle name="常规 19 5 3 12" xfId="16812"/>
    <cellStyle name="常规 19 5 3 12 2" xfId="22663"/>
    <cellStyle name="常规 19 5 3 12 3" xfId="22665"/>
    <cellStyle name="常规 19 5 3 12 4" xfId="5269"/>
    <cellStyle name="常规 19 5 3 12 5" xfId="5310"/>
    <cellStyle name="常规 19 5 3 12 6" xfId="5376"/>
    <cellStyle name="常规 19 5 3 12 7" xfId="2009"/>
    <cellStyle name="常规 19 5 3 13" xfId="20849"/>
    <cellStyle name="常规 19 5 3 14" xfId="20851"/>
    <cellStyle name="常规 19 5 3 15" xfId="22666"/>
    <cellStyle name="常规 19 5 3 16" xfId="22667"/>
    <cellStyle name="常规 19 5 3 17" xfId="22669"/>
    <cellStyle name="常规 19 5 3 18" xfId="22671"/>
    <cellStyle name="常规 19 5 3 19" xfId="16746"/>
    <cellStyle name="常规 19 5 3 2" xfId="22672"/>
    <cellStyle name="常规 19 5 3 2 10" xfId="22674"/>
    <cellStyle name="常规 19 5 3 2 10 2" xfId="19482"/>
    <cellStyle name="常规 19 5 3 2 10 3" xfId="19485"/>
    <cellStyle name="常规 19 5 3 2 10 4" xfId="9302"/>
    <cellStyle name="常规 19 5 3 2 10 5" xfId="7581"/>
    <cellStyle name="常规 19 5 3 2 10 6" xfId="7589"/>
    <cellStyle name="常规 19 5 3 2 10 7" xfId="9718"/>
    <cellStyle name="常规 19 5 3 2 11" xfId="22675"/>
    <cellStyle name="常规 19 5 3 2 12" xfId="22676"/>
    <cellStyle name="常规 19 5 3 2 13" xfId="22677"/>
    <cellStyle name="常规 19 5 3 2 14" xfId="22678"/>
    <cellStyle name="常规 19 5 3 2 15" xfId="22679"/>
    <cellStyle name="常规 19 5 3 2 16" xfId="22680"/>
    <cellStyle name="常规 19 5 3 2 17" xfId="22681"/>
    <cellStyle name="常规 19 5 3 2 2" xfId="22682"/>
    <cellStyle name="常规 19 5 3 2 2 2" xfId="22684"/>
    <cellStyle name="常规 19 5 3 2 2 3" xfId="22686"/>
    <cellStyle name="常规 19 5 3 2 2 4" xfId="22688"/>
    <cellStyle name="常规 19 5 3 2 2 5" xfId="22690"/>
    <cellStyle name="常规 19 5 3 2 2 6" xfId="22692"/>
    <cellStyle name="常规 19 5 3 2 2 7" xfId="22694"/>
    <cellStyle name="常规 19 5 3 2 2 8" xfId="22696"/>
    <cellStyle name="常规 19 5 3 2 3" xfId="22697"/>
    <cellStyle name="常规 19 5 3 2 3 2" xfId="22699"/>
    <cellStyle name="常规 19 5 3 2 3 3" xfId="22700"/>
    <cellStyle name="常规 19 5 3 2 3 4" xfId="22701"/>
    <cellStyle name="常规 19 5 3 2 3 5" xfId="22702"/>
    <cellStyle name="常规 19 5 3 2 3 6" xfId="22703"/>
    <cellStyle name="常规 19 5 3 2 3 7" xfId="22704"/>
    <cellStyle name="常规 19 5 3 2 3 8" xfId="22705"/>
    <cellStyle name="常规 19 5 3 2 4" xfId="22706"/>
    <cellStyle name="常规 19 5 3 2 4 2" xfId="15439"/>
    <cellStyle name="常规 19 5 3 2 4 3" xfId="22707"/>
    <cellStyle name="常规 19 5 3 2 4 4" xfId="22708"/>
    <cellStyle name="常规 19 5 3 2 4 5" xfId="22709"/>
    <cellStyle name="常规 19 5 3 2 4 6" xfId="22710"/>
    <cellStyle name="常规 19 5 3 2 4 7" xfId="22711"/>
    <cellStyle name="常规 19 5 3 2 4 8" xfId="22712"/>
    <cellStyle name="常规 19 5 3 2 5" xfId="22713"/>
    <cellStyle name="常规 19 5 3 2 5 2" xfId="22714"/>
    <cellStyle name="常规 19 5 3 2 5 3" xfId="22715"/>
    <cellStyle name="常规 19 5 3 2 5 4" xfId="22716"/>
    <cellStyle name="常规 19 5 3 2 5 5" xfId="22717"/>
    <cellStyle name="常规 19 5 3 2 5 6" xfId="22718"/>
    <cellStyle name="常规 19 5 3 2 5 7" xfId="22719"/>
    <cellStyle name="常规 19 5 3 2 5 8" xfId="22720"/>
    <cellStyle name="常规 19 5 3 2 6" xfId="1345"/>
    <cellStyle name="常规 19 5 3 2 6 2" xfId="22722"/>
    <cellStyle name="常规 19 5 3 2 6 3" xfId="22723"/>
    <cellStyle name="常规 19 5 3 2 6 4" xfId="22724"/>
    <cellStyle name="常规 19 5 3 2 6 5" xfId="22725"/>
    <cellStyle name="常规 19 5 3 2 6 6" xfId="22726"/>
    <cellStyle name="常规 19 5 3 2 6 7" xfId="22727"/>
    <cellStyle name="常规 19 5 3 2 6 8" xfId="22728"/>
    <cellStyle name="常规 19 5 3 2 7" xfId="207"/>
    <cellStyle name="常规 19 5 3 2 7 2" xfId="22729"/>
    <cellStyle name="常规 19 5 3 2 7 3" xfId="22731"/>
    <cellStyle name="常规 19 5 3 2 7 4" xfId="22733"/>
    <cellStyle name="常规 19 5 3 2 7 5" xfId="22735"/>
    <cellStyle name="常规 19 5 3 2 7 6" xfId="22737"/>
    <cellStyle name="常规 19 5 3 2 7 7" xfId="22739"/>
    <cellStyle name="常规 19 5 3 2 7 8" xfId="22741"/>
    <cellStyle name="常规 19 5 3 2 8" xfId="22742"/>
    <cellStyle name="常规 19 5 3 2 8 2" xfId="22743"/>
    <cellStyle name="常规 19 5 3 2 8 3" xfId="22746"/>
    <cellStyle name="常规 19 5 3 2 8 4" xfId="22749"/>
    <cellStyle name="常规 19 5 3 2 8 5" xfId="22751"/>
    <cellStyle name="常规 19 5 3 2 8 6" xfId="22753"/>
    <cellStyle name="常规 19 5 3 2 8 7" xfId="22755"/>
    <cellStyle name="常规 19 5 3 2 8 8" xfId="22757"/>
    <cellStyle name="常规 19 5 3 2 9" xfId="22758"/>
    <cellStyle name="常规 19 5 3 2 9 2" xfId="22759"/>
    <cellStyle name="常规 19 5 3 2 9 3" xfId="22761"/>
    <cellStyle name="常规 19 5 3 2 9 4" xfId="3714"/>
    <cellStyle name="常规 19 5 3 2 9 5" xfId="11770"/>
    <cellStyle name="常规 19 5 3 2 9 6" xfId="22763"/>
    <cellStyle name="常规 19 5 3 2 9 7" xfId="3295"/>
    <cellStyle name="常规 19 5 3 2 9 8" xfId="3351"/>
    <cellStyle name="常规 19 5 3 3" xfId="22765"/>
    <cellStyle name="常规 19 5 3 3 2" xfId="22767"/>
    <cellStyle name="常规 19 5 3 3 3" xfId="22769"/>
    <cellStyle name="常规 19 5 3 3 4" xfId="22770"/>
    <cellStyle name="常规 19 5 3 3 5" xfId="22771"/>
    <cellStyle name="常规 19 5 3 3 6" xfId="22772"/>
    <cellStyle name="常规 19 5 3 3 7" xfId="22773"/>
    <cellStyle name="常规 19 5 3 3 8" xfId="22774"/>
    <cellStyle name="常规 19 5 3 4" xfId="22776"/>
    <cellStyle name="常规 19 5 3 4 2" xfId="22777"/>
    <cellStyle name="常规 19 5 3 4 3" xfId="22778"/>
    <cellStyle name="常规 19 5 3 4 4" xfId="22779"/>
    <cellStyle name="常规 19 5 3 4 5" xfId="7891"/>
    <cellStyle name="常规 19 5 3 4 6" xfId="7909"/>
    <cellStyle name="常规 19 5 3 4 7" xfId="7913"/>
    <cellStyle name="常规 19 5 3 4 8" xfId="22780"/>
    <cellStyle name="常规 19 5 3 5" xfId="22782"/>
    <cellStyle name="常规 19 5 3 5 2" xfId="22783"/>
    <cellStyle name="常规 19 5 3 5 3" xfId="22784"/>
    <cellStyle name="常规 19 5 3 5 4" xfId="22785"/>
    <cellStyle name="常规 19 5 3 5 5" xfId="265"/>
    <cellStyle name="常规 19 5 3 5 6" xfId="7939"/>
    <cellStyle name="常规 19 5 3 5 7" xfId="22787"/>
    <cellStyle name="常规 19 5 3 5 8" xfId="22788"/>
    <cellStyle name="常规 19 5 3 6" xfId="22789"/>
    <cellStyle name="常规 19 5 3 6 2" xfId="22790"/>
    <cellStyle name="常规 19 5 3 6 3" xfId="22791"/>
    <cellStyle name="常规 19 5 3 6 4" xfId="22792"/>
    <cellStyle name="常规 19 5 3 6 5" xfId="7943"/>
    <cellStyle name="常规 19 5 3 6 6" xfId="7949"/>
    <cellStyle name="常规 19 5 3 6 7" xfId="22794"/>
    <cellStyle name="常规 19 5 3 6 8" xfId="22795"/>
    <cellStyle name="常规 19 5 3 7" xfId="22796"/>
    <cellStyle name="常规 19 5 3 7 2" xfId="4383"/>
    <cellStyle name="常规 19 5 3 7 3" xfId="20422"/>
    <cellStyle name="常规 19 5 3 7 4" xfId="20424"/>
    <cellStyle name="常规 19 5 3 7 5" xfId="20426"/>
    <cellStyle name="常规 19 5 3 7 6" xfId="20428"/>
    <cellStyle name="常规 19 5 3 7 7" xfId="20430"/>
    <cellStyle name="常规 19 5 3 7 8" xfId="10366"/>
    <cellStyle name="常规 19 5 3 8" xfId="22797"/>
    <cellStyle name="常规 19 5 3 8 2" xfId="11"/>
    <cellStyle name="常规 19 5 3 8 3" xfId="15560"/>
    <cellStyle name="常规 19 5 3 8 4" xfId="20435"/>
    <cellStyle name="常规 19 5 3 8 5" xfId="20437"/>
    <cellStyle name="常规 19 5 3 8 6" xfId="20439"/>
    <cellStyle name="常规 19 5 3 8 7" xfId="20442"/>
    <cellStyle name="常规 19 5 3 8 8" xfId="20445"/>
    <cellStyle name="常规 19 5 3 9" xfId="22798"/>
    <cellStyle name="常规 19 5 3 9 2" xfId="22800"/>
    <cellStyle name="常规 19 5 3 9 3" xfId="20450"/>
    <cellStyle name="常规 19 5 3 9 4" xfId="20452"/>
    <cellStyle name="常规 19 5 3 9 5" xfId="20454"/>
    <cellStyle name="常规 19 5 3 9 6" xfId="20456"/>
    <cellStyle name="常规 19 5 3 9 7" xfId="20459"/>
    <cellStyle name="常规 19 5 3 9 8" xfId="20461"/>
    <cellStyle name="常规 19 5 4" xfId="8658"/>
    <cellStyle name="常规 19 5 4 10" xfId="16906"/>
    <cellStyle name="常规 19 5 4 10 2" xfId="19919"/>
    <cellStyle name="常规 19 5 4 10 3" xfId="19922"/>
    <cellStyle name="常规 19 5 4 10 4" xfId="19925"/>
    <cellStyle name="常规 19 5 4 10 5" xfId="22802"/>
    <cellStyle name="常规 19 5 4 10 6" xfId="22803"/>
    <cellStyle name="常规 19 5 4 10 7" xfId="22804"/>
    <cellStyle name="常规 19 5 4 10 8" xfId="22805"/>
    <cellStyle name="常规 19 5 4 11" xfId="16910"/>
    <cellStyle name="常规 19 5 4 11 2" xfId="19934"/>
    <cellStyle name="常规 19 5 4 11 3" xfId="19937"/>
    <cellStyle name="常规 19 5 4 11 4" xfId="19941"/>
    <cellStyle name="常规 19 5 4 11 5" xfId="22807"/>
    <cellStyle name="常规 19 5 4 11 6" xfId="22808"/>
    <cellStyle name="常规 19 5 4 11 7" xfId="22809"/>
    <cellStyle name="常规 19 5 4 11 8" xfId="22810"/>
    <cellStyle name="常规 19 5 4 12" xfId="16914"/>
    <cellStyle name="常规 19 5 4 12 2" xfId="19949"/>
    <cellStyle name="常规 19 5 4 12 3" xfId="19951"/>
    <cellStyle name="常规 19 5 4 12 4" xfId="19954"/>
    <cellStyle name="常规 19 5 4 12 5" xfId="22812"/>
    <cellStyle name="常规 19 5 4 12 6" xfId="22813"/>
    <cellStyle name="常规 19 5 4 12 7" xfId="22815"/>
    <cellStyle name="常规 19 5 4 13" xfId="9681"/>
    <cellStyle name="常规 19 5 4 14" xfId="9686"/>
    <cellStyle name="常规 19 5 4 15" xfId="22816"/>
    <cellStyle name="常规 19 5 4 16" xfId="22818"/>
    <cellStyle name="常规 19 5 4 17" xfId="22820"/>
    <cellStyle name="常规 19 5 4 18" xfId="4418"/>
    <cellStyle name="常规 19 5 4 19" xfId="4426"/>
    <cellStyle name="常规 19 5 4 2" xfId="22821"/>
    <cellStyle name="常规 19 5 4 2 10" xfId="22822"/>
    <cellStyle name="常规 19 5 4 2 10 2" xfId="9233"/>
    <cellStyle name="常规 19 5 4 2 10 3" xfId="9236"/>
    <cellStyle name="常规 19 5 4 2 10 4" xfId="20033"/>
    <cellStyle name="常规 19 5 4 2 10 5" xfId="20035"/>
    <cellStyle name="常规 19 5 4 2 10 6" xfId="20044"/>
    <cellStyle name="常规 19 5 4 2 10 7" xfId="7187"/>
    <cellStyle name="常规 19 5 4 2 11" xfId="22823"/>
    <cellStyle name="常规 19 5 4 2 12" xfId="22824"/>
    <cellStyle name="常规 19 5 4 2 13" xfId="22825"/>
    <cellStyle name="常规 19 5 4 2 14" xfId="22826"/>
    <cellStyle name="常规 19 5 4 2 15" xfId="22827"/>
    <cellStyle name="常规 19 5 4 2 16" xfId="22828"/>
    <cellStyle name="常规 19 5 4 2 17" xfId="22829"/>
    <cellStyle name="常规 19 5 4 2 2" xfId="22830"/>
    <cellStyle name="常规 19 5 4 2 2 2" xfId="18216"/>
    <cellStyle name="常规 19 5 4 2 2 3" xfId="19461"/>
    <cellStyle name="常规 19 5 4 2 2 4" xfId="19464"/>
    <cellStyle name="常规 19 5 4 2 2 5" xfId="19467"/>
    <cellStyle name="常规 19 5 4 2 2 6" xfId="19471"/>
    <cellStyle name="常规 19 5 4 2 2 7" xfId="22833"/>
    <cellStyle name="常规 19 5 4 2 2 8" xfId="22835"/>
    <cellStyle name="常规 19 5 4 2 3" xfId="22836"/>
    <cellStyle name="常规 19 5 4 2 3 2" xfId="22837"/>
    <cellStyle name="常规 19 5 4 2 3 3" xfId="22838"/>
    <cellStyle name="常规 19 5 4 2 3 4" xfId="22839"/>
    <cellStyle name="常规 19 5 4 2 3 5" xfId="22840"/>
    <cellStyle name="常规 19 5 4 2 3 6" xfId="22842"/>
    <cellStyle name="常规 19 5 4 2 3 7" xfId="22844"/>
    <cellStyle name="常规 19 5 4 2 3 8" xfId="7113"/>
    <cellStyle name="常规 19 5 4 2 4" xfId="22845"/>
    <cellStyle name="常规 19 5 4 2 4 2" xfId="22846"/>
    <cellStyle name="常规 19 5 4 2 4 3" xfId="22847"/>
    <cellStyle name="常规 19 5 4 2 4 4" xfId="22848"/>
    <cellStyle name="常规 19 5 4 2 4 5" xfId="22850"/>
    <cellStyle name="常规 19 5 4 2 4 6" xfId="22852"/>
    <cellStyle name="常规 19 5 4 2 4 7" xfId="22853"/>
    <cellStyle name="常规 19 5 4 2 4 8" xfId="22854"/>
    <cellStyle name="常规 19 5 4 2 5" xfId="22855"/>
    <cellStyle name="常规 19 5 4 2 5 2" xfId="22856"/>
    <cellStyle name="常规 19 5 4 2 5 3" xfId="22857"/>
    <cellStyle name="常规 19 5 4 2 5 4" xfId="22858"/>
    <cellStyle name="常规 19 5 4 2 5 5" xfId="22859"/>
    <cellStyle name="常规 19 5 4 2 5 6" xfId="22861"/>
    <cellStyle name="常规 19 5 4 2 5 7" xfId="22863"/>
    <cellStyle name="常规 19 5 4 2 5 8" xfId="22864"/>
    <cellStyle name="常规 19 5 4 2 6" xfId="22865"/>
    <cellStyle name="常规 19 5 4 2 6 2" xfId="22866"/>
    <cellStyle name="常规 19 5 4 2 6 3" xfId="15551"/>
    <cellStyle name="常规 19 5 4 2 6 4" xfId="15557"/>
    <cellStyle name="常规 19 5 4 2 6 5" xfId="3216"/>
    <cellStyle name="常规 19 5 4 2 6 6" xfId="3236"/>
    <cellStyle name="常规 19 5 4 2 6 7" xfId="4397"/>
    <cellStyle name="常规 19 5 4 2 6 8" xfId="2747"/>
    <cellStyle name="常规 19 5 4 2 7" xfId="22867"/>
    <cellStyle name="常规 19 5 4 2 7 2" xfId="22868"/>
    <cellStyle name="常规 19 5 4 2 7 3" xfId="22870"/>
    <cellStyle name="常规 19 5 4 2 7 4" xfId="22872"/>
    <cellStyle name="常规 19 5 4 2 7 5" xfId="22874"/>
    <cellStyle name="常规 19 5 4 2 7 6" xfId="22876"/>
    <cellStyle name="常规 19 5 4 2 7 7" xfId="22878"/>
    <cellStyle name="常规 19 5 4 2 7 8" xfId="3748"/>
    <cellStyle name="常规 19 5 4 2 8" xfId="22879"/>
    <cellStyle name="常规 19 5 4 2 8 2" xfId="22881"/>
    <cellStyle name="常规 19 5 4 2 8 3" xfId="22884"/>
    <cellStyle name="常规 19 5 4 2 8 4" xfId="22887"/>
    <cellStyle name="常规 19 5 4 2 8 5" xfId="22890"/>
    <cellStyle name="常规 19 5 4 2 8 6" xfId="22892"/>
    <cellStyle name="常规 19 5 4 2 8 7" xfId="22894"/>
    <cellStyle name="常规 19 5 4 2 8 8" xfId="22896"/>
    <cellStyle name="常规 19 5 4 2 9" xfId="22897"/>
    <cellStyle name="常规 19 5 4 2 9 2" xfId="22899"/>
    <cellStyle name="常规 19 5 4 2 9 3" xfId="16579"/>
    <cellStyle name="常规 19 5 4 2 9 4" xfId="16583"/>
    <cellStyle name="常规 19 5 4 2 9 5" xfId="3191"/>
    <cellStyle name="常规 19 5 4 2 9 6" xfId="3201"/>
    <cellStyle name="常规 19 5 4 2 9 7" xfId="16586"/>
    <cellStyle name="常规 19 5 4 2 9 8" xfId="16589"/>
    <cellStyle name="常规 19 5 4 3" xfId="22900"/>
    <cellStyle name="常规 19 5 4 3 2" xfId="561"/>
    <cellStyle name="常规 19 5 4 3 3" xfId="1547"/>
    <cellStyle name="常规 19 5 4 3 4" xfId="3693"/>
    <cellStyle name="常规 19 5 4 3 5" xfId="22901"/>
    <cellStyle name="常规 19 5 4 3 6" xfId="22902"/>
    <cellStyle name="常规 19 5 4 3 7" xfId="5235"/>
    <cellStyle name="常规 19 5 4 3 8" xfId="5237"/>
    <cellStyle name="常规 19 5 4 4" xfId="22903"/>
    <cellStyle name="常规 19 5 4 4 2" xfId="22905"/>
    <cellStyle name="常规 19 5 4 4 3" xfId="1391"/>
    <cellStyle name="常规 19 5 4 4 4" xfId="3704"/>
    <cellStyle name="常规 19 5 4 4 5" xfId="7959"/>
    <cellStyle name="常规 19 5 4 4 6" xfId="7962"/>
    <cellStyle name="常规 19 5 4 4 7" xfId="22906"/>
    <cellStyle name="常规 19 5 4 4 8" xfId="22907"/>
    <cellStyle name="常规 19 5 4 5" xfId="22908"/>
    <cellStyle name="常规 19 5 4 5 2" xfId="22910"/>
    <cellStyle name="常规 19 5 4 5 3" xfId="22911"/>
    <cellStyle name="常规 19 5 4 5 4" xfId="22912"/>
    <cellStyle name="常规 19 5 4 5 5" xfId="7969"/>
    <cellStyle name="常规 19 5 4 5 6" xfId="7975"/>
    <cellStyle name="常规 19 5 4 5 7" xfId="22914"/>
    <cellStyle name="常规 19 5 4 5 8" xfId="22915"/>
    <cellStyle name="常规 19 5 4 6" xfId="22916"/>
    <cellStyle name="常规 19 5 4 6 2" xfId="22917"/>
    <cellStyle name="常规 19 5 4 6 3" xfId="22918"/>
    <cellStyle name="常规 19 5 4 6 4" xfId="22919"/>
    <cellStyle name="常规 19 5 4 6 5" xfId="22921"/>
    <cellStyle name="常规 19 5 4 6 6" xfId="22923"/>
    <cellStyle name="常规 19 5 4 6 7" xfId="22925"/>
    <cellStyle name="常规 19 5 4 6 8" xfId="22926"/>
    <cellStyle name="常规 19 5 4 7" xfId="22928"/>
    <cellStyle name="常规 19 5 4 7 2" xfId="5173"/>
    <cellStyle name="常规 19 5 4 7 3" xfId="22931"/>
    <cellStyle name="常规 19 5 4 7 4" xfId="22933"/>
    <cellStyle name="常规 19 5 4 7 5" xfId="22934"/>
    <cellStyle name="常规 19 5 4 7 6" xfId="22935"/>
    <cellStyle name="常规 19 5 4 7 7" xfId="22936"/>
    <cellStyle name="常规 19 5 4 7 8" xfId="22937"/>
    <cellStyle name="常规 19 5 4 8" xfId="22939"/>
    <cellStyle name="常规 19 5 4 8 2" xfId="22942"/>
    <cellStyle name="常规 19 5 4 8 3" xfId="22944"/>
    <cellStyle name="常规 19 5 4 8 4" xfId="22946"/>
    <cellStyle name="常规 19 5 4 8 5" xfId="22947"/>
    <cellStyle name="常规 19 5 4 8 6" xfId="22948"/>
    <cellStyle name="常规 19 5 4 8 7" xfId="22949"/>
    <cellStyle name="常规 19 5 4 8 8" xfId="22950"/>
    <cellStyle name="常规 19 5 4 9" xfId="22952"/>
    <cellStyle name="常规 19 5 4 9 2" xfId="22954"/>
    <cellStyle name="常规 19 5 4 9 3" xfId="22955"/>
    <cellStyle name="常规 19 5 4 9 4" xfId="22683"/>
    <cellStyle name="常规 19 5 4 9 5" xfId="22685"/>
    <cellStyle name="常规 19 5 4 9 6" xfId="22687"/>
    <cellStyle name="常规 19 5 4 9 7" xfId="22689"/>
    <cellStyle name="常规 19 5 4 9 8" xfId="22691"/>
    <cellStyle name="常规 19 5 5" xfId="22956"/>
    <cellStyle name="常规 19 5 5 10" xfId="22957"/>
    <cellStyle name="常规 19 5 5 10 2" xfId="22958"/>
    <cellStyle name="常规 19 5 5 10 3" xfId="22959"/>
    <cellStyle name="常规 19 5 5 10 4" xfId="22960"/>
    <cellStyle name="常规 19 5 5 10 5" xfId="22961"/>
    <cellStyle name="常规 19 5 5 10 6" xfId="22962"/>
    <cellStyle name="常规 19 5 5 10 7" xfId="22964"/>
    <cellStyle name="常规 19 5 5 11" xfId="22965"/>
    <cellStyle name="常规 19 5 5 12" xfId="22966"/>
    <cellStyle name="常规 19 5 5 13" xfId="22967"/>
    <cellStyle name="常规 19 5 5 14" xfId="22968"/>
    <cellStyle name="常规 19 5 5 15" xfId="22969"/>
    <cellStyle name="常规 19 5 5 16" xfId="22971"/>
    <cellStyle name="常规 19 5 5 17" xfId="22973"/>
    <cellStyle name="常规 19 5 5 2" xfId="22974"/>
    <cellStyle name="常规 19 5 5 2 2" xfId="22975"/>
    <cellStyle name="常规 19 5 5 2 3" xfId="22976"/>
    <cellStyle name="常规 19 5 5 2 4" xfId="22977"/>
    <cellStyle name="常规 19 5 5 2 5" xfId="22978"/>
    <cellStyle name="常规 19 5 5 2 6" xfId="22979"/>
    <cellStyle name="常规 19 5 5 2 7" xfId="22981"/>
    <cellStyle name="常规 19 5 5 2 8" xfId="22983"/>
    <cellStyle name="常规 19 5 5 3" xfId="22984"/>
    <cellStyle name="常规 19 5 5 3 2" xfId="22985"/>
    <cellStyle name="常规 19 5 5 3 3" xfId="3721"/>
    <cellStyle name="常规 19 5 5 3 4" xfId="3732"/>
    <cellStyle name="常规 19 5 5 3 5" xfId="22986"/>
    <cellStyle name="常规 19 5 5 3 6" xfId="22987"/>
    <cellStyle name="常规 19 5 5 3 7" xfId="22988"/>
    <cellStyle name="常规 19 5 5 3 8" xfId="22989"/>
    <cellStyle name="常规 19 5 5 4" xfId="22990"/>
    <cellStyle name="常规 19 5 5 4 2" xfId="22991"/>
    <cellStyle name="常规 19 5 5 4 3" xfId="22992"/>
    <cellStyle name="常规 19 5 5 4 4" xfId="22993"/>
    <cellStyle name="常规 19 5 5 4 5" xfId="7988"/>
    <cellStyle name="常规 19 5 5 4 6" xfId="7995"/>
    <cellStyle name="常规 19 5 5 4 7" xfId="22994"/>
    <cellStyle name="常规 19 5 5 4 8" xfId="22995"/>
    <cellStyle name="常规 19 5 5 5" xfId="922"/>
    <cellStyle name="常规 19 5 5 5 2" xfId="6177"/>
    <cellStyle name="常规 19 5 5 5 3" xfId="6238"/>
    <cellStyle name="常规 19 5 5 5 4" xfId="6272"/>
    <cellStyle name="常规 19 5 5 5 5" xfId="6298"/>
    <cellStyle name="常规 19 5 5 5 6" xfId="6304"/>
    <cellStyle name="常规 19 5 5 5 7" xfId="6314"/>
    <cellStyle name="常规 19 5 5 5 8" xfId="22996"/>
    <cellStyle name="常规 19 5 5 6" xfId="6316"/>
    <cellStyle name="常规 19 5 5 6 2" xfId="6321"/>
    <cellStyle name="常规 19 5 5 6 3" xfId="6359"/>
    <cellStyle name="常规 19 5 5 6 4" xfId="6380"/>
    <cellStyle name="常规 19 5 5 6 5" xfId="6403"/>
    <cellStyle name="常规 19 5 5 6 6" xfId="6407"/>
    <cellStyle name="常规 19 5 5 6 7" xfId="6411"/>
    <cellStyle name="常规 19 5 5 6 8" xfId="22997"/>
    <cellStyle name="常规 19 5 5 7" xfId="5184"/>
    <cellStyle name="常规 19 5 5 7 2" xfId="6416"/>
    <cellStyle name="常规 19 5 5 7 3" xfId="6470"/>
    <cellStyle name="常规 19 5 5 7 4" xfId="6497"/>
    <cellStyle name="常规 19 5 5 7 5" xfId="6522"/>
    <cellStyle name="常规 19 5 5 7 6" xfId="6535"/>
    <cellStyle name="常规 19 5 5 7 7" xfId="6538"/>
    <cellStyle name="常规 19 5 5 7 8" xfId="22998"/>
    <cellStyle name="常规 19 5 5 8" xfId="4720"/>
    <cellStyle name="常规 19 5 5 8 2" xfId="6543"/>
    <cellStyle name="常规 19 5 5 8 3" xfId="6572"/>
    <cellStyle name="常规 19 5 5 8 4" xfId="6581"/>
    <cellStyle name="常规 19 5 5 8 5" xfId="6592"/>
    <cellStyle name="常规 19 5 5 8 6" xfId="22999"/>
    <cellStyle name="常规 19 5 5 8 7" xfId="23000"/>
    <cellStyle name="常规 19 5 5 8 8" xfId="23001"/>
    <cellStyle name="常规 19 5 5 9" xfId="4731"/>
    <cellStyle name="常规 19 5 5 9 2" xfId="6596"/>
    <cellStyle name="常规 19 5 5 9 3" xfId="6606"/>
    <cellStyle name="常规 19 5 5 9 4" xfId="6612"/>
    <cellStyle name="常规 19 5 5 9 5" xfId="15845"/>
    <cellStyle name="常规 19 5 5 9 6" xfId="9054"/>
    <cellStyle name="常规 19 5 5 9 7" xfId="9061"/>
    <cellStyle name="常规 19 5 5 9 8" xfId="440"/>
    <cellStyle name="常规 19 5 6" xfId="22164"/>
    <cellStyle name="常规 19 5 6 2" xfId="22182"/>
    <cellStyle name="常规 19 5 6 3" xfId="22195"/>
    <cellStyle name="常规 19 5 6 4" xfId="22202"/>
    <cellStyle name="常规 19 5 6 5" xfId="22209"/>
    <cellStyle name="常规 19 5 6 6" xfId="22222"/>
    <cellStyle name="常规 19 5 6 7" xfId="22228"/>
    <cellStyle name="常规 19 5 6 8" xfId="22234"/>
    <cellStyle name="常规 19 5 7" xfId="22256"/>
    <cellStyle name="常规 19 5 7 2" xfId="2484"/>
    <cellStyle name="常规 19 5 7 3" xfId="3571"/>
    <cellStyle name="常规 19 5 7 4" xfId="3581"/>
    <cellStyle name="常规 19 5 7 5" xfId="4524"/>
    <cellStyle name="常规 19 5 7 6" xfId="4528"/>
    <cellStyle name="常规 19 5 7 7" xfId="22258"/>
    <cellStyle name="常规 19 5 7 8" xfId="22260"/>
    <cellStyle name="常规 19 5 8" xfId="22263"/>
    <cellStyle name="常规 19 5 8 2" xfId="2527"/>
    <cellStyle name="常规 19 5 8 3" xfId="3593"/>
    <cellStyle name="常规 19 5 8 4" xfId="3600"/>
    <cellStyle name="常规 19 5 8 5" xfId="22266"/>
    <cellStyle name="常规 19 5 8 6" xfId="22269"/>
    <cellStyle name="常规 19 5 8 7" xfId="22271"/>
    <cellStyle name="常规 19 5 8 8" xfId="22274"/>
    <cellStyle name="常规 19 5 9" xfId="5763"/>
    <cellStyle name="常规 19 5 9 2" xfId="5775"/>
    <cellStyle name="常规 19 5 9 3" xfId="4643"/>
    <cellStyle name="常规 19 5 9 4" xfId="4656"/>
    <cellStyle name="常规 19 5 9 5" xfId="5867"/>
    <cellStyle name="常规 19 5 9 6" xfId="1720"/>
    <cellStyle name="常规 19 5 9 7" xfId="1749"/>
    <cellStyle name="常规 19 5 9 8" xfId="20787"/>
    <cellStyle name="常规 19 6" xfId="23002"/>
    <cellStyle name="常规 19 6 10" xfId="696"/>
    <cellStyle name="常规 19 6 10 2" xfId="23003"/>
    <cellStyle name="常规 19 6 10 3" xfId="23004"/>
    <cellStyle name="常规 19 6 10 4" xfId="23005"/>
    <cellStyle name="常规 19 6 10 5" xfId="5774"/>
    <cellStyle name="常规 19 6 10 6" xfId="4642"/>
    <cellStyle name="常规 19 6 10 7" xfId="4655"/>
    <cellStyle name="常规 19 6 10 8" xfId="5866"/>
    <cellStyle name="常规 19 6 11" xfId="23006"/>
    <cellStyle name="常规 19 6 11 2" xfId="23007"/>
    <cellStyle name="常规 19 6 11 3" xfId="23008"/>
    <cellStyle name="常规 19 6 11 4" xfId="23009"/>
    <cellStyle name="常规 19 6 11 5" xfId="5876"/>
    <cellStyle name="常规 19 6 11 6" xfId="5939"/>
    <cellStyle name="常规 19 6 11 7" xfId="5962"/>
    <cellStyle name="常规 19 6 11 8" xfId="4625"/>
    <cellStyle name="常规 19 6 12" xfId="23010"/>
    <cellStyle name="常规 19 6 12 2" xfId="23012"/>
    <cellStyle name="常规 19 6 12 3" xfId="23013"/>
    <cellStyle name="常规 19 6 12 4" xfId="23014"/>
    <cellStyle name="常规 19 6 12 5" xfId="5054"/>
    <cellStyle name="常规 19 6 12 6" xfId="5080"/>
    <cellStyle name="常规 19 6 12 7" xfId="5446"/>
    <cellStyle name="常规 19 6 12 8" xfId="4677"/>
    <cellStyle name="常规 19 6 13" xfId="23016"/>
    <cellStyle name="常规 19 6 13 2" xfId="23018"/>
    <cellStyle name="常规 19 6 13 3" xfId="23019"/>
    <cellStyle name="常规 19 6 13 4" xfId="23020"/>
    <cellStyle name="常规 19 6 13 5" xfId="5100"/>
    <cellStyle name="常规 19 6 13 6" xfId="313"/>
    <cellStyle name="常规 19 6 13 7" xfId="6078"/>
    <cellStyle name="常规 19 6 13 8" xfId="1490"/>
    <cellStyle name="常规 19 6 14" xfId="23022"/>
    <cellStyle name="常规 19 6 14 2" xfId="23023"/>
    <cellStyle name="常规 19 6 14 3" xfId="23024"/>
    <cellStyle name="常规 19 6 14 4" xfId="23025"/>
    <cellStyle name="常规 19 6 14 5" xfId="6102"/>
    <cellStyle name="常规 19 6 14 6" xfId="6112"/>
    <cellStyle name="常规 19 6 14 7" xfId="6125"/>
    <cellStyle name="常规 19 6 14 8" xfId="1553"/>
    <cellStyle name="常规 19 6 15" xfId="23027"/>
    <cellStyle name="常规 19 6 15 2" xfId="23028"/>
    <cellStyle name="常规 19 6 15 3" xfId="23029"/>
    <cellStyle name="常规 19 6 15 4" xfId="23030"/>
    <cellStyle name="常规 19 6 15 5" xfId="6133"/>
    <cellStyle name="常规 19 6 15 6" xfId="6141"/>
    <cellStyle name="常规 19 6 15 7" xfId="6149"/>
    <cellStyle name="常规 19 6 16" xfId="23033"/>
    <cellStyle name="常规 19 6 17" xfId="23036"/>
    <cellStyle name="常规 19 6 18" xfId="23037"/>
    <cellStyle name="常规 19 6 19" xfId="23040"/>
    <cellStyle name="常规 19 6 2" xfId="23041"/>
    <cellStyle name="常规 19 6 2 10" xfId="23042"/>
    <cellStyle name="常规 19 6 2 10 2" xfId="23043"/>
    <cellStyle name="常规 19 6 2 10 3" xfId="23044"/>
    <cellStyle name="常规 19 6 2 10 4" xfId="23045"/>
    <cellStyle name="常规 19 6 2 10 5" xfId="23047"/>
    <cellStyle name="常规 19 6 2 10 6" xfId="23049"/>
    <cellStyle name="常规 19 6 2 10 7" xfId="23051"/>
    <cellStyle name="常规 19 6 2 10 8" xfId="23052"/>
    <cellStyle name="常规 19 6 2 11" xfId="23053"/>
    <cellStyle name="常规 19 6 2 11 2" xfId="23055"/>
    <cellStyle name="常规 19 6 2 11 3" xfId="23056"/>
    <cellStyle name="常规 19 6 2 11 4" xfId="23057"/>
    <cellStyle name="常规 19 6 2 11 5" xfId="23058"/>
    <cellStyle name="常规 19 6 2 11 6" xfId="23059"/>
    <cellStyle name="常规 19 6 2 11 7" xfId="23061"/>
    <cellStyle name="常规 19 6 2 11 8" xfId="23063"/>
    <cellStyle name="常规 19 6 2 12" xfId="23064"/>
    <cellStyle name="常规 19 6 2 12 2" xfId="23066"/>
    <cellStyle name="常规 19 6 2 12 3" xfId="23067"/>
    <cellStyle name="常规 19 6 2 12 4" xfId="23069"/>
    <cellStyle name="常规 19 6 2 12 5" xfId="23070"/>
    <cellStyle name="常规 19 6 2 12 6" xfId="23071"/>
    <cellStyle name="常规 19 6 2 12 7" xfId="23072"/>
    <cellStyle name="常规 19 6 2 12 8" xfId="23073"/>
    <cellStyle name="常规 19 6 2 13" xfId="23075"/>
    <cellStyle name="常规 19 6 2 13 2" xfId="23077"/>
    <cellStyle name="常规 19 6 2 13 3" xfId="23078"/>
    <cellStyle name="常规 19 6 2 13 4" xfId="23079"/>
    <cellStyle name="常规 19 6 2 13 5" xfId="23080"/>
    <cellStyle name="常规 19 6 2 13 6" xfId="23081"/>
    <cellStyle name="常规 19 6 2 13 7" xfId="23082"/>
    <cellStyle name="常规 19 6 2 14" xfId="23083"/>
    <cellStyle name="常规 19 6 2 15" xfId="23085"/>
    <cellStyle name="常规 19 6 2 16" xfId="23086"/>
    <cellStyle name="常规 19 6 2 17" xfId="23088"/>
    <cellStyle name="常规 19 6 2 18" xfId="23090"/>
    <cellStyle name="常规 19 6 2 19" xfId="23092"/>
    <cellStyle name="常规 19 6 2 2" xfId="23093"/>
    <cellStyle name="常规 19 6 2 2 10" xfId="23094"/>
    <cellStyle name="常规 19 6 2 2 10 2" xfId="18867"/>
    <cellStyle name="常规 19 6 2 2 10 3" xfId="18877"/>
    <cellStyle name="常规 19 6 2 2 10 4" xfId="942"/>
    <cellStyle name="常规 19 6 2 2 10 5" xfId="1007"/>
    <cellStyle name="常规 19 6 2 2 10 6" xfId="339"/>
    <cellStyle name="常规 19 6 2 2 10 7" xfId="560"/>
    <cellStyle name="常规 19 6 2 2 10 8" xfId="1546"/>
    <cellStyle name="常规 19 6 2 2 11" xfId="23095"/>
    <cellStyle name="常规 19 6 2 2 11 2" xfId="23096"/>
    <cellStyle name="常规 19 6 2 2 11 3" xfId="23097"/>
    <cellStyle name="常规 19 6 2 2 11 4" xfId="1030"/>
    <cellStyle name="常规 19 6 2 2 11 5" xfId="1048"/>
    <cellStyle name="常规 19 6 2 2 11 6" xfId="23098"/>
    <cellStyle name="常规 19 6 2 2 11 7" xfId="22904"/>
    <cellStyle name="常规 19 6 2 2 11 8" xfId="1390"/>
    <cellStyle name="常规 19 6 2 2 12" xfId="23099"/>
    <cellStyle name="常规 19 6 2 2 12 2" xfId="23100"/>
    <cellStyle name="常规 19 6 2 2 12 3" xfId="23101"/>
    <cellStyle name="常规 19 6 2 2 12 4" xfId="1062"/>
    <cellStyle name="常规 19 6 2 2 12 5" xfId="1075"/>
    <cellStyle name="常规 19 6 2 2 12 6" xfId="23102"/>
    <cellStyle name="常规 19 6 2 2 12 7" xfId="22909"/>
    <cellStyle name="常规 19 6 2 2 13" xfId="23103"/>
    <cellStyle name="常规 19 6 2 2 14" xfId="23104"/>
    <cellStyle name="常规 19 6 2 2 15" xfId="23105"/>
    <cellStyle name="常规 19 6 2 2 16" xfId="23106"/>
    <cellStyle name="常规 19 6 2 2 17" xfId="23107"/>
    <cellStyle name="常规 19 6 2 2 18" xfId="12539"/>
    <cellStyle name="常规 19 6 2 2 19" xfId="12542"/>
    <cellStyle name="常规 19 6 2 2 2" xfId="23108"/>
    <cellStyle name="常规 19 6 2 2 2 10" xfId="23109"/>
    <cellStyle name="常规 19 6 2 2 2 10 2" xfId="23110"/>
    <cellStyle name="常规 19 6 2 2 2 10 3" xfId="18381"/>
    <cellStyle name="常规 19 6 2 2 2 10 4" xfId="18384"/>
    <cellStyle name="常规 19 6 2 2 2 10 5" xfId="18387"/>
    <cellStyle name="常规 19 6 2 2 2 10 6" xfId="18391"/>
    <cellStyle name="常规 19 6 2 2 2 10 7" xfId="16268"/>
    <cellStyle name="常规 19 6 2 2 2 11" xfId="23111"/>
    <cellStyle name="常规 19 6 2 2 2 12" xfId="23112"/>
    <cellStyle name="常规 19 6 2 2 2 13" xfId="23113"/>
    <cellStyle name="常规 19 6 2 2 2 14" xfId="23114"/>
    <cellStyle name="常规 19 6 2 2 2 15" xfId="23115"/>
    <cellStyle name="常规 19 6 2 2 2 16" xfId="23116"/>
    <cellStyle name="常规 19 6 2 2 2 17" xfId="23117"/>
    <cellStyle name="常规 19 6 2 2 2 2" xfId="23118"/>
    <cellStyle name="常规 19 6 2 2 2 2 2" xfId="16478"/>
    <cellStyle name="常规 19 6 2 2 2 2 3" xfId="16502"/>
    <cellStyle name="常规 19 6 2 2 2 2 4" xfId="16518"/>
    <cellStyle name="常规 19 6 2 2 2 2 5" xfId="16540"/>
    <cellStyle name="常规 19 6 2 2 2 2 6" xfId="23119"/>
    <cellStyle name="常规 19 6 2 2 2 2 7" xfId="23120"/>
    <cellStyle name="常规 19 6 2 2 2 2 8" xfId="23121"/>
    <cellStyle name="常规 19 6 2 2 2 3" xfId="279"/>
    <cellStyle name="常规 19 6 2 2 2 3 2" xfId="16630"/>
    <cellStyle name="常规 19 6 2 2 2 3 3" xfId="16648"/>
    <cellStyle name="常规 19 6 2 2 2 3 4" xfId="5808"/>
    <cellStyle name="常规 19 6 2 2 2 3 5" xfId="5824"/>
    <cellStyle name="常规 19 6 2 2 2 3 6" xfId="23122"/>
    <cellStyle name="常规 19 6 2 2 2 3 7" xfId="23123"/>
    <cellStyle name="常规 19 6 2 2 2 3 8" xfId="23124"/>
    <cellStyle name="常规 19 6 2 2 2 4" xfId="1994"/>
    <cellStyle name="常规 19 6 2 2 2 4 2" xfId="16691"/>
    <cellStyle name="常规 19 6 2 2 2 4 3" xfId="16693"/>
    <cellStyle name="常规 19 6 2 2 2 4 4" xfId="16695"/>
    <cellStyle name="常规 19 6 2 2 2 4 5" xfId="23125"/>
    <cellStyle name="常规 19 6 2 2 2 4 6" xfId="9535"/>
    <cellStyle name="常规 19 6 2 2 2 4 7" xfId="9587"/>
    <cellStyle name="常规 19 6 2 2 2 4 8" xfId="9619"/>
    <cellStyle name="常规 19 6 2 2 2 5" xfId="23126"/>
    <cellStyle name="常规 19 6 2 2 2 5 2" xfId="16702"/>
    <cellStyle name="常规 19 6 2 2 2 5 3" xfId="16704"/>
    <cellStyle name="常规 19 6 2 2 2 5 4" xfId="16706"/>
    <cellStyle name="常规 19 6 2 2 2 5 5" xfId="23127"/>
    <cellStyle name="常规 19 6 2 2 2 5 6" xfId="9675"/>
    <cellStyle name="常规 19 6 2 2 2 5 7" xfId="9725"/>
    <cellStyle name="常规 19 6 2 2 2 5 8" xfId="9727"/>
    <cellStyle name="常规 19 6 2 2 2 6" xfId="23128"/>
    <cellStyle name="常规 19 6 2 2 2 6 2" xfId="841"/>
    <cellStyle name="常规 19 6 2 2 2 6 3" xfId="3249"/>
    <cellStyle name="常规 19 6 2 2 2 6 4" xfId="3281"/>
    <cellStyle name="常规 19 6 2 2 2 6 5" xfId="23129"/>
    <cellStyle name="常规 19 6 2 2 2 6 6" xfId="2304"/>
    <cellStyle name="常规 19 6 2 2 2 6 7" xfId="2332"/>
    <cellStyle name="常规 19 6 2 2 2 6 8" xfId="9791"/>
    <cellStyle name="常规 19 6 2 2 2 7" xfId="23130"/>
    <cellStyle name="常规 19 6 2 2 2 7 2" xfId="3318"/>
    <cellStyle name="常规 19 6 2 2 2 7 3" xfId="1730"/>
    <cellStyle name="常规 19 6 2 2 2 7 4" xfId="958"/>
    <cellStyle name="常规 19 6 2 2 2 7 5" xfId="973"/>
    <cellStyle name="常规 19 6 2 2 2 7 6" xfId="9820"/>
    <cellStyle name="常规 19 6 2 2 2 7 7" xfId="9841"/>
    <cellStyle name="常规 19 6 2 2 2 7 8" xfId="9846"/>
    <cellStyle name="常规 19 6 2 2 2 8" xfId="23131"/>
    <cellStyle name="常规 19 6 2 2 2 8 2" xfId="3396"/>
    <cellStyle name="常规 19 6 2 2 2 8 3" xfId="3432"/>
    <cellStyle name="常规 19 6 2 2 2 8 4" xfId="5657"/>
    <cellStyle name="常规 19 6 2 2 2 8 5" xfId="3107"/>
    <cellStyle name="常规 19 6 2 2 2 8 6" xfId="4344"/>
    <cellStyle name="常规 19 6 2 2 2 8 7" xfId="7644"/>
    <cellStyle name="常规 19 6 2 2 2 8 8" xfId="7651"/>
    <cellStyle name="常规 19 6 2 2 2 9" xfId="23132"/>
    <cellStyle name="常规 19 6 2 2 2 9 2" xfId="3450"/>
    <cellStyle name="常规 19 6 2 2 2 9 3" xfId="16725"/>
    <cellStyle name="常规 19 6 2 2 2 9 4" xfId="5677"/>
    <cellStyle name="常规 19 6 2 2 2 9 5" xfId="4364"/>
    <cellStyle name="常规 19 6 2 2 2 9 6" xfId="4373"/>
    <cellStyle name="常规 19 6 2 2 2 9 7" xfId="7138"/>
    <cellStyle name="常规 19 6 2 2 2 9 8" xfId="4316"/>
    <cellStyle name="常规 19 6 2 2 3" xfId="1648"/>
    <cellStyle name="常规 19 6 2 2 3 2" xfId="23133"/>
    <cellStyle name="常规 19 6 2 2 3 3" xfId="23134"/>
    <cellStyle name="常规 19 6 2 2 3 4" xfId="23135"/>
    <cellStyle name="常规 19 6 2 2 3 5" xfId="23136"/>
    <cellStyle name="常规 19 6 2 2 3 6" xfId="23137"/>
    <cellStyle name="常规 19 6 2 2 3 7" xfId="23138"/>
    <cellStyle name="常规 19 6 2 2 3 8" xfId="23139"/>
    <cellStyle name="常规 19 6 2 2 4" xfId="1662"/>
    <cellStyle name="常规 19 6 2 2 4 2" xfId="22817"/>
    <cellStyle name="常规 19 6 2 2 4 3" xfId="22819"/>
    <cellStyle name="常规 19 6 2 2 4 4" xfId="4417"/>
    <cellStyle name="常规 19 6 2 2 4 5" xfId="4425"/>
    <cellStyle name="常规 19 6 2 2 4 6" xfId="23140"/>
    <cellStyle name="常规 19 6 2 2 4 7" xfId="23141"/>
    <cellStyle name="常规 19 6 2 2 4 8" xfId="23142"/>
    <cellStyle name="常规 19 6 2 2 5" xfId="23143"/>
    <cellStyle name="常规 19 6 2 2 5 2" xfId="23144"/>
    <cellStyle name="常规 19 6 2 2 5 3" xfId="23145"/>
    <cellStyle name="常规 19 6 2 2 5 4" xfId="6882"/>
    <cellStyle name="常规 19 6 2 2 5 5" xfId="7205"/>
    <cellStyle name="常规 19 6 2 2 5 6" xfId="7460"/>
    <cellStyle name="常规 19 6 2 2 5 7" xfId="7471"/>
    <cellStyle name="常规 19 6 2 2 5 8" xfId="7478"/>
    <cellStyle name="常规 19 6 2 2 6" xfId="23146"/>
    <cellStyle name="常规 19 6 2 2 6 2" xfId="23147"/>
    <cellStyle name="常规 19 6 2 2 6 3" xfId="23148"/>
    <cellStyle name="常规 19 6 2 2 6 4" xfId="23149"/>
    <cellStyle name="常规 19 6 2 2 6 5" xfId="7522"/>
    <cellStyle name="常规 19 6 2 2 6 6" xfId="7622"/>
    <cellStyle name="常规 19 6 2 2 6 7" xfId="1189"/>
    <cellStyle name="常规 19 6 2 2 6 8" xfId="1194"/>
    <cellStyle name="常规 19 6 2 2 7" xfId="23150"/>
    <cellStyle name="常规 19 6 2 2 7 2" xfId="23151"/>
    <cellStyle name="常规 19 6 2 2 7 3" xfId="23152"/>
    <cellStyle name="常规 19 6 2 2 7 4" xfId="23153"/>
    <cellStyle name="常规 19 6 2 2 7 5" xfId="7693"/>
    <cellStyle name="常规 19 6 2 2 7 6" xfId="7786"/>
    <cellStyle name="常规 19 6 2 2 7 7" xfId="7807"/>
    <cellStyle name="常规 19 6 2 2 7 8" xfId="7819"/>
    <cellStyle name="常规 19 6 2 2 8" xfId="23154"/>
    <cellStyle name="常规 19 6 2 2 8 2" xfId="23155"/>
    <cellStyle name="常规 19 6 2 2 8 3" xfId="23156"/>
    <cellStyle name="常规 19 6 2 2 8 4" xfId="23157"/>
    <cellStyle name="常规 19 6 2 2 8 5" xfId="7841"/>
    <cellStyle name="常规 19 6 2 2 8 6" xfId="7868"/>
    <cellStyle name="常规 19 6 2 2 8 7" xfId="2754"/>
    <cellStyle name="常规 19 6 2 2 8 8" xfId="18"/>
    <cellStyle name="常规 19 6 2 2 9" xfId="23158"/>
    <cellStyle name="常规 19 6 2 2 9 2" xfId="22970"/>
    <cellStyle name="常规 19 6 2 2 9 3" xfId="22972"/>
    <cellStyle name="常规 19 6 2 2 9 4" xfId="11814"/>
    <cellStyle name="常规 19 6 2 2 9 5" xfId="3257"/>
    <cellStyle name="常规 19 6 2 2 9 6" xfId="3673"/>
    <cellStyle name="常规 19 6 2 2 9 7" xfId="3763"/>
    <cellStyle name="常规 19 6 2 2 9 8" xfId="23159"/>
    <cellStyle name="常规 19 6 2 20" xfId="23084"/>
    <cellStyle name="常规 19 6 2 3" xfId="11783"/>
    <cellStyle name="常规 19 6 2 3 10" xfId="23160"/>
    <cellStyle name="常规 19 6 2 3 10 2" xfId="16319"/>
    <cellStyle name="常规 19 6 2 3 10 3" xfId="16321"/>
    <cellStyle name="常规 19 6 2 3 10 4" xfId="23161"/>
    <cellStyle name="常规 19 6 2 3 10 5" xfId="23162"/>
    <cellStyle name="常规 19 6 2 3 10 6" xfId="23163"/>
    <cellStyle name="常规 19 6 2 3 10 7" xfId="5843"/>
    <cellStyle name="常规 19 6 2 3 11" xfId="23164"/>
    <cellStyle name="常规 19 6 2 3 12" xfId="23166"/>
    <cellStyle name="常规 19 6 2 3 13" xfId="23168"/>
    <cellStyle name="常规 19 6 2 3 14" xfId="23170"/>
    <cellStyle name="常规 19 6 2 3 15" xfId="23171"/>
    <cellStyle name="常规 19 6 2 3 16" xfId="23172"/>
    <cellStyle name="常规 19 6 2 3 17" xfId="23173"/>
    <cellStyle name="常规 19 6 2 3 2" xfId="11786"/>
    <cellStyle name="常规 19 6 2 3 2 2" xfId="12805"/>
    <cellStyle name="常规 19 6 2 3 2 3" xfId="4814"/>
    <cellStyle name="常规 19 6 2 3 2 4" xfId="4842"/>
    <cellStyle name="常规 19 6 2 3 2 5" xfId="15502"/>
    <cellStyle name="常规 19 6 2 3 2 6" xfId="16419"/>
    <cellStyle name="常规 19 6 2 3 2 7" xfId="16430"/>
    <cellStyle name="常规 19 6 2 3 2 8" xfId="16438"/>
    <cellStyle name="常规 19 6 2 3 3" xfId="11789"/>
    <cellStyle name="常规 19 6 2 3 3 2" xfId="11794"/>
    <cellStyle name="常规 19 6 2 3 3 3" xfId="4861"/>
    <cellStyle name="常规 19 6 2 3 3 4" xfId="5421"/>
    <cellStyle name="常规 19 6 2 3 3 5" xfId="16451"/>
    <cellStyle name="常规 19 6 2 3 3 6" xfId="16455"/>
    <cellStyle name="常规 19 6 2 3 3 7" xfId="16459"/>
    <cellStyle name="常规 19 6 2 3 3 8" xfId="23174"/>
    <cellStyle name="常规 19 6 2 3 4" xfId="23175"/>
    <cellStyle name="常规 19 6 2 3 4 2" xfId="1980"/>
    <cellStyle name="常规 19 6 2 3 4 3" xfId="2032"/>
    <cellStyle name="常规 19 6 2 3 4 4" xfId="2070"/>
    <cellStyle name="常规 19 6 2 3 4 5" xfId="1040"/>
    <cellStyle name="常规 19 6 2 3 4 6" xfId="7823"/>
    <cellStyle name="常规 19 6 2 3 4 7" xfId="7830"/>
    <cellStyle name="常规 19 6 2 3 4 8" xfId="23177"/>
    <cellStyle name="常规 19 6 2 3 5" xfId="23178"/>
    <cellStyle name="常规 19 6 2 3 5 2" xfId="16466"/>
    <cellStyle name="常规 19 6 2 3 5 3" xfId="16469"/>
    <cellStyle name="常规 19 6 2 3 5 4" xfId="16472"/>
    <cellStyle name="常规 19 6 2 3 5 5" xfId="16476"/>
    <cellStyle name="常规 19 6 2 3 5 6" xfId="12097"/>
    <cellStyle name="常规 19 6 2 3 5 7" xfId="10991"/>
    <cellStyle name="常规 19 6 2 3 5 8" xfId="23179"/>
    <cellStyle name="常规 19 6 2 3 6" xfId="23180"/>
    <cellStyle name="常规 19 6 2 3 6 2" xfId="16481"/>
    <cellStyle name="常规 19 6 2 3 6 3" xfId="16485"/>
    <cellStyle name="常规 19 6 2 3 6 4" xfId="16488"/>
    <cellStyle name="常规 19 6 2 3 6 5" xfId="16492"/>
    <cellStyle name="常规 19 6 2 3 6 6" xfId="16496"/>
    <cellStyle name="常规 19 6 2 3 6 7" xfId="16500"/>
    <cellStyle name="常规 19 6 2 3 6 8" xfId="23181"/>
    <cellStyle name="常规 19 6 2 3 7" xfId="23182"/>
    <cellStyle name="常规 19 6 2 3 7 2" xfId="16505"/>
    <cellStyle name="常规 19 6 2 3 7 3" xfId="16508"/>
    <cellStyle name="常规 19 6 2 3 7 4" xfId="10267"/>
    <cellStyle name="常规 19 6 2 3 7 5" xfId="10272"/>
    <cellStyle name="常规 19 6 2 3 7 6" xfId="16512"/>
    <cellStyle name="常规 19 6 2 3 7 7" xfId="16516"/>
    <cellStyle name="常规 19 6 2 3 7 8" xfId="23183"/>
    <cellStyle name="常规 19 6 2 3 8" xfId="23184"/>
    <cellStyle name="常规 19 6 2 3 8 2" xfId="16521"/>
    <cellStyle name="常规 19 6 2 3 8 3" xfId="16524"/>
    <cellStyle name="常规 19 6 2 3 8 4" xfId="16527"/>
    <cellStyle name="常规 19 6 2 3 8 5" xfId="16531"/>
    <cellStyle name="常规 19 6 2 3 8 6" xfId="16535"/>
    <cellStyle name="常规 19 6 2 3 8 7" xfId="16538"/>
    <cellStyle name="常规 19 6 2 3 8 8" xfId="23185"/>
    <cellStyle name="常规 19 6 2 3 9" xfId="23186"/>
    <cellStyle name="常规 19 6 2 3 9 2" xfId="16544"/>
    <cellStyle name="常规 19 6 2 3 9 3" xfId="16547"/>
    <cellStyle name="常规 19 6 2 3 9 4" xfId="16550"/>
    <cellStyle name="常规 19 6 2 3 9 5" xfId="16554"/>
    <cellStyle name="常规 19 6 2 3 9 6" xfId="16558"/>
    <cellStyle name="常规 19 6 2 3 9 7" xfId="16561"/>
    <cellStyle name="常规 19 6 2 3 9 8" xfId="23187"/>
    <cellStyle name="常规 19 6 2 4" xfId="11799"/>
    <cellStyle name="常规 19 6 2 4 2" xfId="23188"/>
    <cellStyle name="常规 19 6 2 4 3" xfId="23189"/>
    <cellStyle name="常规 19 6 2 4 4" xfId="23190"/>
    <cellStyle name="常规 19 6 2 4 5" xfId="23192"/>
    <cellStyle name="常规 19 6 2 4 6" xfId="23194"/>
    <cellStyle name="常规 19 6 2 4 7" xfId="23196"/>
    <cellStyle name="常规 19 6 2 4 8" xfId="23197"/>
    <cellStyle name="常规 19 6 2 5" xfId="11803"/>
    <cellStyle name="常规 19 6 2 5 2" xfId="23198"/>
    <cellStyle name="常规 19 6 2 5 3" xfId="23199"/>
    <cellStyle name="常规 19 6 2 5 4" xfId="23200"/>
    <cellStyle name="常规 19 6 2 5 5" xfId="23202"/>
    <cellStyle name="常规 19 6 2 5 6" xfId="23204"/>
    <cellStyle name="常规 19 6 2 5 7" xfId="23206"/>
    <cellStyle name="常规 19 6 2 5 8" xfId="23208"/>
    <cellStyle name="常规 19 6 2 6" xfId="23210"/>
    <cellStyle name="常规 19 6 2 6 2" xfId="23212"/>
    <cellStyle name="常规 19 6 2 6 3" xfId="23214"/>
    <cellStyle name="常规 19 6 2 6 4" xfId="23215"/>
    <cellStyle name="常规 19 6 2 6 5" xfId="23217"/>
    <cellStyle name="常规 19 6 2 6 6" xfId="1940"/>
    <cellStyle name="常规 19 6 2 6 7" xfId="2146"/>
    <cellStyle name="常规 19 6 2 6 8" xfId="2158"/>
    <cellStyle name="常规 19 6 2 7" xfId="23219"/>
    <cellStyle name="常规 19 6 2 7 2" xfId="23221"/>
    <cellStyle name="常规 19 6 2 7 3" xfId="23223"/>
    <cellStyle name="常规 19 6 2 7 4" xfId="23224"/>
    <cellStyle name="常规 19 6 2 7 5" xfId="23226"/>
    <cellStyle name="常规 19 6 2 7 6" xfId="9367"/>
    <cellStyle name="常规 19 6 2 7 7" xfId="9730"/>
    <cellStyle name="常规 19 6 2 7 8" xfId="23227"/>
    <cellStyle name="常规 19 6 2 8" xfId="23229"/>
    <cellStyle name="常规 19 6 2 8 2" xfId="22366"/>
    <cellStyle name="常规 19 6 2 8 3" xfId="22375"/>
    <cellStyle name="常规 19 6 2 8 4" xfId="22382"/>
    <cellStyle name="常规 19 6 2 8 5" xfId="22385"/>
    <cellStyle name="常规 19 6 2 8 6" xfId="10089"/>
    <cellStyle name="常规 19 6 2 8 7" xfId="10098"/>
    <cellStyle name="常规 19 6 2 8 8" xfId="22390"/>
    <cellStyle name="常规 19 6 2 9" xfId="23231"/>
    <cellStyle name="常规 19 6 2 9 2" xfId="23233"/>
    <cellStyle name="常规 19 6 2 9 3" xfId="23234"/>
    <cellStyle name="常规 19 6 2 9 4" xfId="23235"/>
    <cellStyle name="常规 19 6 2 9 5" xfId="23236"/>
    <cellStyle name="常规 19 6 2 9 6" xfId="23237"/>
    <cellStyle name="常规 19 6 2 9 7" xfId="23238"/>
    <cellStyle name="常规 19 6 2 9 8" xfId="23239"/>
    <cellStyle name="常规 19 6 20" xfId="23026"/>
    <cellStyle name="常规 19 6 21" xfId="23032"/>
    <cellStyle name="常规 19 6 22" xfId="23035"/>
    <cellStyle name="常规 19 6 3" xfId="23240"/>
    <cellStyle name="常规 19 6 3 10" xfId="22227"/>
    <cellStyle name="常规 19 6 3 10 2" xfId="16972"/>
    <cellStyle name="常规 19 6 3 10 3" xfId="16976"/>
    <cellStyle name="常规 19 6 3 10 4" xfId="16980"/>
    <cellStyle name="常规 19 6 3 10 5" xfId="16985"/>
    <cellStyle name="常规 19 6 3 10 6" xfId="16989"/>
    <cellStyle name="常规 19 6 3 10 7" xfId="22230"/>
    <cellStyle name="常规 19 6 3 10 8" xfId="3300"/>
    <cellStyle name="常规 19 6 3 11" xfId="22233"/>
    <cellStyle name="常规 19 6 3 11 2" xfId="16999"/>
    <cellStyle name="常规 19 6 3 11 3" xfId="17002"/>
    <cellStyle name="常规 19 6 3 11 4" xfId="17006"/>
    <cellStyle name="常规 19 6 3 11 5" xfId="17010"/>
    <cellStyle name="常规 19 6 3 11 6" xfId="22236"/>
    <cellStyle name="常规 19 6 3 11 7" xfId="22238"/>
    <cellStyle name="常规 19 6 3 11 8" xfId="629"/>
    <cellStyle name="常规 19 6 3 12" xfId="22241"/>
    <cellStyle name="常规 19 6 3 12 2" xfId="22243"/>
    <cellStyle name="常规 19 6 3 12 3" xfId="22245"/>
    <cellStyle name="常规 19 6 3 12 4" xfId="22247"/>
    <cellStyle name="常规 19 6 3 12 5" xfId="22249"/>
    <cellStyle name="常规 19 6 3 12 6" xfId="22251"/>
    <cellStyle name="常规 19 6 3 12 7" xfId="22253"/>
    <cellStyle name="常规 19 6 3 13" xfId="23241"/>
    <cellStyle name="常规 19 6 3 14" xfId="23243"/>
    <cellStyle name="常规 19 6 3 15" xfId="23245"/>
    <cellStyle name="常规 19 6 3 16" xfId="23247"/>
    <cellStyle name="常规 19 6 3 17" xfId="23248"/>
    <cellStyle name="常规 19 6 3 18" xfId="23249"/>
    <cellStyle name="常规 19 6 3 19" xfId="16996"/>
    <cellStyle name="常规 19 6 3 2" xfId="23250"/>
    <cellStyle name="常规 19 6 3 2 10" xfId="23251"/>
    <cellStyle name="常规 19 6 3 2 10 2" xfId="23253"/>
    <cellStyle name="常规 19 6 3 2 10 3" xfId="23254"/>
    <cellStyle name="常规 19 6 3 2 10 4" xfId="23255"/>
    <cellStyle name="常规 19 6 3 2 10 5" xfId="23256"/>
    <cellStyle name="常规 19 6 3 2 10 6" xfId="23257"/>
    <cellStyle name="常规 19 6 3 2 10 7" xfId="23258"/>
    <cellStyle name="常规 19 6 3 2 11" xfId="6364"/>
    <cellStyle name="常规 19 6 3 2 12" xfId="6374"/>
    <cellStyle name="常规 19 6 3 2 13" xfId="2388"/>
    <cellStyle name="常规 19 6 3 2 14" xfId="23259"/>
    <cellStyle name="常规 19 6 3 2 15" xfId="23261"/>
    <cellStyle name="常规 19 6 3 2 16" xfId="23263"/>
    <cellStyle name="常规 19 6 3 2 17" xfId="23265"/>
    <cellStyle name="常规 19 6 3 2 2" xfId="23266"/>
    <cellStyle name="常规 19 6 3 2 2 2" xfId="23267"/>
    <cellStyle name="常规 19 6 3 2 2 3" xfId="23268"/>
    <cellStyle name="常规 19 6 3 2 2 4" xfId="23269"/>
    <cellStyle name="常规 19 6 3 2 2 5" xfId="23270"/>
    <cellStyle name="常规 19 6 3 2 2 6" xfId="23271"/>
    <cellStyle name="常规 19 6 3 2 2 7" xfId="23272"/>
    <cellStyle name="常规 19 6 3 2 2 8" xfId="23273"/>
    <cellStyle name="常规 19 6 3 2 3" xfId="1726"/>
    <cellStyle name="常规 19 6 3 2 3 2" xfId="23274"/>
    <cellStyle name="常规 19 6 3 2 3 3" xfId="23275"/>
    <cellStyle name="常规 19 6 3 2 3 4" xfId="23276"/>
    <cellStyle name="常规 19 6 3 2 3 5" xfId="23277"/>
    <cellStyle name="常规 19 6 3 2 3 6" xfId="23278"/>
    <cellStyle name="常规 19 6 3 2 3 7" xfId="23279"/>
    <cellStyle name="常规 19 6 3 2 3 8" xfId="23280"/>
    <cellStyle name="常规 19 6 3 2 4" xfId="956"/>
    <cellStyle name="常规 19 6 3 2 4 2" xfId="23281"/>
    <cellStyle name="常规 19 6 3 2 4 3" xfId="23283"/>
    <cellStyle name="常规 19 6 3 2 4 4" xfId="4460"/>
    <cellStyle name="常规 19 6 3 2 4 5" xfId="4472"/>
    <cellStyle name="常规 19 6 3 2 4 6" xfId="23285"/>
    <cellStyle name="常规 19 6 3 2 4 7" xfId="23287"/>
    <cellStyle name="常规 19 6 3 2 4 8" xfId="23289"/>
    <cellStyle name="常规 19 6 3 2 5" xfId="23290"/>
    <cellStyle name="常规 19 6 3 2 5 2" xfId="23291"/>
    <cellStyle name="常规 19 6 3 2 5 3" xfId="23293"/>
    <cellStyle name="常规 19 6 3 2 5 4" xfId="6914"/>
    <cellStyle name="常规 19 6 3 2 5 5" xfId="7306"/>
    <cellStyle name="常规 19 6 3 2 5 6" xfId="7956"/>
    <cellStyle name="常规 19 6 3 2 5 7" xfId="7984"/>
    <cellStyle name="常规 19 6 3 2 5 8" xfId="8012"/>
    <cellStyle name="常规 19 6 3 2 6" xfId="23294"/>
    <cellStyle name="常规 19 6 3 2 6 2" xfId="23295"/>
    <cellStyle name="常规 19 6 3 2 6 3" xfId="23297"/>
    <cellStyle name="常规 19 6 3 2 6 4" xfId="23299"/>
    <cellStyle name="常规 19 6 3 2 6 5" xfId="3908"/>
    <cellStyle name="常规 19 6 3 2 6 6" xfId="6453"/>
    <cellStyle name="常规 19 6 3 2 6 7" xfId="6462"/>
    <cellStyle name="常规 19 6 3 2 6 8" xfId="8155"/>
    <cellStyle name="常规 19 6 3 2 7" xfId="23300"/>
    <cellStyle name="常规 19 6 3 2 7 2" xfId="23301"/>
    <cellStyle name="常规 19 6 3 2 7 3" xfId="23303"/>
    <cellStyle name="常规 19 6 3 2 7 4" xfId="23305"/>
    <cellStyle name="常规 19 6 3 2 7 5" xfId="6481"/>
    <cellStyle name="常规 19 6 3 2 7 6" xfId="6491"/>
    <cellStyle name="常规 19 6 3 2 7 7" xfId="8220"/>
    <cellStyle name="常规 19 6 3 2 7 8" xfId="8233"/>
    <cellStyle name="常规 19 6 3 2 8" xfId="23306"/>
    <cellStyle name="常规 19 6 3 2 8 2" xfId="23308"/>
    <cellStyle name="常规 19 6 3 2 8 3" xfId="23312"/>
    <cellStyle name="常规 19 6 3 2 8 4" xfId="23315"/>
    <cellStyle name="常规 19 6 3 2 8 5" xfId="6509"/>
    <cellStyle name="常规 19 6 3 2 8 6" xfId="6519"/>
    <cellStyle name="常规 19 6 3 2 8 7" xfId="8269"/>
    <cellStyle name="常规 19 6 3 2 8 8" xfId="8272"/>
    <cellStyle name="常规 19 6 3 2 9" xfId="23316"/>
    <cellStyle name="常规 19 6 3 2 9 2" xfId="23317"/>
    <cellStyle name="常规 19 6 3 2 9 3" xfId="23319"/>
    <cellStyle name="常规 19 6 3 2 9 4" xfId="23321"/>
    <cellStyle name="常规 19 6 3 2 9 5" xfId="6526"/>
    <cellStyle name="常规 19 6 3 2 9 6" xfId="8290"/>
    <cellStyle name="常规 19 6 3 2 9 7" xfId="8297"/>
    <cellStyle name="常规 19 6 3 2 9 8" xfId="23322"/>
    <cellStyle name="常规 19 6 3 3" xfId="23323"/>
    <cellStyle name="常规 19 6 3 3 2" xfId="22174"/>
    <cellStyle name="常规 19 6 3 3 3" xfId="22176"/>
    <cellStyle name="常规 19 6 3 3 4" xfId="4988"/>
    <cellStyle name="常规 19 6 3 3 5" xfId="5003"/>
    <cellStyle name="常规 19 6 3 3 6" xfId="22178"/>
    <cellStyle name="常规 19 6 3 3 7" xfId="22180"/>
    <cellStyle name="常规 19 6 3 3 8" xfId="23324"/>
    <cellStyle name="常规 19 6 3 4" xfId="23326"/>
    <cellStyle name="常规 19 6 3 4 2" xfId="23327"/>
    <cellStyle name="常规 19 6 3 4 3" xfId="23329"/>
    <cellStyle name="常规 19 6 3 4 4" xfId="23331"/>
    <cellStyle name="常规 19 6 3 4 5" xfId="6435"/>
    <cellStyle name="常规 19 6 3 4 6" xfId="6443"/>
    <cellStyle name="常规 19 6 3 4 7" xfId="8056"/>
    <cellStyle name="常规 19 6 3 4 8" xfId="23332"/>
    <cellStyle name="常规 19 6 3 5" xfId="23334"/>
    <cellStyle name="常规 19 6 3 5 2" xfId="23335"/>
    <cellStyle name="常规 19 6 3 5 3" xfId="23337"/>
    <cellStyle name="常规 19 6 3 5 4" xfId="23339"/>
    <cellStyle name="常规 19 6 3 5 5" xfId="8065"/>
    <cellStyle name="常规 19 6 3 5 6" xfId="8085"/>
    <cellStyle name="常规 19 6 3 5 7" xfId="23341"/>
    <cellStyle name="常规 19 6 3 5 8" xfId="23342"/>
    <cellStyle name="常规 19 6 3 6" xfId="23344"/>
    <cellStyle name="常规 19 6 3 6 2" xfId="23346"/>
    <cellStyle name="常规 19 6 3 6 3" xfId="23348"/>
    <cellStyle name="常规 19 6 3 6 4" xfId="23349"/>
    <cellStyle name="常规 19 6 3 6 5" xfId="8093"/>
    <cellStyle name="常规 19 6 3 6 6" xfId="8101"/>
    <cellStyle name="常规 19 6 3 6 7" xfId="2234"/>
    <cellStyle name="常规 19 6 3 6 8" xfId="23350"/>
    <cellStyle name="常规 19 6 3 7" xfId="23352"/>
    <cellStyle name="常规 19 6 3 7 2" xfId="5141"/>
    <cellStyle name="常规 19 6 3 7 3" xfId="21673"/>
    <cellStyle name="常规 19 6 3 7 4" xfId="21675"/>
    <cellStyle name="常规 19 6 3 7 5" xfId="21677"/>
    <cellStyle name="常规 19 6 3 7 6" xfId="10115"/>
    <cellStyle name="常规 19 6 3 7 7" xfId="10118"/>
    <cellStyle name="常规 19 6 3 7 8" xfId="21679"/>
    <cellStyle name="常规 19 6 3 8" xfId="23353"/>
    <cellStyle name="常规 19 6 3 8 2" xfId="23354"/>
    <cellStyle name="常规 19 6 3 8 3" xfId="23356"/>
    <cellStyle name="常规 19 6 3 8 4" xfId="23357"/>
    <cellStyle name="常规 19 6 3 8 5" xfId="23358"/>
    <cellStyle name="常规 19 6 3 8 6" xfId="23359"/>
    <cellStyle name="常规 19 6 3 8 7" xfId="23360"/>
    <cellStyle name="常规 19 6 3 8 8" xfId="23361"/>
    <cellStyle name="常规 19 6 3 9" xfId="23362"/>
    <cellStyle name="常规 19 6 3 9 2" xfId="23363"/>
    <cellStyle name="常规 19 6 3 9 3" xfId="23364"/>
    <cellStyle name="常规 19 6 3 9 4" xfId="23365"/>
    <cellStyle name="常规 19 6 3 9 5" xfId="23366"/>
    <cellStyle name="常规 19 6 3 9 6" xfId="23367"/>
    <cellStyle name="常规 19 6 3 9 7" xfId="23368"/>
    <cellStyle name="常规 19 6 3 9 8" xfId="23369"/>
    <cellStyle name="常规 19 6 4" xfId="23370"/>
    <cellStyle name="常规 19 6 4 10" xfId="4713"/>
    <cellStyle name="常规 19 6 4 10 2" xfId="23371"/>
    <cellStyle name="常规 19 6 4 10 3" xfId="23372"/>
    <cellStyle name="常规 19 6 4 10 4" xfId="23373"/>
    <cellStyle name="常规 19 6 4 10 5" xfId="23374"/>
    <cellStyle name="常规 19 6 4 10 6" xfId="23375"/>
    <cellStyle name="常规 19 6 4 10 7" xfId="23376"/>
    <cellStyle name="常规 19 6 4 10 8" xfId="23377"/>
    <cellStyle name="常规 19 6 4 11" xfId="10301"/>
    <cellStyle name="常规 19 6 4 11 2" xfId="23378"/>
    <cellStyle name="常规 19 6 4 11 3" xfId="23379"/>
    <cellStyle name="常规 19 6 4 11 4" xfId="23380"/>
    <cellStyle name="常规 19 6 4 11 5" xfId="23381"/>
    <cellStyle name="常规 19 6 4 11 6" xfId="23382"/>
    <cellStyle name="常规 19 6 4 11 7" xfId="23383"/>
    <cellStyle name="常规 19 6 4 11 8" xfId="23384"/>
    <cellStyle name="常规 19 6 4 12" xfId="23386"/>
    <cellStyle name="常规 19 6 4 12 2" xfId="23387"/>
    <cellStyle name="常规 19 6 4 12 3" xfId="23388"/>
    <cellStyle name="常规 19 6 4 12 4" xfId="23389"/>
    <cellStyle name="常规 19 6 4 12 5" xfId="23390"/>
    <cellStyle name="常规 19 6 4 12 6" xfId="23391"/>
    <cellStyle name="常规 19 6 4 12 7" xfId="23393"/>
    <cellStyle name="常规 19 6 4 13" xfId="23394"/>
    <cellStyle name="常规 19 6 4 14" xfId="23395"/>
    <cellStyle name="常规 19 6 4 15" xfId="23396"/>
    <cellStyle name="常规 19 6 4 16" xfId="23397"/>
    <cellStyle name="常规 19 6 4 17" xfId="23398"/>
    <cellStyle name="常规 19 6 4 18" xfId="23399"/>
    <cellStyle name="常规 19 6 4 19" xfId="23400"/>
    <cellStyle name="常规 19 6 4 2" xfId="21966"/>
    <cellStyle name="常规 19 6 4 2 10" xfId="6505"/>
    <cellStyle name="常规 19 6 4 2 10 2" xfId="4166"/>
    <cellStyle name="常规 19 6 4 2 10 3" xfId="4210"/>
    <cellStyle name="常规 19 6 4 2 10 4" xfId="23401"/>
    <cellStyle name="常规 19 6 4 2 10 5" xfId="8755"/>
    <cellStyle name="常规 19 6 4 2 10 6" xfId="8797"/>
    <cellStyle name="常规 19 6 4 2 10 7" xfId="8812"/>
    <cellStyle name="常规 19 6 4 2 11" xfId="1108"/>
    <cellStyle name="常规 19 6 4 2 12" xfId="23402"/>
    <cellStyle name="常规 19 6 4 2 13" xfId="23403"/>
    <cellStyle name="常规 19 6 4 2 14" xfId="23404"/>
    <cellStyle name="常规 19 6 4 2 15" xfId="23405"/>
    <cellStyle name="常规 19 6 4 2 16" xfId="23406"/>
    <cellStyle name="常规 19 6 4 2 17" xfId="23407"/>
    <cellStyle name="常规 19 6 4 2 2" xfId="23408"/>
    <cellStyle name="常规 19 6 4 2 2 2" xfId="23410"/>
    <cellStyle name="常规 19 6 4 2 2 3" xfId="23412"/>
    <cellStyle name="常规 19 6 4 2 2 4" xfId="23414"/>
    <cellStyle name="常规 19 6 4 2 2 5" xfId="23416"/>
    <cellStyle name="常规 19 6 4 2 2 6" xfId="23419"/>
    <cellStyle name="常规 19 6 4 2 2 7" xfId="23421"/>
    <cellStyle name="常规 19 6 4 2 2 8" xfId="23422"/>
    <cellStyle name="常规 19 6 4 2 3" xfId="23423"/>
    <cellStyle name="常规 19 6 4 2 3 2" xfId="23425"/>
    <cellStyle name="常规 19 6 4 2 3 3" xfId="23427"/>
    <cellStyle name="常规 19 6 4 2 3 4" xfId="13288"/>
    <cellStyle name="常规 19 6 4 2 3 5" xfId="13307"/>
    <cellStyle name="常规 19 6 4 2 3 6" xfId="13324"/>
    <cellStyle name="常规 19 6 4 2 3 7" xfId="13332"/>
    <cellStyle name="常规 19 6 4 2 3 8" xfId="6082"/>
    <cellStyle name="常规 19 6 4 2 4" xfId="23429"/>
    <cellStyle name="常规 19 6 4 2 4 2" xfId="23431"/>
    <cellStyle name="常规 19 6 4 2 4 3" xfId="23432"/>
    <cellStyle name="常规 19 6 4 2 4 4" xfId="23433"/>
    <cellStyle name="常规 19 6 4 2 4 5" xfId="23435"/>
    <cellStyle name="常规 19 6 4 2 4 6" xfId="23437"/>
    <cellStyle name="常规 19 6 4 2 4 7" xfId="23438"/>
    <cellStyle name="常规 19 6 4 2 4 8" xfId="23439"/>
    <cellStyle name="常规 19 6 4 2 5" xfId="23441"/>
    <cellStyle name="常规 19 6 4 2 5 2" xfId="23443"/>
    <cellStyle name="常规 19 6 4 2 5 3" xfId="23444"/>
    <cellStyle name="常规 19 6 4 2 5 4" xfId="23445"/>
    <cellStyle name="常规 19 6 4 2 5 5" xfId="12567"/>
    <cellStyle name="常规 19 6 4 2 5 6" xfId="12608"/>
    <cellStyle name="常规 19 6 4 2 5 7" xfId="11127"/>
    <cellStyle name="常规 19 6 4 2 5 8" xfId="23446"/>
    <cellStyle name="常规 19 6 4 2 6" xfId="23448"/>
    <cellStyle name="常规 19 6 4 2 6 2" xfId="23450"/>
    <cellStyle name="常规 19 6 4 2 6 3" xfId="23452"/>
    <cellStyle name="常规 19 6 4 2 6 4" xfId="23454"/>
    <cellStyle name="常规 19 6 4 2 6 5" xfId="12625"/>
    <cellStyle name="常规 19 6 4 2 6 6" xfId="12639"/>
    <cellStyle name="常规 19 6 4 2 6 7" xfId="11133"/>
    <cellStyle name="常规 19 6 4 2 6 8" xfId="7489"/>
    <cellStyle name="常规 19 6 4 2 7" xfId="23456"/>
    <cellStyle name="常规 19 6 4 2 7 2" xfId="23459"/>
    <cellStyle name="常规 19 6 4 2 7 3" xfId="23461"/>
    <cellStyle name="常规 19 6 4 2 7 4" xfId="23462"/>
    <cellStyle name="常规 19 6 4 2 7 5" xfId="12677"/>
    <cellStyle name="常规 19 6 4 2 7 6" xfId="12686"/>
    <cellStyle name="常规 19 6 4 2 7 7" xfId="12692"/>
    <cellStyle name="常规 19 6 4 2 7 8" xfId="23463"/>
    <cellStyle name="常规 19 6 4 2 8" xfId="23465"/>
    <cellStyle name="常规 19 6 4 2 8 2" xfId="23467"/>
    <cellStyle name="常规 19 6 4 2 8 3" xfId="23469"/>
    <cellStyle name="常规 19 6 4 2 8 4" xfId="14674"/>
    <cellStyle name="常规 19 6 4 2 8 5" xfId="12697"/>
    <cellStyle name="常规 19 6 4 2 8 6" xfId="12706"/>
    <cellStyle name="常规 19 6 4 2 8 7" xfId="12719"/>
    <cellStyle name="常规 19 6 4 2 8 8" xfId="10630"/>
    <cellStyle name="常规 19 6 4 2 9" xfId="23471"/>
    <cellStyle name="常规 19 6 4 2 9 2" xfId="23472"/>
    <cellStyle name="常规 19 6 4 2 9 3" xfId="23473"/>
    <cellStyle name="常规 19 6 4 2 9 4" xfId="23474"/>
    <cellStyle name="常规 19 6 4 2 9 5" xfId="8558"/>
    <cellStyle name="常规 19 6 4 2 9 6" xfId="8565"/>
    <cellStyle name="常规 19 6 4 2 9 7" xfId="12732"/>
    <cellStyle name="常规 19 6 4 2 9 8" xfId="23475"/>
    <cellStyle name="常规 19 6 4 3" xfId="21969"/>
    <cellStyle name="常规 19 6 4 3 2" xfId="23476"/>
    <cellStyle name="常规 19 6 4 3 3" xfId="3793"/>
    <cellStyle name="常规 19 6 4 3 4" xfId="3799"/>
    <cellStyle name="常规 19 6 4 3 5" xfId="4575"/>
    <cellStyle name="常规 19 6 4 3 6" xfId="4579"/>
    <cellStyle name="常规 19 6 4 3 7" xfId="23478"/>
    <cellStyle name="常规 19 6 4 3 8" xfId="23480"/>
    <cellStyle name="常规 19 6 4 4" xfId="21972"/>
    <cellStyle name="常规 19 6 4 4 2" xfId="23481"/>
    <cellStyle name="常规 19 6 4 4 3" xfId="23483"/>
    <cellStyle name="常规 19 6 4 4 4" xfId="23485"/>
    <cellStyle name="常规 19 6 4 4 5" xfId="7052"/>
    <cellStyle name="常规 19 6 4 4 6" xfId="8110"/>
    <cellStyle name="常规 19 6 4 4 7" xfId="23487"/>
    <cellStyle name="常规 19 6 4 4 8" xfId="23489"/>
    <cellStyle name="常规 19 6 4 5" xfId="23490"/>
    <cellStyle name="常规 19 6 4 5 2" xfId="23491"/>
    <cellStyle name="常规 19 6 4 5 3" xfId="23492"/>
    <cellStyle name="常规 19 6 4 5 4" xfId="23493"/>
    <cellStyle name="常规 19 6 4 5 5" xfId="8116"/>
    <cellStyle name="常规 19 6 4 5 6" xfId="8122"/>
    <cellStyle name="常规 19 6 4 5 7" xfId="23496"/>
    <cellStyle name="常规 19 6 4 5 8" xfId="23497"/>
    <cellStyle name="常规 19 6 4 6" xfId="23499"/>
    <cellStyle name="常规 19 6 4 6 2" xfId="23500"/>
    <cellStyle name="常规 19 6 4 6 3" xfId="23501"/>
    <cellStyle name="常规 19 6 4 6 4" xfId="23502"/>
    <cellStyle name="常规 19 6 4 6 5" xfId="23503"/>
    <cellStyle name="常规 19 6 4 6 6" xfId="10123"/>
    <cellStyle name="常规 19 6 4 6 7" xfId="10127"/>
    <cellStyle name="常规 19 6 4 6 8" xfId="16764"/>
    <cellStyle name="常规 19 6 4 7" xfId="23506"/>
    <cellStyle name="常规 19 6 4 7 2" xfId="23507"/>
    <cellStyle name="常规 19 6 4 7 3" xfId="23508"/>
    <cellStyle name="常规 19 6 4 7 4" xfId="23509"/>
    <cellStyle name="常规 19 6 4 7 5" xfId="23510"/>
    <cellStyle name="常规 19 6 4 7 6" xfId="10130"/>
    <cellStyle name="常规 19 6 4 7 7" xfId="10132"/>
    <cellStyle name="常规 19 6 4 7 8" xfId="23511"/>
    <cellStyle name="常规 19 6 4 8" xfId="23513"/>
    <cellStyle name="常规 19 6 4 8 2" xfId="23514"/>
    <cellStyle name="常规 19 6 4 8 3" xfId="23515"/>
    <cellStyle name="常规 19 6 4 8 4" xfId="23516"/>
    <cellStyle name="常规 19 6 4 8 5" xfId="23517"/>
    <cellStyle name="常规 19 6 4 8 6" xfId="23519"/>
    <cellStyle name="常规 19 6 4 8 7" xfId="23521"/>
    <cellStyle name="常规 19 6 4 8 8" xfId="23523"/>
    <cellStyle name="常规 19 6 4 9" xfId="23525"/>
    <cellStyle name="常规 19 6 4 9 2" xfId="15412"/>
    <cellStyle name="常规 19 6 4 9 3" xfId="18211"/>
    <cellStyle name="常规 19 6 4 9 4" xfId="18215"/>
    <cellStyle name="常规 19 6 4 9 5" xfId="19460"/>
    <cellStyle name="常规 19 6 4 9 6" xfId="19463"/>
    <cellStyle name="常规 19 6 4 9 7" xfId="19466"/>
    <cellStyle name="常规 19 6 4 9 8" xfId="19470"/>
    <cellStyle name="常规 19 6 5" xfId="23526"/>
    <cellStyle name="常规 19 6 5 10" xfId="11422"/>
    <cellStyle name="常规 19 6 5 10 2" xfId="3882"/>
    <cellStyle name="常规 19 6 5 10 3" xfId="3904"/>
    <cellStyle name="常规 19 6 5 10 4" xfId="23528"/>
    <cellStyle name="常规 19 6 5 10 5" xfId="23530"/>
    <cellStyle name="常规 19 6 5 10 6" xfId="23531"/>
    <cellStyle name="常规 19 6 5 10 7" xfId="23532"/>
    <cellStyle name="常规 19 6 5 11" xfId="11428"/>
    <cellStyle name="常规 19 6 5 12" xfId="10693"/>
    <cellStyle name="常规 19 6 5 13" xfId="20129"/>
    <cellStyle name="常规 19 6 5 14" xfId="20133"/>
    <cellStyle name="常规 19 6 5 15" xfId="20951"/>
    <cellStyle name="常规 19 6 5 16" xfId="20955"/>
    <cellStyle name="常规 19 6 5 17" xfId="8473"/>
    <cellStyle name="常规 19 6 5 2" xfId="22584"/>
    <cellStyle name="常规 19 6 5 2 2" xfId="23533"/>
    <cellStyle name="常规 19 6 5 2 3" xfId="23534"/>
    <cellStyle name="常规 19 6 5 2 4" xfId="503"/>
    <cellStyle name="常规 19 6 5 2 5" xfId="2643"/>
    <cellStyle name="常规 19 6 5 2 6" xfId="23536"/>
    <cellStyle name="常规 19 6 5 2 7" xfId="23539"/>
    <cellStyle name="常规 19 6 5 2 8" xfId="23542"/>
    <cellStyle name="常规 19 6 5 3" xfId="22586"/>
    <cellStyle name="常规 19 6 5 3 2" xfId="23543"/>
    <cellStyle name="常规 19 6 5 3 3" xfId="23544"/>
    <cellStyle name="常规 19 6 5 3 4" xfId="23545"/>
    <cellStyle name="常规 19 6 5 3 5" xfId="9516"/>
    <cellStyle name="常规 19 6 5 3 6" xfId="11960"/>
    <cellStyle name="常规 19 6 5 3 7" xfId="23547"/>
    <cellStyle name="常规 19 6 5 3 8" xfId="23549"/>
    <cellStyle name="常规 19 6 5 4" xfId="23551"/>
    <cellStyle name="常规 19 6 5 4 2" xfId="23552"/>
    <cellStyle name="常规 19 6 5 4 3" xfId="23553"/>
    <cellStyle name="常规 19 6 5 4 4" xfId="7473"/>
    <cellStyle name="常规 19 6 5 4 5" xfId="8134"/>
    <cellStyle name="常规 19 6 5 4 6" xfId="8139"/>
    <cellStyle name="常规 19 6 5 4 7" xfId="18870"/>
    <cellStyle name="常规 19 6 5 4 8" xfId="18873"/>
    <cellStyle name="常规 19 6 5 5" xfId="5211"/>
    <cellStyle name="常规 19 6 5 5 2" xfId="6628"/>
    <cellStyle name="常规 19 6 5 5 3" xfId="6733"/>
    <cellStyle name="常规 19 6 5 5 4" xfId="6771"/>
    <cellStyle name="常规 19 6 5 5 5" xfId="1968"/>
    <cellStyle name="常规 19 6 5 5 6" xfId="2262"/>
    <cellStyle name="常规 19 6 5 5 7" xfId="2626"/>
    <cellStyle name="常规 19 6 5 5 8" xfId="23554"/>
    <cellStyle name="常规 19 6 5 6" xfId="6801"/>
    <cellStyle name="常规 19 6 5 6 2" xfId="6806"/>
    <cellStyle name="常规 19 6 5 6 3" xfId="6876"/>
    <cellStyle name="常规 19 6 5 6 4" xfId="949"/>
    <cellStyle name="常规 19 6 5 6 5" xfId="1004"/>
    <cellStyle name="常规 19 6 5 6 6" xfId="6930"/>
    <cellStyle name="常规 19 6 5 6 7" xfId="6934"/>
    <cellStyle name="常规 19 6 5 6 8" xfId="13389"/>
    <cellStyle name="常规 19 6 5 7" xfId="6625"/>
    <cellStyle name="常规 19 6 5 7 2" xfId="6633"/>
    <cellStyle name="常规 19 6 5 7 3" xfId="6692"/>
    <cellStyle name="常规 19 6 5 7 4" xfId="1016"/>
    <cellStyle name="常规 19 6 5 7 5" xfId="252"/>
    <cellStyle name="常规 19 6 5 7 6" xfId="7046"/>
    <cellStyle name="常规 19 6 5 7 7" xfId="7056"/>
    <cellStyle name="常规 19 6 5 7 8" xfId="13402"/>
    <cellStyle name="常规 19 6 5 8" xfId="6728"/>
    <cellStyle name="常规 19 6 5 8 2" xfId="1816"/>
    <cellStyle name="常规 19 6 5 8 3" xfId="6753"/>
    <cellStyle name="常规 19 6 5 8 4" xfId="757"/>
    <cellStyle name="常规 19 6 5 8 5" xfId="2649"/>
    <cellStyle name="常规 19 6 5 8 6" xfId="23556"/>
    <cellStyle name="常规 19 6 5 8 7" xfId="23558"/>
    <cellStyle name="常规 19 6 5 8 8" xfId="946"/>
    <cellStyle name="常规 19 6 5 9" xfId="6767"/>
    <cellStyle name="常规 19 6 5 9 2" xfId="1659"/>
    <cellStyle name="常规 19 6 5 9 3" xfId="5888"/>
    <cellStyle name="常规 19 6 5 9 4" xfId="2657"/>
    <cellStyle name="常规 19 6 5 9 5" xfId="1986"/>
    <cellStyle name="常规 19 6 5 9 6" xfId="9158"/>
    <cellStyle name="常规 19 6 5 9 7" xfId="9161"/>
    <cellStyle name="常规 19 6 5 9 8" xfId="1033"/>
    <cellStyle name="常规 19 6 6" xfId="21975"/>
    <cellStyle name="常规 19 6 6 2" xfId="21978"/>
    <cellStyle name="常规 19 6 6 3" xfId="21981"/>
    <cellStyle name="常规 19 6 6 4" xfId="21984"/>
    <cellStyle name="常规 19 6 6 5" xfId="21987"/>
    <cellStyle name="常规 19 6 6 6" xfId="21991"/>
    <cellStyle name="常规 19 6 6 7" xfId="21995"/>
    <cellStyle name="常规 19 6 6 8" xfId="21998"/>
    <cellStyle name="常规 19 6 7" xfId="22001"/>
    <cellStyle name="常规 19 6 7 2" xfId="1178"/>
    <cellStyle name="常规 19 6 7 3" xfId="3623"/>
    <cellStyle name="常规 19 6 7 4" xfId="3634"/>
    <cellStyle name="常规 19 6 7 5" xfId="22004"/>
    <cellStyle name="常规 19 6 7 6" xfId="22008"/>
    <cellStyle name="常规 19 6 7 7" xfId="22012"/>
    <cellStyle name="常规 19 6 7 8" xfId="22015"/>
    <cellStyle name="常规 19 6 8" xfId="22018"/>
    <cellStyle name="常规 19 6 8 2" xfId="2600"/>
    <cellStyle name="常规 19 6 8 3" xfId="3651"/>
    <cellStyle name="常规 19 6 8 4" xfId="3658"/>
    <cellStyle name="常规 19 6 8 5" xfId="22022"/>
    <cellStyle name="常规 19 6 8 6" xfId="22026"/>
    <cellStyle name="常规 19 6 8 7" xfId="22029"/>
    <cellStyle name="常规 19 6 8 8" xfId="22033"/>
    <cellStyle name="常规 19 6 9" xfId="22036"/>
    <cellStyle name="常规 19 6 9 2" xfId="22039"/>
    <cellStyle name="常规 19 6 9 3" xfId="22042"/>
    <cellStyle name="常规 19 6 9 4" xfId="22045"/>
    <cellStyle name="常规 19 6 9 5" xfId="22048"/>
    <cellStyle name="常规 19 6 9 6" xfId="22052"/>
    <cellStyle name="常规 19 6 9 7" xfId="22056"/>
    <cellStyle name="常规 19 6 9 8" xfId="5892"/>
    <cellStyle name="常规 19 7" xfId="23560"/>
    <cellStyle name="常规 19 7 10" xfId="21607"/>
    <cellStyle name="常规 19 7 10 2" xfId="23562"/>
    <cellStyle name="常规 19 7 10 3" xfId="23564"/>
    <cellStyle name="常规 19 7 10 4" xfId="23565"/>
    <cellStyle name="常规 19 7 10 5" xfId="23567"/>
    <cellStyle name="常规 19 7 10 6" xfId="23569"/>
    <cellStyle name="常规 19 7 10 7" xfId="5274"/>
    <cellStyle name="常规 19 7 10 8" xfId="5285"/>
    <cellStyle name="常规 19 7 11" xfId="21609"/>
    <cellStyle name="常规 19 7 11 2" xfId="20642"/>
    <cellStyle name="常规 19 7 11 3" xfId="20650"/>
    <cellStyle name="常规 19 7 11 4" xfId="23570"/>
    <cellStyle name="常规 19 7 11 5" xfId="23571"/>
    <cellStyle name="常规 19 7 11 6" xfId="23572"/>
    <cellStyle name="常规 19 7 11 7" xfId="5295"/>
    <cellStyle name="常规 19 7 11 8" xfId="5229"/>
    <cellStyle name="常规 19 7 12" xfId="21611"/>
    <cellStyle name="常规 19 7 12 2" xfId="20726"/>
    <cellStyle name="常规 19 7 12 3" xfId="20735"/>
    <cellStyle name="常规 19 7 12 4" xfId="23573"/>
    <cellStyle name="常规 19 7 12 5" xfId="23574"/>
    <cellStyle name="常规 19 7 12 6" xfId="23575"/>
    <cellStyle name="常规 19 7 12 7" xfId="5302"/>
    <cellStyle name="常规 19 7 12 8" xfId="5250"/>
    <cellStyle name="常规 19 7 13" xfId="21613"/>
    <cellStyle name="常规 19 7 13 2" xfId="6258"/>
    <cellStyle name="常规 19 7 13 3" xfId="23576"/>
    <cellStyle name="常规 19 7 13 4" xfId="23577"/>
    <cellStyle name="常规 19 7 13 5" xfId="23579"/>
    <cellStyle name="常规 19 7 13 6" xfId="23581"/>
    <cellStyle name="常规 19 7 13 7" xfId="23583"/>
    <cellStyle name="常规 19 7 14" xfId="5785"/>
    <cellStyle name="常规 19 7 15" xfId="23587"/>
    <cellStyle name="常规 19 7 16" xfId="416"/>
    <cellStyle name="常规 19 7 17" xfId="6332"/>
    <cellStyle name="常规 19 7 18" xfId="6336"/>
    <cellStyle name="常规 19 7 19" xfId="23588"/>
    <cellStyle name="常规 19 7 2" xfId="23589"/>
    <cellStyle name="常规 19 7 2 10" xfId="23591"/>
    <cellStyle name="常规 19 7 2 10 2" xfId="23592"/>
    <cellStyle name="常规 19 7 2 10 3" xfId="13051"/>
    <cellStyle name="常规 19 7 2 10 4" xfId="3172"/>
    <cellStyle name="常规 19 7 2 10 5" xfId="13053"/>
    <cellStyle name="常规 19 7 2 10 6" xfId="13055"/>
    <cellStyle name="常规 19 7 2 10 7" xfId="13057"/>
    <cellStyle name="常规 19 7 2 10 8" xfId="13059"/>
    <cellStyle name="常规 19 7 2 11" xfId="23593"/>
    <cellStyle name="常规 19 7 2 11 2" xfId="23594"/>
    <cellStyle name="常规 19 7 2 11 3" xfId="12323"/>
    <cellStyle name="常规 19 7 2 11 4" xfId="1588"/>
    <cellStyle name="常规 19 7 2 11 5" xfId="13061"/>
    <cellStyle name="常规 19 7 2 11 6" xfId="13063"/>
    <cellStyle name="常规 19 7 2 11 7" xfId="13065"/>
    <cellStyle name="常规 19 7 2 11 8" xfId="13067"/>
    <cellStyle name="常规 19 7 2 12" xfId="23595"/>
    <cellStyle name="常规 19 7 2 12 2" xfId="23596"/>
    <cellStyle name="常规 19 7 2 12 3" xfId="12476"/>
    <cellStyle name="常规 19 7 2 12 4" xfId="3727"/>
    <cellStyle name="常规 19 7 2 12 5" xfId="13070"/>
    <cellStyle name="常规 19 7 2 12 6" xfId="13073"/>
    <cellStyle name="常规 19 7 2 12 7" xfId="13076"/>
    <cellStyle name="常规 19 7 2 13" xfId="23598"/>
    <cellStyle name="常规 19 7 2 14" xfId="23600"/>
    <cellStyle name="常规 19 7 2 15" xfId="23601"/>
    <cellStyle name="常规 19 7 2 16" xfId="23602"/>
    <cellStyle name="常规 19 7 2 17" xfId="23603"/>
    <cellStyle name="常规 19 7 2 18" xfId="23604"/>
    <cellStyle name="常规 19 7 2 19" xfId="23606"/>
    <cellStyle name="常规 19 7 2 2" xfId="23607"/>
    <cellStyle name="常规 19 7 2 2 10" xfId="23608"/>
    <cellStyle name="常规 19 7 2 2 10 2" xfId="10539"/>
    <cellStyle name="常规 19 7 2 2 10 3" xfId="14360"/>
    <cellStyle name="常规 19 7 2 2 10 4" xfId="23609"/>
    <cellStyle name="常规 19 7 2 2 10 5" xfId="23610"/>
    <cellStyle name="常规 19 7 2 2 10 6" xfId="23612"/>
    <cellStyle name="常规 19 7 2 2 10 7" xfId="23614"/>
    <cellStyle name="常规 19 7 2 2 11" xfId="23615"/>
    <cellStyle name="常规 19 7 2 2 12" xfId="23616"/>
    <cellStyle name="常规 19 7 2 2 13" xfId="23617"/>
    <cellStyle name="常规 19 7 2 2 14" xfId="23618"/>
    <cellStyle name="常规 19 7 2 2 15" xfId="23619"/>
    <cellStyle name="常规 19 7 2 2 16" xfId="23620"/>
    <cellStyle name="常规 19 7 2 2 17" xfId="9871"/>
    <cellStyle name="常规 19 7 2 2 2" xfId="23621"/>
    <cellStyle name="常规 19 7 2 2 2 2" xfId="23622"/>
    <cellStyle name="常规 19 7 2 2 2 3" xfId="12308"/>
    <cellStyle name="常规 19 7 2 2 2 4" xfId="12310"/>
    <cellStyle name="常规 19 7 2 2 2 5" xfId="21943"/>
    <cellStyle name="常规 19 7 2 2 2 6" xfId="21945"/>
    <cellStyle name="常规 19 7 2 2 2 7" xfId="21947"/>
    <cellStyle name="常规 19 7 2 2 2 8" xfId="21949"/>
    <cellStyle name="常规 19 7 2 2 3" xfId="23623"/>
    <cellStyle name="常规 19 7 2 2 3 2" xfId="23624"/>
    <cellStyle name="常规 19 7 2 2 3 3" xfId="23625"/>
    <cellStyle name="常规 19 7 2 2 3 4" xfId="23626"/>
    <cellStyle name="常规 19 7 2 2 3 5" xfId="23627"/>
    <cellStyle name="常规 19 7 2 2 3 6" xfId="23628"/>
    <cellStyle name="常规 19 7 2 2 3 7" xfId="23629"/>
    <cellStyle name="常规 19 7 2 2 3 8" xfId="23630"/>
    <cellStyle name="常规 19 7 2 2 4" xfId="23631"/>
    <cellStyle name="常规 19 7 2 2 4 2" xfId="23632"/>
    <cellStyle name="常规 19 7 2 2 4 3" xfId="23633"/>
    <cellStyle name="常规 19 7 2 2 4 4" xfId="23634"/>
    <cellStyle name="常规 19 7 2 2 4 5" xfId="23635"/>
    <cellStyle name="常规 19 7 2 2 4 6" xfId="23636"/>
    <cellStyle name="常规 19 7 2 2 4 7" xfId="23637"/>
    <cellStyle name="常规 19 7 2 2 4 8" xfId="23638"/>
    <cellStyle name="常规 19 7 2 2 5" xfId="23639"/>
    <cellStyle name="常规 19 7 2 2 5 2" xfId="23640"/>
    <cellStyle name="常规 19 7 2 2 5 3" xfId="23641"/>
    <cellStyle name="常规 19 7 2 2 5 4" xfId="23643"/>
    <cellStyle name="常规 19 7 2 2 5 5" xfId="23645"/>
    <cellStyle name="常规 19 7 2 2 5 6" xfId="23646"/>
    <cellStyle name="常规 19 7 2 2 5 7" xfId="23647"/>
    <cellStyle name="常规 19 7 2 2 5 8" xfId="23648"/>
    <cellStyle name="常规 19 7 2 2 6" xfId="23649"/>
    <cellStyle name="常规 19 7 2 2 6 2" xfId="23650"/>
    <cellStyle name="常规 19 7 2 2 6 3" xfId="23651"/>
    <cellStyle name="常规 19 7 2 2 6 4" xfId="23653"/>
    <cellStyle name="常规 19 7 2 2 6 5" xfId="23655"/>
    <cellStyle name="常规 19 7 2 2 6 6" xfId="23656"/>
    <cellStyle name="常规 19 7 2 2 6 7" xfId="1512"/>
    <cellStyle name="常规 19 7 2 2 6 8" xfId="1531"/>
    <cellStyle name="常规 19 7 2 2 7" xfId="23657"/>
    <cellStyle name="常规 19 7 2 2 7 2" xfId="23658"/>
    <cellStyle name="常规 19 7 2 2 7 3" xfId="23659"/>
    <cellStyle name="常规 19 7 2 2 7 4" xfId="23660"/>
    <cellStyle name="常规 19 7 2 2 7 5" xfId="23661"/>
    <cellStyle name="常规 19 7 2 2 7 6" xfId="23662"/>
    <cellStyle name="常规 19 7 2 2 7 7" xfId="23663"/>
    <cellStyle name="常规 19 7 2 2 7 8" xfId="23664"/>
    <cellStyle name="常规 19 7 2 2 8" xfId="23665"/>
    <cellStyle name="常规 19 7 2 2 8 2" xfId="23666"/>
    <cellStyle name="常规 19 7 2 2 8 3" xfId="23667"/>
    <cellStyle name="常规 19 7 2 2 8 4" xfId="23669"/>
    <cellStyle name="常规 19 7 2 2 8 5" xfId="23671"/>
    <cellStyle name="常规 19 7 2 2 8 6" xfId="23672"/>
    <cellStyle name="常规 19 7 2 2 8 7" xfId="23673"/>
    <cellStyle name="常规 19 7 2 2 8 8" xfId="23674"/>
    <cellStyle name="常规 19 7 2 2 9" xfId="23675"/>
    <cellStyle name="常规 19 7 2 2 9 2" xfId="20237"/>
    <cellStyle name="常规 19 7 2 2 9 3" xfId="20239"/>
    <cellStyle name="常规 19 7 2 2 9 4" xfId="20242"/>
    <cellStyle name="常规 19 7 2 2 9 5" xfId="23677"/>
    <cellStyle name="常规 19 7 2 2 9 6" xfId="23679"/>
    <cellStyle name="常规 19 7 2 2 9 7" xfId="23681"/>
    <cellStyle name="常规 19 7 2 2 9 8" xfId="23683"/>
    <cellStyle name="常规 19 7 2 3" xfId="23684"/>
    <cellStyle name="常规 19 7 2 3 2" xfId="23685"/>
    <cellStyle name="常规 19 7 2 3 3" xfId="23686"/>
    <cellStyle name="常规 19 7 2 3 4" xfId="23687"/>
    <cellStyle name="常规 19 7 2 3 5" xfId="23688"/>
    <cellStyle name="常规 19 7 2 3 6" xfId="23689"/>
    <cellStyle name="常规 19 7 2 3 7" xfId="23690"/>
    <cellStyle name="常规 19 7 2 3 8" xfId="23691"/>
    <cellStyle name="常规 19 7 2 4" xfId="23693"/>
    <cellStyle name="常规 19 7 2 4 2" xfId="23694"/>
    <cellStyle name="常规 19 7 2 4 3" xfId="23695"/>
    <cellStyle name="常规 19 7 2 4 4" xfId="23696"/>
    <cellStyle name="常规 19 7 2 4 5" xfId="23698"/>
    <cellStyle name="常规 19 7 2 4 6" xfId="23700"/>
    <cellStyle name="常规 19 7 2 4 7" xfId="23701"/>
    <cellStyle name="常规 19 7 2 4 8" xfId="23702"/>
    <cellStyle name="常规 19 7 2 5" xfId="23704"/>
    <cellStyle name="常规 19 7 2 5 2" xfId="23705"/>
    <cellStyle name="常规 19 7 2 5 3" xfId="23706"/>
    <cellStyle name="常规 19 7 2 5 4" xfId="23707"/>
    <cellStyle name="常规 19 7 2 5 5" xfId="23709"/>
    <cellStyle name="常规 19 7 2 5 6" xfId="23711"/>
    <cellStyle name="常规 19 7 2 5 7" xfId="23713"/>
    <cellStyle name="常规 19 7 2 5 8" xfId="23714"/>
    <cellStyle name="常规 19 7 2 6" xfId="23716"/>
    <cellStyle name="常规 19 7 2 6 2" xfId="23718"/>
    <cellStyle name="常规 19 7 2 6 3" xfId="23720"/>
    <cellStyle name="常规 19 7 2 6 4" xfId="23721"/>
    <cellStyle name="常规 19 7 2 6 5" xfId="23723"/>
    <cellStyle name="常规 19 7 2 6 6" xfId="688"/>
    <cellStyle name="常规 19 7 2 6 7" xfId="2509"/>
    <cellStyle name="常规 19 7 2 6 8" xfId="23724"/>
    <cellStyle name="常规 19 7 2 7" xfId="23726"/>
    <cellStyle name="常规 19 7 2 7 2" xfId="23727"/>
    <cellStyle name="常规 19 7 2 7 3" xfId="23728"/>
    <cellStyle name="常规 19 7 2 7 4" xfId="23729"/>
    <cellStyle name="常规 19 7 2 7 5" xfId="23730"/>
    <cellStyle name="常规 19 7 2 7 6" xfId="9416"/>
    <cellStyle name="常规 19 7 2 7 7" xfId="9807"/>
    <cellStyle name="常规 19 7 2 7 8" xfId="23731"/>
    <cellStyle name="常规 19 7 2 8" xfId="23732"/>
    <cellStyle name="常规 19 7 2 8 2" xfId="23733"/>
    <cellStyle name="常规 19 7 2 8 3" xfId="23734"/>
    <cellStyle name="常规 19 7 2 8 4" xfId="23735"/>
    <cellStyle name="常规 19 7 2 8 5" xfId="23736"/>
    <cellStyle name="常规 19 7 2 8 6" xfId="23737"/>
    <cellStyle name="常规 19 7 2 8 7" xfId="23739"/>
    <cellStyle name="常规 19 7 2 8 8" xfId="23741"/>
    <cellStyle name="常规 19 7 2 9" xfId="23742"/>
    <cellStyle name="常规 19 7 2 9 2" xfId="23743"/>
    <cellStyle name="常规 19 7 2 9 3" xfId="23744"/>
    <cellStyle name="常规 19 7 2 9 4" xfId="23745"/>
    <cellStyle name="常规 19 7 2 9 5" xfId="23746"/>
    <cellStyle name="常规 19 7 2 9 6" xfId="23747"/>
    <cellStyle name="常规 19 7 2 9 7" xfId="23748"/>
    <cellStyle name="常规 19 7 2 9 8" xfId="23749"/>
    <cellStyle name="常规 19 7 20" xfId="23586"/>
    <cellStyle name="常规 19 7 3" xfId="385"/>
    <cellStyle name="常规 19 7 3 10" xfId="12742"/>
    <cellStyle name="常规 19 7 3 10 2" xfId="17091"/>
    <cellStyle name="常规 19 7 3 10 3" xfId="17093"/>
    <cellStyle name="常规 19 7 3 10 4" xfId="17095"/>
    <cellStyle name="常规 19 7 3 10 5" xfId="23750"/>
    <cellStyle name="常规 19 7 3 10 6" xfId="23751"/>
    <cellStyle name="常规 19 7 3 10 7" xfId="23752"/>
    <cellStyle name="常规 19 7 3 11" xfId="23753"/>
    <cellStyle name="常规 19 7 3 12" xfId="23754"/>
    <cellStyle name="常规 19 7 3 13" xfId="23755"/>
    <cellStyle name="常规 19 7 3 14" xfId="23756"/>
    <cellStyle name="常规 19 7 3 15" xfId="23757"/>
    <cellStyle name="常规 19 7 3 16" xfId="23758"/>
    <cellStyle name="常规 19 7 3 17" xfId="12514"/>
    <cellStyle name="常规 19 7 3 2" xfId="328"/>
    <cellStyle name="常规 19 7 3 2 2" xfId="126"/>
    <cellStyle name="常规 19 7 3 2 3" xfId="546"/>
    <cellStyle name="常规 19 7 3 2 4" xfId="23759"/>
    <cellStyle name="常规 19 7 3 2 5" xfId="23760"/>
    <cellStyle name="常规 19 7 3 2 6" xfId="23761"/>
    <cellStyle name="常规 19 7 3 2 7" xfId="23762"/>
    <cellStyle name="常规 19 7 3 2 8" xfId="23765"/>
    <cellStyle name="常规 19 7 3 3" xfId="558"/>
    <cellStyle name="常规 19 7 3 3 2" xfId="23766"/>
    <cellStyle name="常规 19 7 3 3 3" xfId="23767"/>
    <cellStyle name="常规 19 7 3 3 4" xfId="23768"/>
    <cellStyle name="常规 19 7 3 3 5" xfId="23769"/>
    <cellStyle name="常规 19 7 3 3 6" xfId="23770"/>
    <cellStyle name="常规 19 7 3 3 7" xfId="23771"/>
    <cellStyle name="常规 19 7 3 3 8" xfId="23773"/>
    <cellStyle name="常规 19 7 3 4" xfId="23775"/>
    <cellStyle name="常规 19 7 3 4 2" xfId="1509"/>
    <cellStyle name="常规 19 7 3 4 3" xfId="1528"/>
    <cellStyle name="常规 19 7 3 4 4" xfId="23777"/>
    <cellStyle name="常规 19 7 3 4 5" xfId="7561"/>
    <cellStyle name="常规 19 7 3 4 6" xfId="8195"/>
    <cellStyle name="常规 19 7 3 4 7" xfId="8211"/>
    <cellStyle name="常规 19 7 3 4 8" xfId="23779"/>
    <cellStyle name="常规 19 7 3 5" xfId="23781"/>
    <cellStyle name="常规 19 7 3 5 2" xfId="7128"/>
    <cellStyle name="常规 19 7 3 5 3" xfId="23782"/>
    <cellStyle name="常规 19 7 3 5 4" xfId="23783"/>
    <cellStyle name="常规 19 7 3 5 5" xfId="736"/>
    <cellStyle name="常规 19 7 3 5 6" xfId="778"/>
    <cellStyle name="常规 19 7 3 5 7" xfId="23785"/>
    <cellStyle name="常规 19 7 3 5 8" xfId="23786"/>
    <cellStyle name="常规 19 7 3 6" xfId="23788"/>
    <cellStyle name="常规 19 7 3 6 2" xfId="5297"/>
    <cellStyle name="常规 19 7 3 6 3" xfId="23789"/>
    <cellStyle name="常规 19 7 3 6 4" xfId="23790"/>
    <cellStyle name="常规 19 7 3 6 5" xfId="814"/>
    <cellStyle name="常规 19 7 3 6 6" xfId="834"/>
    <cellStyle name="常规 19 7 3 6 7" xfId="2592"/>
    <cellStyle name="常规 19 7 3 6 8" xfId="23791"/>
    <cellStyle name="常规 19 7 3 7" xfId="23793"/>
    <cellStyle name="常规 19 7 3 7 2" xfId="5233"/>
    <cellStyle name="常规 19 7 3 7 3" xfId="23794"/>
    <cellStyle name="常规 19 7 3 7 4" xfId="23795"/>
    <cellStyle name="常规 19 7 3 7 5" xfId="23796"/>
    <cellStyle name="常规 19 7 3 7 6" xfId="23797"/>
    <cellStyle name="常规 19 7 3 7 7" xfId="23798"/>
    <cellStyle name="常规 19 7 3 7 8" xfId="23799"/>
    <cellStyle name="常规 19 7 3 8" xfId="23800"/>
    <cellStyle name="常规 19 7 3 8 2" xfId="23801"/>
    <cellStyle name="常规 19 7 3 8 3" xfId="23802"/>
    <cellStyle name="常规 19 7 3 8 4" xfId="23803"/>
    <cellStyle name="常规 19 7 3 8 5" xfId="23804"/>
    <cellStyle name="常规 19 7 3 8 6" xfId="23805"/>
    <cellStyle name="常规 19 7 3 8 7" xfId="23806"/>
    <cellStyle name="常规 19 7 3 8 8" xfId="23807"/>
    <cellStyle name="常规 19 7 3 9" xfId="23808"/>
    <cellStyle name="常规 19 7 3 9 2" xfId="23809"/>
    <cellStyle name="常规 19 7 3 9 3" xfId="23810"/>
    <cellStyle name="常规 19 7 3 9 4" xfId="23811"/>
    <cellStyle name="常规 19 7 3 9 5" xfId="23812"/>
    <cellStyle name="常规 19 7 3 9 6" xfId="23813"/>
    <cellStyle name="常规 19 7 3 9 7" xfId="23814"/>
    <cellStyle name="常规 19 7 3 9 8" xfId="23815"/>
    <cellStyle name="常规 19 7 4" xfId="401"/>
    <cellStyle name="常规 19 7 4 2" xfId="350"/>
    <cellStyle name="常规 19 7 4 3" xfId="570"/>
    <cellStyle name="常规 19 7 4 4" xfId="23816"/>
    <cellStyle name="常规 19 7 4 5" xfId="23817"/>
    <cellStyle name="常规 19 7 4 6" xfId="23818"/>
    <cellStyle name="常规 19 7 4 7" xfId="23820"/>
    <cellStyle name="常规 19 7 4 8" xfId="23822"/>
    <cellStyle name="常规 19 7 5" xfId="79"/>
    <cellStyle name="常规 19 7 5 2" xfId="23823"/>
    <cellStyle name="常规 19 7 5 3" xfId="23825"/>
    <cellStyle name="常规 19 7 5 4" xfId="23827"/>
    <cellStyle name="常规 19 7 5 5" xfId="7077"/>
    <cellStyle name="常规 19 7 5 6" xfId="7160"/>
    <cellStyle name="常规 19 7 5 7" xfId="7212"/>
    <cellStyle name="常规 19 7 5 8" xfId="7325"/>
    <cellStyle name="常规 19 7 6" xfId="2343"/>
    <cellStyle name="常规 19 7 6 2" xfId="2363"/>
    <cellStyle name="常规 19 7 6 3" xfId="539"/>
    <cellStyle name="常规 19 7 6 4" xfId="15130"/>
    <cellStyle name="常规 19 7 6 5" xfId="15133"/>
    <cellStyle name="常规 19 7 6 6" xfId="15137"/>
    <cellStyle name="常规 19 7 6 7" xfId="15141"/>
    <cellStyle name="常规 19 7 6 8" xfId="23828"/>
    <cellStyle name="常规 19 7 7" xfId="1227"/>
    <cellStyle name="常规 19 7 7 2" xfId="2214"/>
    <cellStyle name="常规 19 7 7 3" xfId="621"/>
    <cellStyle name="常规 19 7 7 4" xfId="658"/>
    <cellStyle name="常规 19 7 7 5" xfId="15144"/>
    <cellStyle name="常规 19 7 7 6" xfId="15147"/>
    <cellStyle name="常规 19 7 7 7" xfId="15150"/>
    <cellStyle name="常规 19 7 7 8" xfId="23829"/>
    <cellStyle name="常规 19 7 8" xfId="3497"/>
    <cellStyle name="常规 19 7 8 2" xfId="3503"/>
    <cellStyle name="常规 19 7 8 3" xfId="720"/>
    <cellStyle name="常规 19 7 8 4" xfId="15154"/>
    <cellStyle name="常规 19 7 8 5" xfId="15157"/>
    <cellStyle name="常规 19 7 8 6" xfId="13292"/>
    <cellStyle name="常规 19 7 8 7" xfId="13297"/>
    <cellStyle name="常规 19 7 8 8" xfId="13302"/>
    <cellStyle name="常规 19 7 9" xfId="3506"/>
    <cellStyle name="常规 19 7 9 2" xfId="3382"/>
    <cellStyle name="常规 19 7 9 3" xfId="862"/>
    <cellStyle name="常规 19 7 9 4" xfId="15162"/>
    <cellStyle name="常规 19 7 9 5" xfId="15167"/>
    <cellStyle name="常规 19 7 9 6" xfId="13312"/>
    <cellStyle name="常规 19 7 9 7" xfId="13317"/>
    <cellStyle name="常规 19 7 9 8" xfId="992"/>
    <cellStyle name="常规 19 8" xfId="23831"/>
    <cellStyle name="常规 19 8 10" xfId="23832"/>
    <cellStyle name="常规 19 8 10 2" xfId="18859"/>
    <cellStyle name="常规 19 8 10 3" xfId="18861"/>
    <cellStyle name="常规 19 8 10 4" xfId="9999"/>
    <cellStyle name="常规 19 8 10 5" xfId="11106"/>
    <cellStyle name="常规 19 8 10 6" xfId="18863"/>
    <cellStyle name="常规 19 8 10 7" xfId="18865"/>
    <cellStyle name="常规 19 8 10 8" xfId="17377"/>
    <cellStyle name="常规 19 8 11" xfId="23833"/>
    <cellStyle name="常规 19 8 11 2" xfId="23834"/>
    <cellStyle name="常规 19 8 11 3" xfId="23835"/>
    <cellStyle name="常规 19 8 11 4" xfId="23836"/>
    <cellStyle name="常规 19 8 11 5" xfId="23837"/>
    <cellStyle name="常规 19 8 11 6" xfId="23838"/>
    <cellStyle name="常规 19 8 11 7" xfId="23839"/>
    <cellStyle name="常规 19 8 11 8" xfId="17389"/>
    <cellStyle name="常规 19 8 12" xfId="23840"/>
    <cellStyle name="常规 19 8 12 2" xfId="23842"/>
    <cellStyle name="常规 19 8 12 3" xfId="23843"/>
    <cellStyle name="常规 19 8 12 4" xfId="23844"/>
    <cellStyle name="常规 19 8 12 5" xfId="23845"/>
    <cellStyle name="常规 19 8 12 6" xfId="23847"/>
    <cellStyle name="常规 19 8 12 7" xfId="23849"/>
    <cellStyle name="常规 19 8 12 8" xfId="23850"/>
    <cellStyle name="常规 19 8 13" xfId="23851"/>
    <cellStyle name="常规 19 8 13 2" xfId="23853"/>
    <cellStyle name="常规 19 8 13 3" xfId="23855"/>
    <cellStyle name="常规 19 8 13 4" xfId="23856"/>
    <cellStyle name="常规 19 8 13 5" xfId="23857"/>
    <cellStyle name="常规 19 8 13 6" xfId="23859"/>
    <cellStyle name="常规 19 8 13 7" xfId="23861"/>
    <cellStyle name="常规 19 8 14" xfId="23862"/>
    <cellStyle name="常规 19 8 15" xfId="23864"/>
    <cellStyle name="常规 19 8 16" xfId="23865"/>
    <cellStyle name="常规 19 8 17" xfId="9380"/>
    <cellStyle name="常规 19 8 18" xfId="9384"/>
    <cellStyle name="常规 19 8 19" xfId="23866"/>
    <cellStyle name="常规 19 8 2" xfId="9059"/>
    <cellStyle name="常规 19 8 2 10" xfId="23868"/>
    <cellStyle name="常规 19 8 2 10 2" xfId="23870"/>
    <cellStyle name="常规 19 8 2 10 3" xfId="23872"/>
    <cellStyle name="常规 19 8 2 10 4" xfId="23874"/>
    <cellStyle name="常规 19 8 2 10 5" xfId="23876"/>
    <cellStyle name="常规 19 8 2 10 6" xfId="23878"/>
    <cellStyle name="常规 19 8 2 10 7" xfId="23879"/>
    <cellStyle name="常规 19 8 2 10 8" xfId="268"/>
    <cellStyle name="常规 19 8 2 11" xfId="23881"/>
    <cellStyle name="常规 19 8 2 11 2" xfId="23883"/>
    <cellStyle name="常规 19 8 2 11 3" xfId="23885"/>
    <cellStyle name="常规 19 8 2 11 4" xfId="23887"/>
    <cellStyle name="常规 19 8 2 11 5" xfId="23889"/>
    <cellStyle name="常规 19 8 2 11 6" xfId="23890"/>
    <cellStyle name="常规 19 8 2 11 7" xfId="23891"/>
    <cellStyle name="常规 19 8 2 11 8" xfId="23892"/>
    <cellStyle name="常规 19 8 2 12" xfId="23893"/>
    <cellStyle name="常规 19 8 2 12 2" xfId="23895"/>
    <cellStyle name="常规 19 8 2 12 3" xfId="23896"/>
    <cellStyle name="常规 19 8 2 12 4" xfId="23897"/>
    <cellStyle name="常规 19 8 2 12 5" xfId="23898"/>
    <cellStyle name="常规 19 8 2 12 6" xfId="23899"/>
    <cellStyle name="常规 19 8 2 12 7" xfId="23900"/>
    <cellStyle name="常规 19 8 2 13" xfId="23901"/>
    <cellStyle name="常规 19 8 2 14" xfId="19609"/>
    <cellStyle name="常规 19 8 2 15" xfId="18768"/>
    <cellStyle name="常规 19 8 2 16" xfId="18771"/>
    <cellStyle name="常规 19 8 2 17" xfId="18774"/>
    <cellStyle name="常规 19 8 2 18" xfId="18779"/>
    <cellStyle name="常规 19 8 2 19" xfId="18784"/>
    <cellStyle name="常规 19 8 2 2" xfId="21354"/>
    <cellStyle name="常规 19 8 2 2 10" xfId="8785"/>
    <cellStyle name="常规 19 8 2 2 10 2" xfId="8791"/>
    <cellStyle name="常规 19 8 2 2 10 3" xfId="8794"/>
    <cellStyle name="常规 19 8 2 2 10 4" xfId="23902"/>
    <cellStyle name="常规 19 8 2 2 10 5" xfId="23903"/>
    <cellStyle name="常规 19 8 2 2 10 6" xfId="23904"/>
    <cellStyle name="常规 19 8 2 2 10 7" xfId="23905"/>
    <cellStyle name="常规 19 8 2 2 11" xfId="8759"/>
    <cellStyle name="常规 19 8 2 2 12" xfId="8779"/>
    <cellStyle name="常规 19 8 2 2 13" xfId="9220"/>
    <cellStyle name="常规 19 8 2 2 14" xfId="9506"/>
    <cellStyle name="常规 19 8 2 2 15" xfId="23906"/>
    <cellStyle name="常规 19 8 2 2 16" xfId="23907"/>
    <cellStyle name="常规 19 8 2 2 17" xfId="1432"/>
    <cellStyle name="常规 19 8 2 2 2" xfId="23908"/>
    <cellStyle name="常规 19 8 2 2 2 2" xfId="23910"/>
    <cellStyle name="常规 19 8 2 2 2 3" xfId="23911"/>
    <cellStyle name="常规 19 8 2 2 2 4" xfId="8993"/>
    <cellStyle name="常规 19 8 2 2 2 5" xfId="9106"/>
    <cellStyle name="常规 19 8 2 2 2 6" xfId="8752"/>
    <cellStyle name="常规 19 8 2 2 2 7" xfId="8830"/>
    <cellStyle name="常规 19 8 2 2 2 8" xfId="8842"/>
    <cellStyle name="常规 19 8 2 2 3" xfId="23912"/>
    <cellStyle name="常规 19 8 2 2 3 2" xfId="23913"/>
    <cellStyle name="常规 19 8 2 2 3 3" xfId="23914"/>
    <cellStyle name="常规 19 8 2 2 3 4" xfId="23915"/>
    <cellStyle name="常规 19 8 2 2 3 5" xfId="23916"/>
    <cellStyle name="常规 19 8 2 2 3 6" xfId="8886"/>
    <cellStyle name="常规 19 8 2 2 3 7" xfId="8892"/>
    <cellStyle name="常规 19 8 2 2 3 8" xfId="8901"/>
    <cellStyle name="常规 19 8 2 2 4" xfId="23917"/>
    <cellStyle name="常规 19 8 2 2 4 2" xfId="23918"/>
    <cellStyle name="常规 19 8 2 2 4 3" xfId="23919"/>
    <cellStyle name="常规 19 8 2 2 4 4" xfId="23920"/>
    <cellStyle name="常规 19 8 2 2 4 5" xfId="23921"/>
    <cellStyle name="常规 19 8 2 2 4 6" xfId="2490"/>
    <cellStyle name="常规 19 8 2 2 4 7" xfId="3577"/>
    <cellStyle name="常规 19 8 2 2 4 8" xfId="3585"/>
    <cellStyle name="常规 19 8 2 2 5" xfId="23922"/>
    <cellStyle name="常规 19 8 2 2 5 2" xfId="9079"/>
    <cellStyle name="常规 19 8 2 2 5 3" xfId="23923"/>
    <cellStyle name="常规 19 8 2 2 5 4" xfId="23925"/>
    <cellStyle name="常规 19 8 2 2 5 5" xfId="2515"/>
    <cellStyle name="常规 19 8 2 2 5 6" xfId="2532"/>
    <cellStyle name="常规 19 8 2 2 5 7" xfId="3597"/>
    <cellStyle name="常规 19 8 2 2 5 8" xfId="3604"/>
    <cellStyle name="常规 19 8 2 2 6" xfId="23926"/>
    <cellStyle name="常规 19 8 2 2 6 2" xfId="9090"/>
    <cellStyle name="常规 19 8 2 2 6 3" xfId="23928"/>
    <cellStyle name="常规 19 8 2 2 6 4" xfId="23931"/>
    <cellStyle name="常规 19 8 2 2 6 5" xfId="9812"/>
    <cellStyle name="常规 19 8 2 2 6 6" xfId="5770"/>
    <cellStyle name="常规 19 8 2 2 6 7" xfId="4639"/>
    <cellStyle name="常规 19 8 2 2 6 8" xfId="4652"/>
    <cellStyle name="常规 19 8 2 2 7" xfId="17500"/>
    <cellStyle name="常规 19 8 2 2 7 2" xfId="23933"/>
    <cellStyle name="常规 19 8 2 2 7 3" xfId="23935"/>
    <cellStyle name="常规 19 8 2 2 7 4" xfId="23937"/>
    <cellStyle name="常规 19 8 2 2 7 5" xfId="23940"/>
    <cellStyle name="常规 19 8 2 2 7 6" xfId="5880"/>
    <cellStyle name="常规 19 8 2 2 7 7" xfId="5942"/>
    <cellStyle name="常规 19 8 2 2 7 8" xfId="23941"/>
    <cellStyle name="常规 19 8 2 2 8" xfId="17505"/>
    <cellStyle name="常规 19 8 2 2 8 2" xfId="23943"/>
    <cellStyle name="常规 19 8 2 2 8 3" xfId="23944"/>
    <cellStyle name="常规 19 8 2 2 8 4" xfId="23946"/>
    <cellStyle name="常规 19 8 2 2 8 5" xfId="23948"/>
    <cellStyle name="常规 19 8 2 2 8 6" xfId="5058"/>
    <cellStyle name="常规 19 8 2 2 8 7" xfId="23949"/>
    <cellStyle name="常规 19 8 2 2 8 8" xfId="23950"/>
    <cellStyle name="常规 19 8 2 2 9" xfId="17510"/>
    <cellStyle name="常规 19 8 2 2 9 2" xfId="23952"/>
    <cellStyle name="常规 19 8 2 2 9 3" xfId="23953"/>
    <cellStyle name="常规 19 8 2 2 9 4" xfId="23954"/>
    <cellStyle name="常规 19 8 2 2 9 5" xfId="23956"/>
    <cellStyle name="常规 19 8 2 2 9 6" xfId="23958"/>
    <cellStyle name="常规 19 8 2 2 9 7" xfId="23959"/>
    <cellStyle name="常规 19 8 2 2 9 8" xfId="23960"/>
    <cellStyle name="常规 19 8 2 3" xfId="21357"/>
    <cellStyle name="常规 19 8 2 3 2" xfId="23961"/>
    <cellStyle name="常规 19 8 2 3 3" xfId="23962"/>
    <cellStyle name="常规 19 8 2 3 4" xfId="23963"/>
    <cellStyle name="常规 19 8 2 3 5" xfId="23964"/>
    <cellStyle name="常规 19 8 2 3 6" xfId="23965"/>
    <cellStyle name="常规 19 8 2 3 7" xfId="17522"/>
    <cellStyle name="常规 19 8 2 3 8" xfId="17525"/>
    <cellStyle name="常规 19 8 2 4" xfId="21361"/>
    <cellStyle name="常规 19 8 2 4 2" xfId="23966"/>
    <cellStyle name="常规 19 8 2 4 3" xfId="23968"/>
    <cellStyle name="常规 19 8 2 4 4" xfId="23969"/>
    <cellStyle name="常规 19 8 2 4 5" xfId="23971"/>
    <cellStyle name="常规 19 8 2 4 6" xfId="23973"/>
    <cellStyle name="常规 19 8 2 4 7" xfId="17531"/>
    <cellStyle name="常规 19 8 2 4 8" xfId="17533"/>
    <cellStyle name="常规 19 8 2 5" xfId="21365"/>
    <cellStyle name="常规 19 8 2 5 2" xfId="23974"/>
    <cellStyle name="常规 19 8 2 5 3" xfId="23975"/>
    <cellStyle name="常规 19 8 2 5 4" xfId="23976"/>
    <cellStyle name="常规 19 8 2 5 5" xfId="23978"/>
    <cellStyle name="常规 19 8 2 5 6" xfId="23980"/>
    <cellStyle name="常规 19 8 2 5 7" xfId="17541"/>
    <cellStyle name="常规 19 8 2 5 8" xfId="17543"/>
    <cellStyle name="常规 19 8 2 6" xfId="5328"/>
    <cellStyle name="常规 19 8 2 6 2" xfId="23982"/>
    <cellStyle name="常规 19 8 2 6 3" xfId="23984"/>
    <cellStyle name="常规 19 8 2 6 4" xfId="23985"/>
    <cellStyle name="常规 19 8 2 6 5" xfId="23986"/>
    <cellStyle name="常规 19 8 2 6 6" xfId="1143"/>
    <cellStyle name="常规 19 8 2 6 7" xfId="2372"/>
    <cellStyle name="常规 19 8 2 6 8" xfId="23987"/>
    <cellStyle name="常规 19 8 2 7" xfId="23989"/>
    <cellStyle name="常规 19 8 2 7 2" xfId="23990"/>
    <cellStyle name="常规 19 8 2 7 3" xfId="23991"/>
    <cellStyle name="常规 19 8 2 7 4" xfId="23992"/>
    <cellStyle name="常规 19 8 2 7 5" xfId="18723"/>
    <cellStyle name="常规 19 8 2 7 6" xfId="3005"/>
    <cellStyle name="常规 19 8 2 7 7" xfId="7254"/>
    <cellStyle name="常规 19 8 2 7 8" xfId="6182"/>
    <cellStyle name="常规 19 8 2 8" xfId="23993"/>
    <cellStyle name="常规 19 8 2 8 2" xfId="23994"/>
    <cellStyle name="常规 19 8 2 8 3" xfId="23995"/>
    <cellStyle name="常规 19 8 2 8 4" xfId="23996"/>
    <cellStyle name="常规 19 8 2 8 5" xfId="2916"/>
    <cellStyle name="常规 19 8 2 8 6" xfId="2922"/>
    <cellStyle name="常规 19 8 2 8 7" xfId="23997"/>
    <cellStyle name="常规 19 8 2 8 8" xfId="23998"/>
    <cellStyle name="常规 19 8 2 9" xfId="23999"/>
    <cellStyle name="常规 19 8 2 9 2" xfId="24000"/>
    <cellStyle name="常规 19 8 2 9 3" xfId="24001"/>
    <cellStyle name="常规 19 8 2 9 4" xfId="24002"/>
    <cellStyle name="常规 19 8 2 9 5" xfId="24003"/>
    <cellStyle name="常规 19 8 2 9 6" xfId="24004"/>
    <cellStyle name="常规 19 8 2 9 7" xfId="24005"/>
    <cellStyle name="常规 19 8 2 9 8" xfId="24006"/>
    <cellStyle name="常规 19 8 20" xfId="23863"/>
    <cellStyle name="常规 19 8 3" xfId="437"/>
    <cellStyle name="常规 19 8 3 10" xfId="24007"/>
    <cellStyle name="常规 19 8 3 10 2" xfId="24011"/>
    <cellStyle name="常规 19 8 3 10 3" xfId="24013"/>
    <cellStyle name="常规 19 8 3 10 4" xfId="24015"/>
    <cellStyle name="常规 19 8 3 10 5" xfId="24016"/>
    <cellStyle name="常规 19 8 3 10 6" xfId="24017"/>
    <cellStyle name="常规 19 8 3 10 7" xfId="24018"/>
    <cellStyle name="常规 19 8 3 11" xfId="24019"/>
    <cellStyle name="常规 19 8 3 12" xfId="7116"/>
    <cellStyle name="常规 19 8 3 13" xfId="1353"/>
    <cellStyle name="常规 19 8 3 14" xfId="24021"/>
    <cellStyle name="常规 19 8 3 15" xfId="24023"/>
    <cellStyle name="常规 19 8 3 16" xfId="24025"/>
    <cellStyle name="常规 19 8 3 17" xfId="24027"/>
    <cellStyle name="常规 19 8 3 2" xfId="576"/>
    <cellStyle name="常规 19 8 3 2 2" xfId="13273"/>
    <cellStyle name="常规 19 8 3 2 3" xfId="11617"/>
    <cellStyle name="常规 19 8 3 2 4" xfId="11622"/>
    <cellStyle name="常规 19 8 3 2 5" xfId="11628"/>
    <cellStyle name="常规 19 8 3 2 6" xfId="13275"/>
    <cellStyle name="常规 19 8 3 2 7" xfId="24028"/>
    <cellStyle name="常规 19 8 3 2 8" xfId="15087"/>
    <cellStyle name="常规 19 8 3 3" xfId="588"/>
    <cellStyle name="常规 19 8 3 3 2" xfId="13277"/>
    <cellStyle name="常规 19 8 3 3 3" xfId="11632"/>
    <cellStyle name="常规 19 8 3 3 4" xfId="11639"/>
    <cellStyle name="常规 19 8 3 3 5" xfId="13279"/>
    <cellStyle name="常规 19 8 3 3 6" xfId="13281"/>
    <cellStyle name="常规 19 8 3 3 7" xfId="24029"/>
    <cellStyle name="常规 19 8 3 3 8" xfId="24030"/>
    <cellStyle name="常规 19 8 3 4" xfId="21375"/>
    <cellStyle name="常规 19 8 3 4 2" xfId="6974"/>
    <cellStyle name="常规 19 8 3 4 3" xfId="7169"/>
    <cellStyle name="常规 19 8 3 4 4" xfId="7713"/>
    <cellStyle name="常规 19 8 3 4 5" xfId="7724"/>
    <cellStyle name="常规 19 8 3 4 6" xfId="8261"/>
    <cellStyle name="常规 19 8 3 4 7" xfId="24031"/>
    <cellStyle name="常规 19 8 3 4 8" xfId="24033"/>
    <cellStyle name="常规 19 8 3 5" xfId="21379"/>
    <cellStyle name="常规 19 8 3 5 2" xfId="7174"/>
    <cellStyle name="常规 19 8 3 5 3" xfId="7735"/>
    <cellStyle name="常规 19 8 3 5 4" xfId="7754"/>
    <cellStyle name="常规 19 8 3 5 5" xfId="185"/>
    <cellStyle name="常规 19 8 3 5 6" xfId="1207"/>
    <cellStyle name="常规 19 8 3 5 7" xfId="24035"/>
    <cellStyle name="常规 19 8 3 5 8" xfId="24036"/>
    <cellStyle name="常规 19 8 3 6" xfId="21383"/>
    <cellStyle name="常规 19 8 3 6 2" xfId="7184"/>
    <cellStyle name="常规 19 8 3 6 3" xfId="7768"/>
    <cellStyle name="常规 19 8 3 6 4" xfId="7776"/>
    <cellStyle name="常规 19 8 3 6 5" xfId="13167"/>
    <cellStyle name="常规 19 8 3 6 6" xfId="24037"/>
    <cellStyle name="常规 19 8 3 6 7" xfId="24038"/>
    <cellStyle name="常规 19 8 3 6 8" xfId="24039"/>
    <cellStyle name="常规 19 8 3 7" xfId="24041"/>
    <cellStyle name="常规 19 8 3 7 2" xfId="24042"/>
    <cellStyle name="常规 19 8 3 7 3" xfId="24043"/>
    <cellStyle name="常规 19 8 3 7 4" xfId="24044"/>
    <cellStyle name="常规 19 8 3 7 5" xfId="24045"/>
    <cellStyle name="常规 19 8 3 7 6" xfId="24046"/>
    <cellStyle name="常规 19 8 3 7 7" xfId="24047"/>
    <cellStyle name="常规 19 8 3 7 8" xfId="7364"/>
    <cellStyle name="常规 19 8 3 8" xfId="24048"/>
    <cellStyle name="常规 19 8 3 8 2" xfId="24049"/>
    <cellStyle name="常规 19 8 3 8 3" xfId="24050"/>
    <cellStyle name="常规 19 8 3 8 4" xfId="24051"/>
    <cellStyle name="常规 19 8 3 8 5" xfId="24052"/>
    <cellStyle name="常规 19 8 3 8 6" xfId="24053"/>
    <cellStyle name="常规 19 8 3 8 7" xfId="24054"/>
    <cellStyle name="常规 19 8 3 8 8" xfId="24055"/>
    <cellStyle name="常规 19 8 3 9" xfId="24056"/>
    <cellStyle name="常规 19 8 3 9 2" xfId="24057"/>
    <cellStyle name="常规 19 8 3 9 3" xfId="24058"/>
    <cellStyle name="常规 19 8 3 9 4" xfId="24059"/>
    <cellStyle name="常规 19 8 3 9 5" xfId="24060"/>
    <cellStyle name="常规 19 8 3 9 6" xfId="24061"/>
    <cellStyle name="常规 19 8 3 9 7" xfId="24062"/>
    <cellStyle name="常规 19 8 3 9 8" xfId="24064"/>
    <cellStyle name="常规 19 8 4" xfId="360"/>
    <cellStyle name="常规 19 8 4 2" xfId="21395"/>
    <cellStyle name="常规 19 8 4 3" xfId="21398"/>
    <cellStyle name="常规 19 8 4 4" xfId="21401"/>
    <cellStyle name="常规 19 8 4 5" xfId="11555"/>
    <cellStyle name="常规 19 8 4 6" xfId="6383"/>
    <cellStyle name="常规 19 8 4 7" xfId="6392"/>
    <cellStyle name="常规 19 8 4 8" xfId="24065"/>
    <cellStyle name="常规 19 8 5" xfId="286"/>
    <cellStyle name="常规 19 8 5 2" xfId="2390"/>
    <cellStyle name="常规 19 8 5 3" xfId="2402"/>
    <cellStyle name="常规 19 8 5 4" xfId="16760"/>
    <cellStyle name="常规 19 8 5 5" xfId="7415"/>
    <cellStyle name="常规 19 8 5 6" xfId="7512"/>
    <cellStyle name="常规 19 8 5 7" xfId="7687"/>
    <cellStyle name="常规 19 8 5 8" xfId="7836"/>
    <cellStyle name="常规 19 8 6" xfId="2414"/>
    <cellStyle name="常规 19 8 6 2" xfId="21416"/>
    <cellStyle name="常规 19 8 6 3" xfId="21420"/>
    <cellStyle name="常规 19 8 6 4" xfId="21423"/>
    <cellStyle name="常规 19 8 6 5" xfId="18971"/>
    <cellStyle name="常规 19 8 6 6" xfId="7018"/>
    <cellStyle name="常规 19 8 6 7" xfId="24066"/>
    <cellStyle name="常规 19 8 6 8" xfId="24067"/>
    <cellStyle name="常规 19 8 7" xfId="3518"/>
    <cellStyle name="常规 19 8 7 2" xfId="3523"/>
    <cellStyle name="常规 19 8 7 3" xfId="1103"/>
    <cellStyle name="常规 19 8 7 4" xfId="24068"/>
    <cellStyle name="常规 19 8 7 5" xfId="24069"/>
    <cellStyle name="常规 19 8 7 6" xfId="24070"/>
    <cellStyle name="常规 19 8 7 7" xfId="24071"/>
    <cellStyle name="常规 19 8 7 8" xfId="24072"/>
    <cellStyle name="常规 19 8 8" xfId="3526"/>
    <cellStyle name="常规 19 8 8 2" xfId="24073"/>
    <cellStyle name="常规 19 8 8 3" xfId="24074"/>
    <cellStyle name="常规 19 8 8 4" xfId="24075"/>
    <cellStyle name="常规 19 8 8 5" xfId="24076"/>
    <cellStyle name="常规 19 8 8 6" xfId="24077"/>
    <cellStyle name="常规 19 8 8 7" xfId="24078"/>
    <cellStyle name="常规 19 8 8 8" xfId="24080"/>
    <cellStyle name="常规 19 8 9" xfId="4517"/>
    <cellStyle name="常规 19 8 9 2" xfId="24082"/>
    <cellStyle name="常规 19 8 9 3" xfId="24084"/>
    <cellStyle name="常规 19 8 9 4" xfId="24086"/>
    <cellStyle name="常规 19 8 9 5" xfId="24087"/>
    <cellStyle name="常规 19 8 9 6" xfId="24088"/>
    <cellStyle name="常规 19 8 9 7" xfId="24090"/>
    <cellStyle name="常规 19 8 9 8" xfId="24093"/>
    <cellStyle name="常规 19 9" xfId="24095"/>
    <cellStyle name="常规 19 9 10" xfId="24096"/>
    <cellStyle name="常规 19 9 10 2" xfId="24097"/>
    <cellStyle name="常规 19 9 10 3" xfId="24098"/>
    <cellStyle name="常规 19 9 10 4" xfId="8364"/>
    <cellStyle name="常规 19 9 10 5" xfId="8379"/>
    <cellStyle name="常规 19 9 10 6" xfId="8390"/>
    <cellStyle name="常规 19 9 10 7" xfId="24100"/>
    <cellStyle name="常规 19 9 10 8" xfId="24102"/>
    <cellStyle name="常规 19 9 11" xfId="24103"/>
    <cellStyle name="常规 19 9 11 2" xfId="24104"/>
    <cellStyle name="常规 19 9 11 3" xfId="24105"/>
    <cellStyle name="常规 19 9 11 4" xfId="6851"/>
    <cellStyle name="常规 19 9 11 5" xfId="6870"/>
    <cellStyle name="常规 19 9 11 6" xfId="24107"/>
    <cellStyle name="常规 19 9 11 7" xfId="24109"/>
    <cellStyle name="常规 19 9 11 8" xfId="24112"/>
    <cellStyle name="常规 19 9 12" xfId="24113"/>
    <cellStyle name="常规 19 9 12 2" xfId="24114"/>
    <cellStyle name="常规 19 9 12 3" xfId="24115"/>
    <cellStyle name="常规 19 9 12 4" xfId="2318"/>
    <cellStyle name="常规 19 9 12 5" xfId="8401"/>
    <cellStyle name="常规 19 9 12 6" xfId="24117"/>
    <cellStyle name="常规 19 9 12 7" xfId="24119"/>
    <cellStyle name="常规 19 9 13" xfId="24120"/>
    <cellStyle name="常规 19 9 14" xfId="11847"/>
    <cellStyle name="常规 19 9 15" xfId="11850"/>
    <cellStyle name="常规 19 9 16" xfId="24122"/>
    <cellStyle name="常规 19 9 17" xfId="24123"/>
    <cellStyle name="常规 19 9 18" xfId="24124"/>
    <cellStyle name="常规 19 9 19" xfId="24125"/>
    <cellStyle name="常规 19 9 2" xfId="909"/>
    <cellStyle name="常规 19 9 2 10" xfId="5616"/>
    <cellStyle name="常规 19 9 2 10 2" xfId="3400"/>
    <cellStyle name="常规 19 9 2 10 3" xfId="24126"/>
    <cellStyle name="常规 19 9 2 10 4" xfId="24127"/>
    <cellStyle name="常规 19 9 2 10 5" xfId="24128"/>
    <cellStyle name="常规 19 9 2 10 6" xfId="24129"/>
    <cellStyle name="常规 19 9 2 10 7" xfId="24130"/>
    <cellStyle name="常规 19 9 2 11" xfId="14832"/>
    <cellStyle name="常规 19 9 2 12" xfId="24131"/>
    <cellStyle name="常规 19 9 2 13" xfId="24132"/>
    <cellStyle name="常规 19 9 2 14" xfId="24133"/>
    <cellStyle name="常规 19 9 2 15" xfId="24134"/>
    <cellStyle name="常规 19 9 2 16" xfId="24136"/>
    <cellStyle name="常规 19 9 2 17" xfId="24138"/>
    <cellStyle name="常规 19 9 2 2" xfId="21454"/>
    <cellStyle name="常规 19 9 2 2 2" xfId="24139"/>
    <cellStyle name="常规 19 9 2 2 3" xfId="24140"/>
    <cellStyle name="常规 19 9 2 2 4" xfId="24142"/>
    <cellStyle name="常规 19 9 2 2 5" xfId="24143"/>
    <cellStyle name="常规 19 9 2 2 6" xfId="24146"/>
    <cellStyle name="常规 19 9 2 2 7" xfId="24148"/>
    <cellStyle name="常规 19 9 2 2 8" xfId="24150"/>
    <cellStyle name="常规 19 9 2 3" xfId="21457"/>
    <cellStyle name="常规 19 9 2 3 2" xfId="24151"/>
    <cellStyle name="常规 19 9 2 3 3" xfId="24152"/>
    <cellStyle name="常规 19 9 2 3 4" xfId="24153"/>
    <cellStyle name="常规 19 9 2 3 5" xfId="24154"/>
    <cellStyle name="常规 19 9 2 3 6" xfId="24156"/>
    <cellStyle name="常规 19 9 2 3 7" xfId="24158"/>
    <cellStyle name="常规 19 9 2 3 8" xfId="24159"/>
    <cellStyle name="常规 19 9 2 4" xfId="21459"/>
    <cellStyle name="常规 19 9 2 4 2" xfId="24160"/>
    <cellStyle name="常规 19 9 2 4 3" xfId="24161"/>
    <cellStyle name="常规 19 9 2 4 4" xfId="24162"/>
    <cellStyle name="常规 19 9 2 4 5" xfId="24164"/>
    <cellStyle name="常规 19 9 2 4 6" xfId="24167"/>
    <cellStyle name="常规 19 9 2 4 7" xfId="24169"/>
    <cellStyle name="常规 19 9 2 4 8" xfId="24171"/>
    <cellStyle name="常规 19 9 2 5" xfId="21461"/>
    <cellStyle name="常规 19 9 2 5 2" xfId="24172"/>
    <cellStyle name="常规 19 9 2 5 3" xfId="24173"/>
    <cellStyle name="常规 19 9 2 5 4" xfId="24175"/>
    <cellStyle name="常规 19 9 2 5 5" xfId="24178"/>
    <cellStyle name="常规 19 9 2 5 6" xfId="24181"/>
    <cellStyle name="常规 19 9 2 5 7" xfId="24184"/>
    <cellStyle name="常规 19 9 2 5 8" xfId="24186"/>
    <cellStyle name="常规 19 9 2 6" xfId="21464"/>
    <cellStyle name="常规 19 9 2 6 2" xfId="24187"/>
    <cellStyle name="常规 19 9 2 6 3" xfId="24188"/>
    <cellStyle name="常规 19 9 2 6 4" xfId="24190"/>
    <cellStyle name="常规 19 9 2 6 5" xfId="24192"/>
    <cellStyle name="常规 19 9 2 6 6" xfId="1457"/>
    <cellStyle name="常规 19 9 2 6 7" xfId="10178"/>
    <cellStyle name="常规 19 9 2 6 8" xfId="24193"/>
    <cellStyle name="常规 19 9 2 7" xfId="24195"/>
    <cellStyle name="常规 19 9 2 7 2" xfId="24196"/>
    <cellStyle name="常规 19 9 2 7 3" xfId="24197"/>
    <cellStyle name="常规 19 9 2 7 4" xfId="24199"/>
    <cellStyle name="常规 19 9 2 7 5" xfId="24201"/>
    <cellStyle name="常规 19 9 2 7 6" xfId="24203"/>
    <cellStyle name="常规 19 9 2 7 7" xfId="24204"/>
    <cellStyle name="常规 19 9 2 7 8" xfId="24206"/>
    <cellStyle name="常规 19 9 2 8" xfId="24207"/>
    <cellStyle name="常规 19 9 2 8 2" xfId="24208"/>
    <cellStyle name="常规 19 9 2 8 3" xfId="24209"/>
    <cellStyle name="常规 19 9 2 8 4" xfId="24211"/>
    <cellStyle name="常规 19 9 2 8 5" xfId="24213"/>
    <cellStyle name="常规 19 9 2 8 6" xfId="24214"/>
    <cellStyle name="常规 19 9 2 8 7" xfId="24215"/>
    <cellStyle name="常规 19 9 2 8 8" xfId="24216"/>
    <cellStyle name="常规 19 9 2 9" xfId="24217"/>
    <cellStyle name="常规 19 9 2 9 2" xfId="24218"/>
    <cellStyle name="常规 19 9 2 9 3" xfId="24219"/>
    <cellStyle name="常规 19 9 2 9 4" xfId="24221"/>
    <cellStyle name="常规 19 9 2 9 5" xfId="24223"/>
    <cellStyle name="常规 19 9 2 9 6" xfId="24224"/>
    <cellStyle name="常规 19 9 2 9 7" xfId="24225"/>
    <cellStyle name="常规 19 9 2 9 8" xfId="24226"/>
    <cellStyle name="常规 19 9 3" xfId="593"/>
    <cellStyle name="常规 19 9 3 2" xfId="21468"/>
    <cellStyle name="常规 19 9 3 3" xfId="21470"/>
    <cellStyle name="常规 19 9 3 4" xfId="21473"/>
    <cellStyle name="常规 19 9 3 5" xfId="21476"/>
    <cellStyle name="常规 19 9 3 6" xfId="8592"/>
    <cellStyle name="常规 19 9 3 7" xfId="24227"/>
    <cellStyle name="常规 19 9 3 8" xfId="5788"/>
    <cellStyle name="常规 19 9 4" xfId="600"/>
    <cellStyle name="常规 19 9 4 2" xfId="21480"/>
    <cellStyle name="常规 19 9 4 3" xfId="21482"/>
    <cellStyle name="常规 19 9 4 4" xfId="21484"/>
    <cellStyle name="常规 19 9 4 5" xfId="11567"/>
    <cellStyle name="常规 19 9 4 6" xfId="11570"/>
    <cellStyle name="常规 19 9 4 7" xfId="24228"/>
    <cellStyle name="常规 19 9 4 8" xfId="24229"/>
    <cellStyle name="常规 19 9 5" xfId="2432"/>
    <cellStyle name="常规 19 9 5 2" xfId="21490"/>
    <cellStyle name="常规 19 9 5 3" xfId="21492"/>
    <cellStyle name="常规 19 9 5 4" xfId="21494"/>
    <cellStyle name="常规 19 9 5 5" xfId="7883"/>
    <cellStyle name="常规 19 9 5 6" xfId="8037"/>
    <cellStyle name="常规 19 9 5 7" xfId="8176"/>
    <cellStyle name="常规 19 9 5 8" xfId="5833"/>
    <cellStyle name="常规 19 9 6" xfId="2442"/>
    <cellStyle name="常规 19 9 6 2" xfId="21499"/>
    <cellStyle name="常规 19 9 6 3" xfId="21501"/>
    <cellStyle name="常规 19 9 6 4" xfId="21503"/>
    <cellStyle name="常规 19 9 6 5" xfId="21505"/>
    <cellStyle name="常规 19 9 6 6" xfId="21507"/>
    <cellStyle name="常规 19 9 6 7" xfId="24230"/>
    <cellStyle name="常规 19 9 6 8" xfId="24231"/>
    <cellStyle name="常规 19 9 7" xfId="3544"/>
    <cellStyle name="常规 19 9 7 2" xfId="24232"/>
    <cellStyle name="常规 19 9 7 3" xfId="24234"/>
    <cellStyle name="常规 19 9 7 4" xfId="24235"/>
    <cellStyle name="常规 19 9 7 5" xfId="24236"/>
    <cellStyle name="常规 19 9 7 6" xfId="24237"/>
    <cellStyle name="常规 19 9 7 7" xfId="24238"/>
    <cellStyle name="常规 19 9 7 8" xfId="24239"/>
    <cellStyle name="常规 19 9 8" xfId="3560"/>
    <cellStyle name="常规 19 9 8 2" xfId="24240"/>
    <cellStyle name="常规 19 9 8 3" xfId="24241"/>
    <cellStyle name="常规 19 9 8 4" xfId="24242"/>
    <cellStyle name="常规 19 9 8 5" xfId="24243"/>
    <cellStyle name="常规 19 9 8 6" xfId="24244"/>
    <cellStyle name="常规 19 9 8 7" xfId="24245"/>
    <cellStyle name="常规 19 9 8 8" xfId="24247"/>
    <cellStyle name="常规 19 9 9" xfId="22096"/>
    <cellStyle name="常规 19 9 9 2" xfId="24249"/>
    <cellStyle name="常规 19 9 9 3" xfId="24251"/>
    <cellStyle name="常规 19 9 9 4" xfId="24252"/>
    <cellStyle name="常规 19 9 9 5" xfId="24253"/>
    <cellStyle name="常规 19 9 9 6" xfId="12569"/>
    <cellStyle name="常规 19 9 9 7" xfId="12583"/>
    <cellStyle name="常规 19 9 9 8" xfId="12605"/>
    <cellStyle name="常规 2" xfId="24254"/>
    <cellStyle name="常规 2 10" xfId="24256"/>
    <cellStyle name="常规 2 11" xfId="24257"/>
    <cellStyle name="常规 2 11 2" xfId="20280"/>
    <cellStyle name="常规 2 2" xfId="10942"/>
    <cellStyle name="常规 2 2 2" xfId="24259"/>
    <cellStyle name="常规 2 2 2 2" xfId="5733"/>
    <cellStyle name="常规 2 2 2 2 2" xfId="24262"/>
    <cellStyle name="常规 2 2 2 2 2 2" xfId="24265"/>
    <cellStyle name="常规 2 2 2 2 2 2 2" xfId="24089"/>
    <cellStyle name="常规 2 2 2 2 2 2 2 2" xfId="24266"/>
    <cellStyle name="常规 2 2 2 2 2 2 2 2 2" xfId="24267"/>
    <cellStyle name="常规 2 2 2 2 2 2 2 2 3" xfId="24268"/>
    <cellStyle name="常规 2 2 2 2 2 2 2 2 3 2" xfId="24269"/>
    <cellStyle name="常规 2 2 2 2 2 2 2 3" xfId="24270"/>
    <cellStyle name="常规 2 2 2 2 2 2 2 4" xfId="24271"/>
    <cellStyle name="常规 2 2 2 2 2 2 3" xfId="24092"/>
    <cellStyle name="常规 2 2 2 2 2 3" xfId="24274"/>
    <cellStyle name="常规 2 2 2 2 2 3 2" xfId="24275"/>
    <cellStyle name="常规 2 2 2 2 2 3 2 2" xfId="24276"/>
    <cellStyle name="常规 2 2 2 2 2 3 2 3" xfId="24277"/>
    <cellStyle name="常规 2 2 2 2 2 3 3" xfId="24278"/>
    <cellStyle name="常规 2 2 2 2 2 3 3 2" xfId="24279"/>
    <cellStyle name="常规 2 2 2 2 2 3 3 2 2" xfId="24280"/>
    <cellStyle name="常规 2 2 2 2 2 3 3 2 3" xfId="24281"/>
    <cellStyle name="常规 2 2 2 2 2 3 3 2 3 2" xfId="6760"/>
    <cellStyle name="常规 2 2 2 2 2 3 3 3" xfId="24282"/>
    <cellStyle name="常规 2 2 2 2 2 3 3 4" xfId="24283"/>
    <cellStyle name="常规 2 2 2 2 2 3 4" xfId="24284"/>
    <cellStyle name="常规 2 2 2 2 2 4" xfId="24285"/>
    <cellStyle name="常规 2 2 2 2 2 4 2" xfId="24286"/>
    <cellStyle name="常规 2 2 2 2 2 4 2 2" xfId="24287"/>
    <cellStyle name="常规 2 2 2 2 2 4 2 3" xfId="24288"/>
    <cellStyle name="常规 2 2 2 2 2 4 2 3 2" xfId="14690"/>
    <cellStyle name="常规 2 2 2 2 2 4 3" xfId="24290"/>
    <cellStyle name="常规 2 2 2 2 2 4 4" xfId="24292"/>
    <cellStyle name="常规 2 2 2 2 2 5" xfId="14989"/>
    <cellStyle name="常规 2 2 2 2 3" xfId="24295"/>
    <cellStyle name="常规 2 2 2 2 3 2" xfId="24297"/>
    <cellStyle name="常规 2 2 2 2 3 2 2" xfId="12582"/>
    <cellStyle name="常规 2 2 2 2 3 2 2 2" xfId="12590"/>
    <cellStyle name="常规 2 2 2 2 3 2 2 3" xfId="12602"/>
    <cellStyle name="常规 2 2 2 2 3 2 3" xfId="12604"/>
    <cellStyle name="常规 2 2 2 2 3 2 3 2" xfId="24299"/>
    <cellStyle name="常规 2 2 2 2 3 2 3 2 2" xfId="24300"/>
    <cellStyle name="常规 2 2 2 2 3 2 3 2 3" xfId="24303"/>
    <cellStyle name="常规 2 2 2 2 3 2 3 2 3 2" xfId="24306"/>
    <cellStyle name="常规 2 2 2 2 3 2 3 3" xfId="24307"/>
    <cellStyle name="常规 2 2 2 2 3 2 3 4" xfId="24308"/>
    <cellStyle name="常规 2 2 2 2 3 2 4" xfId="24309"/>
    <cellStyle name="常规 2 2 2 2 3 3" xfId="24311"/>
    <cellStyle name="常规 2 2 2 2 3 3 2" xfId="12619"/>
    <cellStyle name="常规 2 2 2 2 3 3 2 2" xfId="24313"/>
    <cellStyle name="常规 2 2 2 2 3 3 2 3" xfId="24315"/>
    <cellStyle name="常规 2 2 2 2 3 3 2 3 2" xfId="24317"/>
    <cellStyle name="常规 2 2 2 2 3 3 3" xfId="12622"/>
    <cellStyle name="常规 2 2 2 2 3 3 4" xfId="24319"/>
    <cellStyle name="常规 2 2 2 2 3 4" xfId="24320"/>
    <cellStyle name="常规 2 2 2 2 4" xfId="24322"/>
    <cellStyle name="常规 2 2 2 2 4 2" xfId="24323"/>
    <cellStyle name="常规 2 2 2 2 4 2 2" xfId="12636"/>
    <cellStyle name="常规 2 2 2 2 4 2 3" xfId="24324"/>
    <cellStyle name="常规 2 2 2 2 4 3" xfId="24325"/>
    <cellStyle name="常规 2 2 2 2 4 3 2" xfId="12643"/>
    <cellStyle name="常规 2 2 2 2 4 3 2 2" xfId="12645"/>
    <cellStyle name="常规 2 2 2 2 4 3 2 3" xfId="12655"/>
    <cellStyle name="常规 2 2 2 2 4 3 2 3 2" xfId="24326"/>
    <cellStyle name="常规 2 2 2 2 4 3 3" xfId="12659"/>
    <cellStyle name="常规 2 2 2 2 4 3 4" xfId="24328"/>
    <cellStyle name="常规 2 2 2 2 4 4" xfId="24329"/>
    <cellStyle name="常规 2 2 2 2 5" xfId="24331"/>
    <cellStyle name="常规 2 2 2 2 5 2" xfId="24333"/>
    <cellStyle name="常规 2 2 2 2 5 2 2" xfId="12681"/>
    <cellStyle name="常规 2 2 2 2 5 2 3" xfId="24334"/>
    <cellStyle name="常规 2 2 2 2 5 2 3 2" xfId="24335"/>
    <cellStyle name="常规 2 2 2 2 5 3" xfId="24337"/>
    <cellStyle name="常规 2 2 2 2 5 4" xfId="24338"/>
    <cellStyle name="常规 2 2 2 2 6" xfId="24340"/>
    <cellStyle name="常规 2 2 2 3" xfId="4229"/>
    <cellStyle name="常规 2 2 2 3 2" xfId="24343"/>
    <cellStyle name="常规 2 2 2 3 2 2" xfId="24345"/>
    <cellStyle name="常规 2 2 2 3 2 2 2" xfId="24346"/>
    <cellStyle name="常规 2 2 2 3 2 2 2 2" xfId="22294"/>
    <cellStyle name="常规 2 2 2 3 2 2 2 3" xfId="22296"/>
    <cellStyle name="常规 2 2 2 3 2 2 2 3 2" xfId="19704"/>
    <cellStyle name="常规 2 2 2 3 2 2 3" xfId="24347"/>
    <cellStyle name="常规 2 2 2 3 2 2 4" xfId="14267"/>
    <cellStyle name="常规 2 2 2 3 2 3" xfId="24349"/>
    <cellStyle name="常规 2 2 2 3 3" xfId="24352"/>
    <cellStyle name="常规 2 2 2 3 3 2" xfId="24353"/>
    <cellStyle name="常规 2 2 2 3 3 2 2" xfId="12735"/>
    <cellStyle name="常规 2 2 2 3 3 2 3" xfId="24354"/>
    <cellStyle name="常规 2 2 2 3 3 3" xfId="24355"/>
    <cellStyle name="常规 2 2 2 3 3 3 2" xfId="24356"/>
    <cellStyle name="常规 2 2 2 3 3 3 2 2" xfId="24357"/>
    <cellStyle name="常规 2 2 2 3 3 3 2 3" xfId="24358"/>
    <cellStyle name="常规 2 2 2 3 3 3 2 3 2" xfId="21729"/>
    <cellStyle name="常规 2 2 2 3 3 3 3" xfId="24359"/>
    <cellStyle name="常规 2 2 2 3 3 3 4" xfId="24360"/>
    <cellStyle name="常规 2 2 2 3 3 4" xfId="24361"/>
    <cellStyle name="常规 2 2 2 3 4" xfId="24362"/>
    <cellStyle name="常规 2 2 2 3 4 2" xfId="24363"/>
    <cellStyle name="常规 2 2 2 3 4 2 2" xfId="24365"/>
    <cellStyle name="常规 2 2 2 3 4 2 3" xfId="24367"/>
    <cellStyle name="常规 2 2 2 3 4 2 3 2" xfId="24369"/>
    <cellStyle name="常规 2 2 2 3 4 3" xfId="24370"/>
    <cellStyle name="常规 2 2 2 3 4 4" xfId="24371"/>
    <cellStyle name="常规 2 2 2 3 5" xfId="24372"/>
    <cellStyle name="常规 2 2 2 4" xfId="371"/>
    <cellStyle name="常规 2 2 2 4 2" xfId="1072"/>
    <cellStyle name="常规 2 2 2 4 2 2" xfId="24373"/>
    <cellStyle name="常规 2 2 2 4 2 3" xfId="6977"/>
    <cellStyle name="常规 2 2 2 4 3" xfId="2351"/>
    <cellStyle name="常规 2 2 2 4 3 2" xfId="19989"/>
    <cellStyle name="常规 2 2 2 4 3 2 2" xfId="5526"/>
    <cellStyle name="常规 2 2 2 4 3 2 3" xfId="19991"/>
    <cellStyle name="常规 2 2 2 4 3 2 3 2" xfId="3402"/>
    <cellStyle name="常规 2 2 2 4 3 3" xfId="7177"/>
    <cellStyle name="常规 2 2 2 4 3 4" xfId="7737"/>
    <cellStyle name="常规 2 2 2 4 4" xfId="24374"/>
    <cellStyle name="常规 2 2 2 5" xfId="308"/>
    <cellStyle name="常规 2 2 2 5 2" xfId="24376"/>
    <cellStyle name="常规 2 2 2 5 2 2" xfId="24377"/>
    <cellStyle name="常规 2 2 2 5 2 3" xfId="21819"/>
    <cellStyle name="常规 2 2 2 5 2 3 2" xfId="24378"/>
    <cellStyle name="常规 2 2 2 5 3" xfId="24379"/>
    <cellStyle name="常规 2 2 2 5 4" xfId="24380"/>
    <cellStyle name="常规 2 2 2 6" xfId="24382"/>
    <cellStyle name="常规 2 2 3" xfId="6833"/>
    <cellStyle name="常规 2 2 3 2" xfId="7223"/>
    <cellStyle name="常规 2 2 3 2 2" xfId="1120"/>
    <cellStyle name="常规 2 2 3 2 2 2" xfId="19907"/>
    <cellStyle name="常规 2 2 3 2 2 2 2" xfId="24383"/>
    <cellStyle name="常规 2 2 3 2 2 2 3" xfId="24384"/>
    <cellStyle name="常规 2 2 3 2 2 3" xfId="19910"/>
    <cellStyle name="常规 2 2 3 2 3" xfId="2685"/>
    <cellStyle name="常规 2 2 3 2 3 2" xfId="16967"/>
    <cellStyle name="常规 2 2 3 2 3 3" xfId="16993"/>
    <cellStyle name="常规 2 2 3 2 4" xfId="24386"/>
    <cellStyle name="常规 2 2 3 3" xfId="7227"/>
    <cellStyle name="常规 2 2 3 3 2" xfId="1141"/>
    <cellStyle name="常规 2 2 3 3 2 2" xfId="12595"/>
    <cellStyle name="常规 2 2 3 3 2 2 2" xfId="24387"/>
    <cellStyle name="常规 2 2 3 3 2 2 3" xfId="24389"/>
    <cellStyle name="常规 2 2 3 3 2 3" xfId="24390"/>
    <cellStyle name="常规 2 2 3 3 3" xfId="24392"/>
    <cellStyle name="常规 2 2 3 3 3 2" xfId="24393"/>
    <cellStyle name="常规 2 2 3 3 3 3" xfId="24394"/>
    <cellStyle name="常规 2 2 3 3 4" xfId="24395"/>
    <cellStyle name="常规 2 2 3 4" xfId="7219"/>
    <cellStyle name="常规 2 2 3 4 2" xfId="24397"/>
    <cellStyle name="常规 2 2 3 4 2 2" xfId="24398"/>
    <cellStyle name="常规 2 2 3 4 2 2 2" xfId="24399"/>
    <cellStyle name="常规 2 2 3 4 2 2 3" xfId="7231"/>
    <cellStyle name="常规 2 2 3 4 2 3" xfId="23561"/>
    <cellStyle name="常规 2 2 3 4 2 3 2" xfId="24400"/>
    <cellStyle name="常规 2 2 3 4 2 3 2 2" xfId="1206"/>
    <cellStyle name="常规 2 2 3 4 2 3 2 3" xfId="24034"/>
    <cellStyle name="常规 2 2 3 4 2 3 2 3 2" xfId="11185"/>
    <cellStyle name="常规 2 2 3 4 2 3 3" xfId="7248"/>
    <cellStyle name="常规 2 2 3 4 2 3 4" xfId="7328"/>
    <cellStyle name="常规 2 2 3 4 2 4" xfId="23563"/>
    <cellStyle name="常规 2 2 3 4 3" xfId="24401"/>
    <cellStyle name="常规 2 2 3 4 3 2" xfId="20630"/>
    <cellStyle name="常规 2 2 3 4 3 2 2" xfId="20633"/>
    <cellStyle name="常规 2 2 3 4 3 2 3" xfId="7268"/>
    <cellStyle name="常规 2 2 3 4 3 2 3 2" xfId="1456"/>
    <cellStyle name="常规 2 2 3 4 3 3" xfId="20641"/>
    <cellStyle name="常规 2 2 3 4 3 4" xfId="20649"/>
    <cellStyle name="常规 2 2 3 4 4" xfId="24402"/>
    <cellStyle name="常规 2 2 3 5" xfId="24404"/>
    <cellStyle name="常规 2 2 3 5 2" xfId="24406"/>
    <cellStyle name="常规 2 2 3 5 2 2" xfId="24407"/>
    <cellStyle name="常规 2 2 3 5 2 3" xfId="24409"/>
    <cellStyle name="常规 2 2 3 5 3" xfId="24411"/>
    <cellStyle name="常规 2 2 3 6" xfId="24413"/>
    <cellStyle name="常规 2 2 3 6 2" xfId="24414"/>
    <cellStyle name="常规 2 2 3 6 3" xfId="24416"/>
    <cellStyle name="常规 2 2 3 7" xfId="24417"/>
    <cellStyle name="常规 2 2 4" xfId="7234"/>
    <cellStyle name="常规 2 2 4 2" xfId="7237"/>
    <cellStyle name="常规 2 2 4 2 2" xfId="24419"/>
    <cellStyle name="常规 2 2 4 2 2 2" xfId="24420"/>
    <cellStyle name="常规 2 2 4 2 2 2 2" xfId="24421"/>
    <cellStyle name="常规 2 2 4 2 2 2 3" xfId="24422"/>
    <cellStyle name="常规 2 2 4 2 2 3" xfId="24423"/>
    <cellStyle name="常规 2 2 4 2 3" xfId="24424"/>
    <cellStyle name="常规 2 2 4 2 3 2" xfId="24425"/>
    <cellStyle name="常规 2 2 4 2 3 3" xfId="24426"/>
    <cellStyle name="常规 2 2 4 2 4" xfId="24427"/>
    <cellStyle name="常规 2 2 4 3" xfId="7243"/>
    <cellStyle name="常规 2 2 4 3 2" xfId="24302"/>
    <cellStyle name="常规 2 2 4 3 2 2" xfId="24305"/>
    <cellStyle name="常规 2 2 4 3 2 2 2" xfId="24428"/>
    <cellStyle name="常规 2 2 4 3 2 2 3" xfId="24430"/>
    <cellStyle name="常规 2 2 4 3 2 3" xfId="24432"/>
    <cellStyle name="常规 2 2 4 3 3" xfId="24434"/>
    <cellStyle name="常规 2 2 4 3 3 2" xfId="24435"/>
    <cellStyle name="常规 2 2 4 3 3 3" xfId="24436"/>
    <cellStyle name="常规 2 2 4 3 4" xfId="24437"/>
    <cellStyle name="常规 2 2 4 4" xfId="18748"/>
    <cellStyle name="常规 2 2 4 4 2" xfId="24439"/>
    <cellStyle name="常规 2 2 4 4 2 2" xfId="24440"/>
    <cellStyle name="常规 2 2 4 4 2 2 2" xfId="24441"/>
    <cellStyle name="常规 2 2 4 4 2 2 3" xfId="7349"/>
    <cellStyle name="常规 2 2 4 4 2 3" xfId="24442"/>
    <cellStyle name="常规 2 2 4 4 2 3 2" xfId="24443"/>
    <cellStyle name="常规 2 2 4 4 2 3 2 2" xfId="24444"/>
    <cellStyle name="常规 2 2 4 4 2 3 2 3" xfId="24445"/>
    <cellStyle name="常规 2 2 4 4 2 3 2 3 2" xfId="24446"/>
    <cellStyle name="常规 2 2 4 4 2 3 3" xfId="10429"/>
    <cellStyle name="常规 2 2 4 4 2 3 4" xfId="10432"/>
    <cellStyle name="常规 2 2 4 4 2 4" xfId="24447"/>
    <cellStyle name="常规 2 2 4 4 3" xfId="24449"/>
    <cellStyle name="常规 2 2 4 4 3 2" xfId="21082"/>
    <cellStyle name="常规 2 2 4 4 3 2 2" xfId="21084"/>
    <cellStyle name="常规 2 2 4 4 3 2 3" xfId="8839"/>
    <cellStyle name="常规 2 2 4 4 3 2 3 2" xfId="2397"/>
    <cellStyle name="常规 2 2 4 4 3 3" xfId="21090"/>
    <cellStyle name="常规 2 2 4 4 3 4" xfId="21097"/>
    <cellStyle name="常规 2 2 4 4 4" xfId="24450"/>
    <cellStyle name="常规 2 2 4 5" xfId="18752"/>
    <cellStyle name="常规 2 2 4 5 2" xfId="24452"/>
    <cellStyle name="常规 2 2 4 5 2 2" xfId="24453"/>
    <cellStyle name="常规 2 2 4 5 2 3" xfId="24454"/>
    <cellStyle name="常规 2 2 4 5 3" xfId="24455"/>
    <cellStyle name="常规 2 2 4 6" xfId="24456"/>
    <cellStyle name="常规 2 2 4 6 2" xfId="24457"/>
    <cellStyle name="常规 2 2 4 6 3" xfId="24458"/>
    <cellStyle name="常规 2 2 4 7" xfId="24459"/>
    <cellStyle name="常规 2 2 5" xfId="7252"/>
    <cellStyle name="常规 2 2 5 2" xfId="7850"/>
    <cellStyle name="常规 2 2 5 2 2" xfId="24461"/>
    <cellStyle name="常规 2 2 5 2 2 2" xfId="24463"/>
    <cellStyle name="常规 2 2 5 2 2 2 2" xfId="24465"/>
    <cellStyle name="常规 2 2 5 2 2 2 3" xfId="903"/>
    <cellStyle name="常规 2 2 5 2 2 2 3 2" xfId="24467"/>
    <cellStyle name="常规 2 2 5 2 2 3" xfId="24469"/>
    <cellStyle name="常规 2 2 5 2 2 4" xfId="24471"/>
    <cellStyle name="常规 2 2 5 2 3" xfId="24472"/>
    <cellStyle name="常规 2 2 5 3" xfId="7856"/>
    <cellStyle name="常规 2 2 5 3 2" xfId="24474"/>
    <cellStyle name="常规 2 2 5 3 2 2" xfId="24476"/>
    <cellStyle name="常规 2 2 5 3 2 3" xfId="24478"/>
    <cellStyle name="常规 2 2 5 3 3" xfId="24480"/>
    <cellStyle name="常规 2 2 5 3 3 2" xfId="24482"/>
    <cellStyle name="常规 2 2 5 3 3 2 2" xfId="24484"/>
    <cellStyle name="常规 2 2 5 3 3 2 3" xfId="24487"/>
    <cellStyle name="常规 2 2 5 3 3 2 3 2" xfId="24488"/>
    <cellStyle name="常规 2 2 5 3 3 3" xfId="24490"/>
    <cellStyle name="常规 2 2 5 3 3 4" xfId="24492"/>
    <cellStyle name="常规 2 2 5 3 4" xfId="24493"/>
    <cellStyle name="常规 2 2 5 4" xfId="7384"/>
    <cellStyle name="常规 2 2 5 4 2" xfId="24494"/>
    <cellStyle name="常规 2 2 5 4 2 2" xfId="7393"/>
    <cellStyle name="常规 2 2 5 4 2 3" xfId="24496"/>
    <cellStyle name="常规 2 2 5 4 2 3 2" xfId="24498"/>
    <cellStyle name="常规 2 2 5 4 3" xfId="24499"/>
    <cellStyle name="常规 2 2 5 4 4" xfId="24500"/>
    <cellStyle name="常规 2 2 5 5" xfId="5948"/>
    <cellStyle name="常规 2 2 6" xfId="24502"/>
    <cellStyle name="常规 2 2 6 2" xfId="17425"/>
    <cellStyle name="常规 2 2 6 2 2" xfId="24503"/>
    <cellStyle name="常规 2 2 6 2 3" xfId="24504"/>
    <cellStyle name="常规 2 2 6 3" xfId="17430"/>
    <cellStyle name="常规 2 2 6 3 2" xfId="19997"/>
    <cellStyle name="常规 2 2 6 3 2 2" xfId="7676"/>
    <cellStyle name="常规 2 2 6 3 2 3" xfId="1955"/>
    <cellStyle name="常规 2 2 6 3 2 3 2" xfId="15909"/>
    <cellStyle name="常规 2 2 6 3 3" xfId="19999"/>
    <cellStyle name="常规 2 2 6 3 4" xfId="20001"/>
    <cellStyle name="常规 2 2 6 4" xfId="2959"/>
    <cellStyle name="常规 2 2 7" xfId="8284"/>
    <cellStyle name="常规 2 2 7 2" xfId="18778"/>
    <cellStyle name="常规 2 2 7 2 2" xfId="16688"/>
    <cellStyle name="常规 2 2 7 2 3" xfId="16690"/>
    <cellStyle name="常规 2 2 7 2 3 2" xfId="24505"/>
    <cellStyle name="常规 2 2 7 3" xfId="18783"/>
    <cellStyle name="常规 2 2 7 4" xfId="3181"/>
    <cellStyle name="常规 2 2 8" xfId="8287"/>
    <cellStyle name="常规 2 3" xfId="15592"/>
    <cellStyle name="常规 2 3 2" xfId="24507"/>
    <cellStyle name="常规 2 3 2 2" xfId="19644"/>
    <cellStyle name="常规 2 3 2 2 2" xfId="24510"/>
    <cellStyle name="常规 2 3 2 2 2 2" xfId="24513"/>
    <cellStyle name="常规 2 3 2 2 2 2 2" xfId="24515"/>
    <cellStyle name="常规 2 3 2 2 2 2 2 2" xfId="24517"/>
    <cellStyle name="常规 2 3 2 2 2 2 2 3" xfId="24519"/>
    <cellStyle name="常规 2 3 2 2 2 2 2 3 2" xfId="24520"/>
    <cellStyle name="常规 2 3 2 2 2 2 3" xfId="24522"/>
    <cellStyle name="常规 2 3 2 2 2 2 4" xfId="24523"/>
    <cellStyle name="常规 2 3 2 2 2 3" xfId="24526"/>
    <cellStyle name="常规 2 3 2 2 3" xfId="24529"/>
    <cellStyle name="常规 2 3 2 2 3 2" xfId="20758"/>
    <cellStyle name="常规 2 3 2 2 3 2 2" xfId="20761"/>
    <cellStyle name="常规 2 3 2 2 3 2 3" xfId="20764"/>
    <cellStyle name="常规 2 3 2 2 3 3" xfId="20770"/>
    <cellStyle name="常规 2 3 2 2 3 3 2" xfId="12381"/>
    <cellStyle name="常规 2 3 2 2 3 3 2 2" xfId="17224"/>
    <cellStyle name="常规 2 3 2 2 3 3 2 3" xfId="17228"/>
    <cellStyle name="常规 2 3 2 2 3 3 2 3 2" xfId="24531"/>
    <cellStyle name="常规 2 3 2 2 3 3 3" xfId="20773"/>
    <cellStyle name="常规 2 3 2 2 3 3 4" xfId="20776"/>
    <cellStyle name="常规 2 3 2 2 3 4" xfId="20779"/>
    <cellStyle name="常规 2 3 2 2 4" xfId="2834"/>
    <cellStyle name="常规 2 3 2 2 4 2" xfId="4387"/>
    <cellStyle name="常规 2 3 2 2 4 2 2" xfId="4233"/>
    <cellStyle name="常规 2 3 2 2 4 2 3" xfId="375"/>
    <cellStyle name="常规 2 3 2 2 4 2 3 2" xfId="24532"/>
    <cellStyle name="常规 2 3 2 2 4 3" xfId="2967"/>
    <cellStyle name="常规 2 3 2 2 4 4" xfId="5668"/>
    <cellStyle name="常规 2 3 2 2 5" xfId="3790"/>
    <cellStyle name="常规 2 3 2 3" xfId="19647"/>
    <cellStyle name="常规 2 3 2 3 2" xfId="24535"/>
    <cellStyle name="常规 2 3 2 3 2 2" xfId="24537"/>
    <cellStyle name="常规 2 3 2 3 2 2 2" xfId="24539"/>
    <cellStyle name="常规 2 3 2 3 2 2 3" xfId="24541"/>
    <cellStyle name="常规 2 3 2 3 2 3" xfId="24543"/>
    <cellStyle name="常规 2 3 2 3 2 3 2" xfId="24545"/>
    <cellStyle name="常规 2 3 2 3 2 3 2 2" xfId="20959"/>
    <cellStyle name="常规 2 3 2 3 2 3 2 3" xfId="20962"/>
    <cellStyle name="常规 2 3 2 3 2 3 2 3 2" xfId="24547"/>
    <cellStyle name="常规 2 3 2 3 2 3 3" xfId="24549"/>
    <cellStyle name="常规 2 3 2 3 2 3 4" xfId="24551"/>
    <cellStyle name="常规 2 3 2 3 2 4" xfId="24553"/>
    <cellStyle name="常规 2 3 2 3 3" xfId="24556"/>
    <cellStyle name="常规 2 3 2 3 3 2" xfId="21117"/>
    <cellStyle name="常规 2 3 2 3 3 2 2" xfId="21120"/>
    <cellStyle name="常规 2 3 2 3 3 2 3" xfId="21123"/>
    <cellStyle name="常规 2 3 2 3 3 2 3 2" xfId="21921"/>
    <cellStyle name="常规 2 3 2 3 3 3" xfId="21132"/>
    <cellStyle name="常规 2 3 2 3 3 4" xfId="21142"/>
    <cellStyle name="常规 2 3 2 3 4" xfId="704"/>
    <cellStyle name="常规 2 3 2 4" xfId="19650"/>
    <cellStyle name="常规 2 3 2 4 2" xfId="24559"/>
    <cellStyle name="常规 2 3 2 4 2 2" xfId="24561"/>
    <cellStyle name="常规 2 3 2 4 2 3" xfId="24563"/>
    <cellStyle name="常规 2 3 2 4 3" xfId="24566"/>
    <cellStyle name="常规 2 3 2 4 3 2" xfId="21386"/>
    <cellStyle name="常规 2 3 2 4 3 2 2" xfId="21389"/>
    <cellStyle name="常规 2 3 2 4 3 2 3" xfId="21392"/>
    <cellStyle name="常规 2 3 2 4 3 2 3 2" xfId="24567"/>
    <cellStyle name="常规 2 3 2 4 3 3" xfId="21404"/>
    <cellStyle name="常规 2 3 2 4 3 4" xfId="21407"/>
    <cellStyle name="常规 2 3 2 4 4" xfId="5188"/>
    <cellStyle name="常规 2 3 2 5" xfId="24569"/>
    <cellStyle name="常规 2 3 2 5 2" xfId="24571"/>
    <cellStyle name="常规 2 3 2 5 2 2" xfId="12236"/>
    <cellStyle name="常规 2 3 2 5 2 3" xfId="12241"/>
    <cellStyle name="常规 2 3 2 5 2 3 2" xfId="24573"/>
    <cellStyle name="常规 2 3 2 5 3" xfId="24575"/>
    <cellStyle name="常规 2 3 2 5 4" xfId="24577"/>
    <cellStyle name="常规 2 3 2 6" xfId="24579"/>
    <cellStyle name="常规 2 3 3" xfId="7258"/>
    <cellStyle name="常规 2 3 3 2" xfId="7261"/>
    <cellStyle name="常规 2 3 3 2 2" xfId="24582"/>
    <cellStyle name="常规 2 3 3 2 2 2" xfId="5042"/>
    <cellStyle name="常规 2 3 3 2 2 2 2" xfId="5053"/>
    <cellStyle name="常规 2 3 3 2 2 2 3" xfId="5079"/>
    <cellStyle name="常规 2 3 3 2 2 2 3 2" xfId="6030"/>
    <cellStyle name="常规 2 3 3 2 2 3" xfId="5089"/>
    <cellStyle name="常规 2 3 3 2 2 4" xfId="5114"/>
    <cellStyle name="常规 2 3 3 2 3" xfId="24585"/>
    <cellStyle name="常规 2 3 3 3" xfId="7265"/>
    <cellStyle name="常规 2 3 3 3 2" xfId="24588"/>
    <cellStyle name="常规 2 3 3 3 2 2" xfId="5183"/>
    <cellStyle name="常规 2 3 3 3 2 3" xfId="4719"/>
    <cellStyle name="常规 2 3 3 3 3" xfId="24591"/>
    <cellStyle name="常规 2 3 3 3 3 2" xfId="22226"/>
    <cellStyle name="常规 2 3 3 3 3 2 2" xfId="16971"/>
    <cellStyle name="常规 2 3 3 3 3 2 3" xfId="16975"/>
    <cellStyle name="常规 2 3 3 3 3 2 3 2" xfId="24592"/>
    <cellStyle name="常规 2 3 3 3 3 3" xfId="22232"/>
    <cellStyle name="常规 2 3 3 3 3 4" xfId="22240"/>
    <cellStyle name="常规 2 3 3 3 4" xfId="5202"/>
    <cellStyle name="常规 2 3 3 4" xfId="19662"/>
    <cellStyle name="常规 2 3 3 4 2" xfId="24594"/>
    <cellStyle name="常规 2 3 3 4 2 2" xfId="6624"/>
    <cellStyle name="常规 2 3 3 4 2 3" xfId="6727"/>
    <cellStyle name="常规 2 3 3 4 2 3 2" xfId="1815"/>
    <cellStyle name="常规 2 3 3 4 3" xfId="24596"/>
    <cellStyle name="常规 2 3 3 4 4" xfId="24597"/>
    <cellStyle name="常规 2 3 3 5" xfId="24599"/>
    <cellStyle name="常规 2 3 4" xfId="7272"/>
    <cellStyle name="常规 2 3 4 2" xfId="19673"/>
    <cellStyle name="常规 2 3 4 2 2" xfId="24601"/>
    <cellStyle name="常规 2 3 4 2 2 2" xfId="24603"/>
    <cellStyle name="常规 2 3 4 2 2 2 2" xfId="13490"/>
    <cellStyle name="常规 2 3 4 2 2 2 3" xfId="13497"/>
    <cellStyle name="常规 2 3 4 2 2 2 3 2" xfId="24605"/>
    <cellStyle name="常规 2 3 4 2 2 3" xfId="24607"/>
    <cellStyle name="常规 2 3 4 2 2 4" xfId="24609"/>
    <cellStyle name="常规 2 3 4 2 3" xfId="24611"/>
    <cellStyle name="常规 2 3 4 3" xfId="19677"/>
    <cellStyle name="常规 2 3 4 3 2" xfId="24614"/>
    <cellStyle name="常规 2 3 4 3 2 2" xfId="24615"/>
    <cellStyle name="常规 2 3 4 3 2 3" xfId="24616"/>
    <cellStyle name="常规 2 3 4 3 3" xfId="24619"/>
    <cellStyle name="常规 2 3 4 3 3 2" xfId="22980"/>
    <cellStyle name="常规 2 3 4 3 3 2 2" xfId="24620"/>
    <cellStyle name="常规 2 3 4 3 3 2 3" xfId="24622"/>
    <cellStyle name="常规 2 3 4 3 3 2 3 2" xfId="24625"/>
    <cellStyle name="常规 2 3 4 3 3 3" xfId="22982"/>
    <cellStyle name="常规 2 3 4 3 3 4" xfId="24626"/>
    <cellStyle name="常规 2 3 4 3 4" xfId="5247"/>
    <cellStyle name="常规 2 3 4 4" xfId="19680"/>
    <cellStyle name="常规 2 3 4 4 2" xfId="24627"/>
    <cellStyle name="常规 2 3 4 4 2 2" xfId="24629"/>
    <cellStyle name="常规 2 3 4 4 2 3" xfId="24630"/>
    <cellStyle name="常规 2 3 4 4 2 3 2" xfId="24632"/>
    <cellStyle name="常规 2 3 4 4 3" xfId="24633"/>
    <cellStyle name="常规 2 3 4 4 4" xfId="24634"/>
    <cellStyle name="常规 2 3 4 5" xfId="24635"/>
    <cellStyle name="常规 2 3 5" xfId="24637"/>
    <cellStyle name="常规 2 3 5 2" xfId="19689"/>
    <cellStyle name="常规 2 3 5 2 2" xfId="24639"/>
    <cellStyle name="常规 2 3 5 2 2 2" xfId="24642"/>
    <cellStyle name="常规 2 3 5 2 2 2 2" xfId="24645"/>
    <cellStyle name="常规 2 3 5 2 2 2 3" xfId="24648"/>
    <cellStyle name="常规 2 3 5 2 2 2 3 2" xfId="24651"/>
    <cellStyle name="常规 2 3 5 2 2 3" xfId="24654"/>
    <cellStyle name="常规 2 3 5 2 2 4" xfId="24657"/>
    <cellStyle name="常规 2 3 5 2 3" xfId="24659"/>
    <cellStyle name="常规 2 3 5 3" xfId="9879"/>
    <cellStyle name="常规 2 3 5 3 2" xfId="24661"/>
    <cellStyle name="常规 2 3 5 3 2 2" xfId="24663"/>
    <cellStyle name="常规 2 3 5 3 2 3" xfId="24665"/>
    <cellStyle name="常规 2 3 5 3 3" xfId="24667"/>
    <cellStyle name="常规 2 3 5 3 3 2" xfId="23538"/>
    <cellStyle name="常规 2 3 5 3 3 2 2" xfId="1280"/>
    <cellStyle name="常规 2 3 5 3 3 2 3" xfId="24669"/>
    <cellStyle name="常规 2 3 5 3 3 2 3 2" xfId="24670"/>
    <cellStyle name="常规 2 3 5 3 3 3" xfId="23541"/>
    <cellStyle name="常规 2 3 5 3 3 4" xfId="24672"/>
    <cellStyle name="常规 2 3 5 3 4" xfId="24673"/>
    <cellStyle name="常规 2 3 5 4" xfId="8367"/>
    <cellStyle name="常规 2 3 5 4 2" xfId="24674"/>
    <cellStyle name="常规 2 3 5 4 2 2" xfId="9655"/>
    <cellStyle name="常规 2 3 5 4 2 3" xfId="24676"/>
    <cellStyle name="常规 2 3 5 4 2 3 2" xfId="24678"/>
    <cellStyle name="常规 2 3 5 4 3" xfId="24679"/>
    <cellStyle name="常规 2 3 5 4 4" xfId="24680"/>
    <cellStyle name="常规 2 3 5 5" xfId="24681"/>
    <cellStyle name="常规 2 3 6" xfId="24684"/>
    <cellStyle name="常规 2 3 6 2" xfId="19696"/>
    <cellStyle name="常规 2 3 6 2 2" xfId="24687"/>
    <cellStyle name="常规 2 3 6 2 3" xfId="24690"/>
    <cellStyle name="常规 2 3 6 3" xfId="19699"/>
    <cellStyle name="常规 2 3 6 3 2" xfId="24692"/>
    <cellStyle name="常规 2 3 6 3 2 2" xfId="24693"/>
    <cellStyle name="常规 2 3 6 3 2 3" xfId="24694"/>
    <cellStyle name="常规 2 3 6 3 2 3 2" xfId="15044"/>
    <cellStyle name="常规 2 3 6 3 3" xfId="24696"/>
    <cellStyle name="常规 2 3 6 3 4" xfId="24697"/>
    <cellStyle name="常规 2 3 6 4" xfId="8382"/>
    <cellStyle name="常规 2 3 7" xfId="24700"/>
    <cellStyle name="常规 2 3 7 2" xfId="19709"/>
    <cellStyle name="常规 2 3 7 2 2" xfId="17563"/>
    <cellStyle name="常规 2 3 7 2 3" xfId="16403"/>
    <cellStyle name="常规 2 3 7 2 3 2" xfId="24701"/>
    <cellStyle name="常规 2 3 7 3" xfId="19713"/>
    <cellStyle name="常规 2 3 7 4" xfId="19715"/>
    <cellStyle name="常规 2 3 8" xfId="24703"/>
    <cellStyle name="常规 2 4" xfId="15601"/>
    <cellStyle name="常规 2 4 2" xfId="6865"/>
    <cellStyle name="常规 2 4 2 2" xfId="19750"/>
    <cellStyle name="常规 2 4 2 2 2" xfId="24704"/>
    <cellStyle name="常规 2 4 2 2 2 2" xfId="24705"/>
    <cellStyle name="常规 2 4 2 2 2 2 2" xfId="24706"/>
    <cellStyle name="常规 2 4 2 2 2 2 3" xfId="24707"/>
    <cellStyle name="常规 2 4 2 2 2 3" xfId="24709"/>
    <cellStyle name="常规 2 4 2 2 2 3 2" xfId="5152"/>
    <cellStyle name="常规 2 4 2 2 2 3 2 2" xfId="9508"/>
    <cellStyle name="常规 2 4 2 2 2 3 2 3" xfId="9510"/>
    <cellStyle name="常规 2 4 2 2 2 3 2 3 2" xfId="24712"/>
    <cellStyle name="常规 2 4 2 2 2 3 3" xfId="5688"/>
    <cellStyle name="常规 2 4 2 2 2 3 4" xfId="24714"/>
    <cellStyle name="常规 2 4 2 2 2 4" xfId="24716"/>
    <cellStyle name="常规 2 4 2 2 3" xfId="24718"/>
    <cellStyle name="常规 2 4 2 2 3 2" xfId="24720"/>
    <cellStyle name="常规 2 4 2 2 3 2 2" xfId="24721"/>
    <cellStyle name="常规 2 4 2 2 3 2 3" xfId="24722"/>
    <cellStyle name="常规 2 4 2 2 3 2 3 2" xfId="12034"/>
    <cellStyle name="常规 2 4 2 2 3 3" xfId="24723"/>
    <cellStyle name="常规 2 4 2 2 3 4" xfId="24724"/>
    <cellStyle name="常规 2 4 2 2 4" xfId="24725"/>
    <cellStyle name="常规 2 4 2 3" xfId="19756"/>
    <cellStyle name="常规 2 4 2 3 2" xfId="13035"/>
    <cellStyle name="常规 2 4 2 3 2 2" xfId="20447"/>
    <cellStyle name="常规 2 4 2 3 2 2 2" xfId="11726"/>
    <cellStyle name="常规 2 4 2 3 2 2 2 2" xfId="24726"/>
    <cellStyle name="常规 2 4 2 3 2 2 2 3" xfId="24727"/>
    <cellStyle name="常规 2 4 2 3 2 2 2 3 2" xfId="24728"/>
    <cellStyle name="常规 2 4 2 3 2 2 3" xfId="3967"/>
    <cellStyle name="常规 2 4 2 3 2 2 4" xfId="816"/>
    <cellStyle name="常规 2 4 2 3 2 3" xfId="24729"/>
    <cellStyle name="常规 2 4 2 3 3" xfId="13042"/>
    <cellStyle name="常规 2 4 2 3 3 2" xfId="20463"/>
    <cellStyle name="常规 2 4 2 3 3 2 2" xfId="24730"/>
    <cellStyle name="常规 2 4 2 3 3 2 3" xfId="4173"/>
    <cellStyle name="常规 2 4 2 3 3 3" xfId="24731"/>
    <cellStyle name="常规 2 4 2 3 3 3 2" xfId="24732"/>
    <cellStyle name="常规 2 4 2 3 3 3 2 2" xfId="17897"/>
    <cellStyle name="常规 2 4 2 3 3 3 2 3" xfId="17901"/>
    <cellStyle name="常规 2 4 2 3 3 3 2 3 2" xfId="17904"/>
    <cellStyle name="常规 2 4 2 3 3 3 3" xfId="4215"/>
    <cellStyle name="常规 2 4 2 3 3 3 4" xfId="4250"/>
    <cellStyle name="常规 2 4 2 3 3 4" xfId="18257"/>
    <cellStyle name="常规 2 4 2 3 4" xfId="13048"/>
    <cellStyle name="常规 2 4 2 3 4 2" xfId="20472"/>
    <cellStyle name="常规 2 4 2 3 4 2 2" xfId="24733"/>
    <cellStyle name="常规 2 4 2 3 4 2 3" xfId="424"/>
    <cellStyle name="常规 2 4 2 3 4 2 3 2" xfId="2896"/>
    <cellStyle name="常规 2 4 2 3 4 3" xfId="11921"/>
    <cellStyle name="常规 2 4 2 3 4 4" xfId="11926"/>
    <cellStyle name="常规 2 4 2 3 5" xfId="11149"/>
    <cellStyle name="常规 2 4 2 4" xfId="19761"/>
    <cellStyle name="常规 2 4 2 4 2" xfId="24734"/>
    <cellStyle name="常规 2 4 2 4 2 2" xfId="24735"/>
    <cellStyle name="常规 2 4 2 4 2 3" xfId="24736"/>
    <cellStyle name="常规 2 4 2 4 3" xfId="24737"/>
    <cellStyle name="常规 2 4 2 4 3 2" xfId="22693"/>
    <cellStyle name="常规 2 4 2 4 3 2 2" xfId="24738"/>
    <cellStyle name="常规 2 4 2 4 3 2 3" xfId="24739"/>
    <cellStyle name="常规 2 4 2 4 3 2 3 2" xfId="24741"/>
    <cellStyle name="常规 2 4 2 4 3 3" xfId="22695"/>
    <cellStyle name="常规 2 4 2 4 3 4" xfId="24742"/>
    <cellStyle name="常规 2 4 2 4 4" xfId="24743"/>
    <cellStyle name="常规 2 4 2 5" xfId="24744"/>
    <cellStyle name="常规 2 4 2 5 2" xfId="24745"/>
    <cellStyle name="常规 2 4 2 5 2 2" xfId="24746"/>
    <cellStyle name="常规 2 4 2 5 2 3" xfId="81"/>
    <cellStyle name="常规 2 4 2 5 2 3 2" xfId="2296"/>
    <cellStyle name="常规 2 4 2 5 3" xfId="24747"/>
    <cellStyle name="常规 2 4 2 5 4" xfId="24748"/>
    <cellStyle name="常规 2 4 2 6" xfId="24749"/>
    <cellStyle name="常规 2 4 3" xfId="6191"/>
    <cellStyle name="常规 2 4 3 2" xfId="19766"/>
    <cellStyle name="常规 2 4 3 2 2" xfId="24750"/>
    <cellStyle name="常规 2 4 3 2 2 2" xfId="22393"/>
    <cellStyle name="常规 2 4 3 2 2 2 2" xfId="24752"/>
    <cellStyle name="常规 2 4 3 2 2 2 3" xfId="24754"/>
    <cellStyle name="常规 2 4 3 2 2 3" xfId="24757"/>
    <cellStyle name="常规 2 4 3 2 2 3 2" xfId="9835"/>
    <cellStyle name="常规 2 4 3 2 2 3 2 2" xfId="7115"/>
    <cellStyle name="常规 2 4 3 2 2 3 2 3" xfId="1352"/>
    <cellStyle name="常规 2 4 3 2 2 3 2 3 2" xfId="24759"/>
    <cellStyle name="常规 2 4 3 2 2 3 3" xfId="9839"/>
    <cellStyle name="常规 2 4 3 2 2 3 4" xfId="24760"/>
    <cellStyle name="常规 2 4 3 2 2 4" xfId="24762"/>
    <cellStyle name="常规 2 4 3 2 3" xfId="24763"/>
    <cellStyle name="常规 2 4 3 2 3 2" xfId="24764"/>
    <cellStyle name="常规 2 4 3 2 3 2 2" xfId="24767"/>
    <cellStyle name="常规 2 4 3 2 3 2 3" xfId="24769"/>
    <cellStyle name="常规 2 4 3 2 3 2 3 2" xfId="24770"/>
    <cellStyle name="常规 2 4 3 2 3 3" xfId="24771"/>
    <cellStyle name="常规 2 4 3 2 3 4" xfId="24772"/>
    <cellStyle name="常规 2 4 3 2 4" xfId="24773"/>
    <cellStyle name="常规 2 4 3 3" xfId="19769"/>
    <cellStyle name="常规 2 4 3 3 2" xfId="24774"/>
    <cellStyle name="常规 2 4 3 3 2 2" xfId="212"/>
    <cellStyle name="常规 2 4 3 3 2 2 2" xfId="5449"/>
    <cellStyle name="常规 2 4 3 3 2 2 2 2" xfId="6037"/>
    <cellStyle name="常规 2 4 3 3 2 2 2 3" xfId="6051"/>
    <cellStyle name="常规 2 4 3 3 2 2 2 3 2" xfId="2825"/>
    <cellStyle name="常规 2 4 3 3 2 2 3" xfId="4680"/>
    <cellStyle name="常规 2 4 3 3 2 2 4" xfId="4707"/>
    <cellStyle name="常规 2 4 3 3 2 3" xfId="215"/>
    <cellStyle name="常规 2 4 3 3 3" xfId="24775"/>
    <cellStyle name="常规 2 4 3 3 3 2" xfId="24776"/>
    <cellStyle name="常规 2 4 3 3 3 2 2" xfId="24779"/>
    <cellStyle name="常规 2 4 3 3 3 2 3" xfId="4871"/>
    <cellStyle name="常规 2 4 3 3 3 3" xfId="24780"/>
    <cellStyle name="常规 2 4 3 3 3 3 2" xfId="24783"/>
    <cellStyle name="常规 2 4 3 3 3 3 2 2" xfId="24785"/>
    <cellStyle name="常规 2 4 3 3 3 3 2 3" xfId="24787"/>
    <cellStyle name="常规 2 4 3 3 3 3 2 3 2" xfId="24788"/>
    <cellStyle name="常规 2 4 3 3 3 3 3" xfId="1597"/>
    <cellStyle name="常规 2 4 3 3 3 3 4" xfId="163"/>
    <cellStyle name="常规 2 4 3 3 3 4" xfId="24789"/>
    <cellStyle name="常规 2 4 3 3 4" xfId="24790"/>
    <cellStyle name="常规 2 4 3 3 4 2" xfId="24791"/>
    <cellStyle name="常规 2 4 3 3 4 2 2" xfId="15185"/>
    <cellStyle name="常规 2 4 3 3 4 2 3" xfId="1428"/>
    <cellStyle name="常规 2 4 3 3 4 2 3 2" xfId="2981"/>
    <cellStyle name="常规 2 4 3 3 4 3" xfId="24792"/>
    <cellStyle name="常规 2 4 3 3 4 4" xfId="24793"/>
    <cellStyle name="常规 2 4 3 3 5" xfId="24794"/>
    <cellStyle name="常规 2 4 3 4" xfId="19771"/>
    <cellStyle name="常规 2 4 3 4 2" xfId="24795"/>
    <cellStyle name="常规 2 4 3 4 2 2" xfId="24797"/>
    <cellStyle name="常规 2 4 3 4 2 2 2" xfId="24799"/>
    <cellStyle name="常规 2 4 3 4 2 2 3" xfId="24801"/>
    <cellStyle name="常规 2 4 3 4 2 3" xfId="24803"/>
    <cellStyle name="常规 2 4 3 4 2 3 2" xfId="24804"/>
    <cellStyle name="常规 2 4 3 4 2 3 2 2" xfId="24805"/>
    <cellStyle name="常规 2 4 3 4 2 3 2 3" xfId="24806"/>
    <cellStyle name="常规 2 4 3 4 2 3 2 3 2" xfId="24808"/>
    <cellStyle name="常规 2 4 3 4 2 3 3" xfId="24809"/>
    <cellStyle name="常规 2 4 3 4 2 3 4" xfId="24810"/>
    <cellStyle name="常规 2 4 3 4 2 4" xfId="24812"/>
    <cellStyle name="常规 2 4 3 4 3" xfId="24813"/>
    <cellStyle name="常规 2 4 3 4 3 2" xfId="22832"/>
    <cellStyle name="常规 2 4 3 4 3 2 2" xfId="16983"/>
    <cellStyle name="常规 2 4 3 4 3 2 3" xfId="16987"/>
    <cellStyle name="常规 2 4 3 4 3 2 3 2" xfId="24814"/>
    <cellStyle name="常规 2 4 3 4 3 3" xfId="22834"/>
    <cellStyle name="常规 2 4 3 4 3 4" xfId="24815"/>
    <cellStyle name="常规 2 4 3 4 4" xfId="24816"/>
    <cellStyle name="常规 2 4 3 5" xfId="24817"/>
    <cellStyle name="常规 2 4 3 5 2" xfId="16232"/>
    <cellStyle name="常规 2 4 3 5 2 2" xfId="1011"/>
    <cellStyle name="常规 2 4 3 5 2 3" xfId="342"/>
    <cellStyle name="常规 2 4 3 5 3" xfId="16234"/>
    <cellStyle name="常规 2 4 3 5 3 2" xfId="1051"/>
    <cellStyle name="常规 2 4 3 5 3 2 2" xfId="24819"/>
    <cellStyle name="常规 2 4 3 5 3 2 3" xfId="24820"/>
    <cellStyle name="常规 2 4 3 5 3 2 3 2" xfId="3871"/>
    <cellStyle name="常规 2 4 3 5 3 3" xfId="2288"/>
    <cellStyle name="常规 2 4 3 5 3 4" xfId="1379"/>
    <cellStyle name="常规 2 4 3 5 4" xfId="24821"/>
    <cellStyle name="常规 2 4 3 6" xfId="24823"/>
    <cellStyle name="常规 2 4 3 6 2" xfId="16243"/>
    <cellStyle name="常规 2 4 3 6 2 2" xfId="24824"/>
    <cellStyle name="常规 2 4 3 6 2 3" xfId="2679"/>
    <cellStyle name="常规 2 4 3 6 2 3 2" xfId="2691"/>
    <cellStyle name="常规 2 4 3 6 3" xfId="16246"/>
    <cellStyle name="常规 2 4 3 6 4" xfId="19904"/>
    <cellStyle name="常规 2 4 3 7" xfId="24826"/>
    <cellStyle name="常规 2 4 4" xfId="6215"/>
    <cellStyle name="常规 2 4 4 2" xfId="19776"/>
    <cellStyle name="常规 2 4 4 2 2" xfId="4664"/>
    <cellStyle name="常规 2 4 4 2 2 2" xfId="24827"/>
    <cellStyle name="常规 2 4 4 2 2 2 2" xfId="24828"/>
    <cellStyle name="常规 2 4 4 2 2 2 3" xfId="24829"/>
    <cellStyle name="常规 2 4 4 2 2 2 3 2" xfId="24830"/>
    <cellStyle name="常规 2 4 4 2 2 3" xfId="24831"/>
    <cellStyle name="常规 2 4 4 2 2 4" xfId="24832"/>
    <cellStyle name="常规 2 4 4 2 3" xfId="24833"/>
    <cellStyle name="常规 2 4 4 3" xfId="19779"/>
    <cellStyle name="常规 2 4 4 3 2" xfId="394"/>
    <cellStyle name="常规 2 4 4 3 2 2" xfId="24834"/>
    <cellStyle name="常规 2 4 4 3 2 3" xfId="24835"/>
    <cellStyle name="常规 2 4 4 3 3" xfId="24837"/>
    <cellStyle name="常规 2 4 4 3 3 2" xfId="24838"/>
    <cellStyle name="常规 2 4 4 3 3 2 2" xfId="24839"/>
    <cellStyle name="常规 2 4 4 3 3 2 3" xfId="1856"/>
    <cellStyle name="常规 2 4 4 3 3 2 3 2" xfId="5456"/>
    <cellStyle name="常规 2 4 4 3 3 3" xfId="24840"/>
    <cellStyle name="常规 2 4 4 3 3 4" xfId="24841"/>
    <cellStyle name="常规 2 4 4 3 4" xfId="24842"/>
    <cellStyle name="常规 2 4 4 4" xfId="19782"/>
    <cellStyle name="常规 2 4 4 4 2" xfId="24843"/>
    <cellStyle name="常规 2 4 4 4 2 2" xfId="24845"/>
    <cellStyle name="常规 2 4 4 4 2 3" xfId="24846"/>
    <cellStyle name="常规 2 4 4 4 2 3 2" xfId="24847"/>
    <cellStyle name="常规 2 4 4 4 3" xfId="24848"/>
    <cellStyle name="常规 2 4 4 4 4" xfId="24849"/>
    <cellStyle name="常规 2 4 4 5" xfId="24850"/>
    <cellStyle name="常规 2 4 5" xfId="20219"/>
    <cellStyle name="常规 2 4 5 2" xfId="19792"/>
    <cellStyle name="常规 2 4 5 2 2" xfId="509"/>
    <cellStyle name="常规 2 4 5 2 3" xfId="5463"/>
    <cellStyle name="常规 2 4 5 3" xfId="19796"/>
    <cellStyle name="常规 2 4 5 3 2" xfId="10292"/>
    <cellStyle name="常规 2 4 5 3 2 2" xfId="8938"/>
    <cellStyle name="常规 2 4 5 3 2 3" xfId="9448"/>
    <cellStyle name="常规 2 4 5 3 2 3 2" xfId="24851"/>
    <cellStyle name="常规 2 4 5 3 3" xfId="10298"/>
    <cellStyle name="常规 2 4 5 3 4" xfId="24853"/>
    <cellStyle name="常规 2 4 5 4" xfId="6856"/>
    <cellStyle name="常规 2 4 6" xfId="20223"/>
    <cellStyle name="常规 2 4 6 2" xfId="15112"/>
    <cellStyle name="常规 2 4 6 2 2" xfId="4749"/>
    <cellStyle name="常规 2 4 6 2 3" xfId="5495"/>
    <cellStyle name="常规 2 4 6 2 3 2" xfId="24855"/>
    <cellStyle name="常规 2 4 6 3" xfId="15116"/>
    <cellStyle name="常规 2 4 6 4" xfId="15119"/>
    <cellStyle name="常规 2 4 7" xfId="20226"/>
    <cellStyle name="常规 2 5" xfId="15609"/>
    <cellStyle name="常规 2 5 2" xfId="24858"/>
    <cellStyle name="常规 2 5 2 2" xfId="24862"/>
    <cellStyle name="常规 2 5 2 2 2" xfId="24864"/>
    <cellStyle name="常规 2 5 2 2 2 2" xfId="18100"/>
    <cellStyle name="常规 2 5 2 2 2 3" xfId="18104"/>
    <cellStyle name="常规 2 5 2 2 3" xfId="24865"/>
    <cellStyle name="常规 2 5 2 2 3 2" xfId="18120"/>
    <cellStyle name="常规 2 5 2 2 3 2 2" xfId="18592"/>
    <cellStyle name="常规 2 5 2 2 3 2 3" xfId="19354"/>
    <cellStyle name="常规 2 5 2 2 3 2 3 2" xfId="24867"/>
    <cellStyle name="常规 2 5 2 2 3 3" xfId="18123"/>
    <cellStyle name="常规 2 5 2 2 3 4" xfId="24869"/>
    <cellStyle name="常规 2 5 2 2 4" xfId="24870"/>
    <cellStyle name="常规 2 5 2 3" xfId="24873"/>
    <cellStyle name="常规 2 5 2 3 2" xfId="24875"/>
    <cellStyle name="常规 2 5 2 3 2 2" xfId="24876"/>
    <cellStyle name="常规 2 5 2 3 2 3" xfId="24877"/>
    <cellStyle name="常规 2 5 2 3 2 3 2" xfId="5695"/>
    <cellStyle name="常规 2 5 2 3 3" xfId="24878"/>
    <cellStyle name="常规 2 5 2 3 4" xfId="24879"/>
    <cellStyle name="常规 2 5 2 4" xfId="24880"/>
    <cellStyle name="常规 2 5 3" xfId="24882"/>
    <cellStyle name="常规 2 5 3 2" xfId="24883"/>
    <cellStyle name="常规 2 5 3 2 2" xfId="24885"/>
    <cellStyle name="常规 2 5 3 2 2 2" xfId="24886"/>
    <cellStyle name="常规 2 5 3 2 2 2 2" xfId="17648"/>
    <cellStyle name="常规 2 5 3 2 2 2 3" xfId="17650"/>
    <cellStyle name="常规 2 5 3 2 2 2 3 2" xfId="24887"/>
    <cellStyle name="常规 2 5 3 2 2 3" xfId="24888"/>
    <cellStyle name="常规 2 5 3 2 2 4" xfId="24889"/>
    <cellStyle name="常规 2 5 3 2 3" xfId="24890"/>
    <cellStyle name="常规 2 5 3 3" xfId="24892"/>
    <cellStyle name="常规 2 5 3 3 2" xfId="24893"/>
    <cellStyle name="常规 2 5 3 3 2 2" xfId="24894"/>
    <cellStyle name="常规 2 5 3 3 2 3" xfId="24895"/>
    <cellStyle name="常规 2 5 3 3 3" xfId="24896"/>
    <cellStyle name="常规 2 5 3 3 3 2" xfId="24897"/>
    <cellStyle name="常规 2 5 3 3 3 2 2" xfId="21543"/>
    <cellStyle name="常规 2 5 3 3 3 2 3" xfId="21546"/>
    <cellStyle name="常规 2 5 3 3 3 2 3 2" xfId="24898"/>
    <cellStyle name="常规 2 5 3 3 3 3" xfId="24899"/>
    <cellStyle name="常规 2 5 3 3 3 4" xfId="24900"/>
    <cellStyle name="常规 2 5 3 3 4" xfId="24901"/>
    <cellStyle name="常规 2 5 3 4" xfId="24903"/>
    <cellStyle name="常规 2 5 3 4 2" xfId="5909"/>
    <cellStyle name="常规 2 5 3 4 2 2" xfId="24905"/>
    <cellStyle name="常规 2 5 3 4 2 3" xfId="24907"/>
    <cellStyle name="常规 2 5 3 4 2 3 2" xfId="1534"/>
    <cellStyle name="常规 2 5 3 4 3" xfId="24908"/>
    <cellStyle name="常规 2 5 3 4 4" xfId="24909"/>
    <cellStyle name="常规 2 5 3 5" xfId="24910"/>
    <cellStyle name="常规 2 5 4" xfId="24912"/>
    <cellStyle name="常规 2 5 4 2" xfId="24914"/>
    <cellStyle name="常规 2 5 4 2 2" xfId="4854"/>
    <cellStyle name="常规 2 5 4 2 2 2" xfId="24915"/>
    <cellStyle name="常规 2 5 4 2 2 3" xfId="24916"/>
    <cellStyle name="常规 2 5 4 2 3" xfId="24917"/>
    <cellStyle name="常规 2 5 4 2 3 2" xfId="24918"/>
    <cellStyle name="常规 2 5 4 2 3 2 2" xfId="22542"/>
    <cellStyle name="常规 2 5 4 2 3 2 3" xfId="22545"/>
    <cellStyle name="常规 2 5 4 2 3 2 3 2" xfId="24920"/>
    <cellStyle name="常规 2 5 4 2 3 3" xfId="24921"/>
    <cellStyle name="常规 2 5 4 2 3 4" xfId="15337"/>
    <cellStyle name="常规 2 5 4 2 4" xfId="24922"/>
    <cellStyle name="常规 2 5 4 3" xfId="24925"/>
    <cellStyle name="常规 2 5 4 3 2" xfId="2025"/>
    <cellStyle name="常规 2 5 4 3 2 2" xfId="24926"/>
    <cellStyle name="常规 2 5 4 3 2 3" xfId="24927"/>
    <cellStyle name="常规 2 5 4 3 2 3 2" xfId="24928"/>
    <cellStyle name="常规 2 5 4 3 3" xfId="24929"/>
    <cellStyle name="常规 2 5 4 3 4" xfId="24930"/>
    <cellStyle name="常规 2 5 4 4" xfId="24932"/>
    <cellStyle name="常规 2 5 5" xfId="24934"/>
    <cellStyle name="常规 2 5 5 2" xfId="24935"/>
    <cellStyle name="常规 2 5 5 2 2" xfId="4882"/>
    <cellStyle name="常规 2 5 5 2 3" xfId="24936"/>
    <cellStyle name="常规 2 5 5 3" xfId="24937"/>
    <cellStyle name="常规 2 5 5 3 2" xfId="24938"/>
    <cellStyle name="常规 2 5 5 3 2 2" xfId="24939"/>
    <cellStyle name="常规 2 5 5 3 2 3" xfId="24940"/>
    <cellStyle name="常规 2 5 5 3 2 3 2" xfId="24942"/>
    <cellStyle name="常规 2 5 5 3 3" xfId="24943"/>
    <cellStyle name="常规 2 5 5 3 4" xfId="24944"/>
    <cellStyle name="常规 2 5 5 4" xfId="24945"/>
    <cellStyle name="常规 2 5 6" xfId="24947"/>
    <cellStyle name="常规 2 5 6 2" xfId="24949"/>
    <cellStyle name="常规 2 5 6 2 2" xfId="4897"/>
    <cellStyle name="常规 2 5 6 2 3" xfId="24951"/>
    <cellStyle name="常规 2 5 6 2 3 2" xfId="18471"/>
    <cellStyle name="常规 2 5 6 3" xfId="24953"/>
    <cellStyle name="常规 2 5 6 4" xfId="24954"/>
    <cellStyle name="常规 2 5 7" xfId="24956"/>
    <cellStyle name="常规 2 6" xfId="15615"/>
    <cellStyle name="常规 2 6 2" xfId="24959"/>
    <cellStyle name="常规 2 6 2 2" xfId="9969"/>
    <cellStyle name="常规 2 6 2 2 2" xfId="15237"/>
    <cellStyle name="常规 2 6 2 2 2 2" xfId="15239"/>
    <cellStyle name="常规 2 6 2 2 2 3" xfId="15241"/>
    <cellStyle name="常规 2 6 2 2 2 3 2" xfId="24960"/>
    <cellStyle name="常规 2 6 2 2 3" xfId="15245"/>
    <cellStyle name="常规 2 6 2 2 4" xfId="24961"/>
    <cellStyle name="常规 2 6 2 3" xfId="24964"/>
    <cellStyle name="常规 2 6 3" xfId="24967"/>
    <cellStyle name="常规 2 6 3 2" xfId="24968"/>
    <cellStyle name="常规 2 6 3 2 2" xfId="16083"/>
    <cellStyle name="常规 2 6 3 2 3" xfId="16092"/>
    <cellStyle name="常规 2 6 3 3" xfId="24969"/>
    <cellStyle name="常规 2 6 3 3 2" xfId="16166"/>
    <cellStyle name="常规 2 6 3 3 2 2" xfId="16168"/>
    <cellStyle name="常规 2 6 3 3 2 3" xfId="16170"/>
    <cellStyle name="常规 2 6 3 3 2 3 2" xfId="24970"/>
    <cellStyle name="常规 2 6 3 3 3" xfId="16175"/>
    <cellStyle name="常规 2 6 3 3 4" xfId="15670"/>
    <cellStyle name="常规 2 6 3 4" xfId="24971"/>
    <cellStyle name="常规 2 6 4" xfId="24973"/>
    <cellStyle name="常规 2 6 4 2" xfId="19733"/>
    <cellStyle name="常规 2 6 4 2 2" xfId="4979"/>
    <cellStyle name="常规 2 6 4 2 3" xfId="5642"/>
    <cellStyle name="常规 2 6 4 2 3 2" xfId="17193"/>
    <cellStyle name="常规 2 6 4 3" xfId="19736"/>
    <cellStyle name="常规 2 6 4 4" xfId="19738"/>
    <cellStyle name="常规 2 6 5" xfId="24975"/>
    <cellStyle name="常规 2 7" xfId="18128"/>
    <cellStyle name="常规 2 7 2" xfId="886"/>
    <cellStyle name="常规 2 7 2 2" xfId="24976"/>
    <cellStyle name="常规 2 7 2 2 2" xfId="19606"/>
    <cellStyle name="常规 2 7 2 2 2 2" xfId="19608"/>
    <cellStyle name="常规 2 7 2 2 2 3" xfId="18767"/>
    <cellStyle name="常规 2 7 2 2 2 3 2" xfId="24978"/>
    <cellStyle name="常规 2 7 2 2 3" xfId="19611"/>
    <cellStyle name="常规 2 7 2 2 4" xfId="24979"/>
    <cellStyle name="常规 2 7 2 3" xfId="24980"/>
    <cellStyle name="常规 2 7 3" xfId="24982"/>
    <cellStyle name="常规 2 7 3 2" xfId="24984"/>
    <cellStyle name="常规 2 7 3 2 2" xfId="20320"/>
    <cellStyle name="常规 2 7 3 2 3" xfId="20329"/>
    <cellStyle name="常规 2 7 3 3" xfId="24986"/>
    <cellStyle name="常规 2 7 3 3 2" xfId="20370"/>
    <cellStyle name="常规 2 7 3 3 2 2" xfId="20372"/>
    <cellStyle name="常规 2 7 3 3 2 3" xfId="20374"/>
    <cellStyle name="常规 2 7 3 3 2 3 2" xfId="24987"/>
    <cellStyle name="常规 2 7 3 3 3" xfId="20386"/>
    <cellStyle name="常规 2 7 3 3 4" xfId="1757"/>
    <cellStyle name="常规 2 7 3 4" xfId="24988"/>
    <cellStyle name="常规 2 7 4" xfId="24990"/>
    <cellStyle name="常规 2 7 4 2" xfId="24991"/>
    <cellStyle name="常规 2 7 4 2 2" xfId="3047"/>
    <cellStyle name="常规 2 7 4 2 3" xfId="20878"/>
    <cellStyle name="常规 2 7 4 2 3 2" xfId="18348"/>
    <cellStyle name="常规 2 7 4 3" xfId="24992"/>
    <cellStyle name="常规 2 7 4 4" xfId="24993"/>
    <cellStyle name="常规 2 7 5" xfId="24994"/>
    <cellStyle name="常规 2 8" xfId="24996"/>
    <cellStyle name="常规 2 8 2" xfId="24999"/>
    <cellStyle name="常规 2 8 2 2" xfId="25002"/>
    <cellStyle name="常规 2 8 2 3" xfId="25005"/>
    <cellStyle name="常规 2 8 3" xfId="25008"/>
    <cellStyle name="常规 2 8 3 2" xfId="25010"/>
    <cellStyle name="常规 2 8 3 2 2" xfId="12576"/>
    <cellStyle name="常规 2 8 3 2 3" xfId="21667"/>
    <cellStyle name="常规 2 8 3 2 3 2" xfId="134"/>
    <cellStyle name="常规 2 8 3 3" xfId="25012"/>
    <cellStyle name="常规 2 8 3 4" xfId="25014"/>
    <cellStyle name="常规 2 8 4" xfId="25016"/>
    <cellStyle name="常规 2 9" xfId="25018"/>
    <cellStyle name="常规 2 9 2" xfId="4253"/>
    <cellStyle name="常规 2 9 2 2" xfId="25019"/>
    <cellStyle name="常规 2 9 2 3" xfId="25020"/>
    <cellStyle name="常规 2 9 3" xfId="20342"/>
    <cellStyle name="常规 2 9 4" xfId="20344"/>
    <cellStyle name="常规 2 9 4 2" xfId="25021"/>
    <cellStyle name="常规 2 9 4 3" xfId="25022"/>
    <cellStyle name="常规 2 9 5" xfId="20346"/>
    <cellStyle name="常规 3" xfId="25023"/>
    <cellStyle name="常规 3 10" xfId="25024"/>
    <cellStyle name="常规 3 11" xfId="25025"/>
    <cellStyle name="常规 3 11 2" xfId="25027"/>
    <cellStyle name="常规 3 2" xfId="15621"/>
    <cellStyle name="常规 3 2 2" xfId="25028"/>
    <cellStyle name="常规 3 2 2 2" xfId="20277"/>
    <cellStyle name="常规 3 2 2 2 2" xfId="25029"/>
    <cellStyle name="常规 3 2 2 2 2 2" xfId="25030"/>
    <cellStyle name="常规 3 2 2 2 2 2 2" xfId="25031"/>
    <cellStyle name="常规 3 2 2 2 2 2 2 2" xfId="5870"/>
    <cellStyle name="常规 3 2 2 2 2 2 2 3" xfId="1723"/>
    <cellStyle name="常规 3 2 2 2 2 2 2 3 2" xfId="25034"/>
    <cellStyle name="常规 3 2 2 2 2 2 3" xfId="4617"/>
    <cellStyle name="常规 3 2 2 2 2 2 4" xfId="4673"/>
    <cellStyle name="常规 3 2 2 2 2 3" xfId="25035"/>
    <cellStyle name="常规 3 2 2 2 3" xfId="25036"/>
    <cellStyle name="常规 3 2 2 2 3 2" xfId="25037"/>
    <cellStyle name="常规 3 2 2 2 3 2 2" xfId="25038"/>
    <cellStyle name="常规 3 2 2 2 3 2 3" xfId="8007"/>
    <cellStyle name="常规 3 2 2 2 3 3" xfId="25039"/>
    <cellStyle name="常规 3 2 2 2 3 3 2" xfId="25040"/>
    <cellStyle name="常规 3 2 2 2 3 3 2 2" xfId="25041"/>
    <cellStyle name="常规 3 2 2 2 3 3 2 3" xfId="25042"/>
    <cellStyle name="常规 3 2 2 2 3 3 2 3 2" xfId="25043"/>
    <cellStyle name="常规 3 2 2 2 3 3 3" xfId="9002"/>
    <cellStyle name="常规 3 2 2 2 3 3 4" xfId="9005"/>
    <cellStyle name="常规 3 2 2 2 3 4" xfId="25045"/>
    <cellStyle name="常规 3 2 2 2 4" xfId="25046"/>
    <cellStyle name="常规 3 2 2 2 4 2" xfId="25047"/>
    <cellStyle name="常规 3 2 2 2 4 2 2" xfId="25048"/>
    <cellStyle name="常规 3 2 2 2 4 2 3" xfId="25049"/>
    <cellStyle name="常规 3 2 2 2 4 2 3 2" xfId="25050"/>
    <cellStyle name="常规 3 2 2 2 4 3" xfId="25051"/>
    <cellStyle name="常规 3 2 2 2 4 4" xfId="25053"/>
    <cellStyle name="常规 3 2 2 2 5" xfId="23017"/>
    <cellStyle name="常规 3 2 2 3" xfId="20279"/>
    <cellStyle name="常规 3 2 2 3 2" xfId="12628"/>
    <cellStyle name="常规 3 2 2 3 2 2" xfId="12631"/>
    <cellStyle name="常规 3 2 2 3 2 2 2" xfId="22664"/>
    <cellStyle name="常规 3 2 2 3 2 2 3" xfId="5268"/>
    <cellStyle name="常规 3 2 2 3 2 3" xfId="25054"/>
    <cellStyle name="常规 3 2 2 3 2 3 2" xfId="25055"/>
    <cellStyle name="常规 3 2 2 3 2 3 2 2" xfId="25056"/>
    <cellStyle name="常规 3 2 2 3 2 3 2 3" xfId="25057"/>
    <cellStyle name="常规 3 2 2 3 2 3 2 3 2" xfId="25059"/>
    <cellStyle name="常规 3 2 2 3 2 3 3" xfId="844"/>
    <cellStyle name="常规 3 2 2 3 2 3 4" xfId="3254"/>
    <cellStyle name="常规 3 2 2 3 2 4" xfId="25061"/>
    <cellStyle name="常规 3 2 2 3 3" xfId="25062"/>
    <cellStyle name="常规 3 2 2 3 3 2" xfId="25063"/>
    <cellStyle name="常规 3 2 2 3 3 2 2" xfId="25064"/>
    <cellStyle name="常规 3 2 2 3 3 2 3" xfId="25066"/>
    <cellStyle name="常规 3 2 2 3 3 2 3 2" xfId="25067"/>
    <cellStyle name="常规 3 2 2 3 3 3" xfId="25068"/>
    <cellStyle name="常规 3 2 2 3 3 4" xfId="25070"/>
    <cellStyle name="常规 3 2 2 3 4" xfId="25071"/>
    <cellStyle name="常规 3 2 2 4" xfId="7524"/>
    <cellStyle name="常规 3 2 2 4 2" xfId="7527"/>
    <cellStyle name="常规 3 2 2 4 2 2" xfId="25072"/>
    <cellStyle name="常规 3 2 2 4 2 3" xfId="25073"/>
    <cellStyle name="常规 3 2 2 4 3" xfId="7568"/>
    <cellStyle name="常规 3 2 2 4 3 2" xfId="25074"/>
    <cellStyle name="常规 3 2 2 4 3 2 2" xfId="18954"/>
    <cellStyle name="常规 3 2 2 4 3 2 3" xfId="18959"/>
    <cellStyle name="常规 3 2 2 4 3 2 3 2" xfId="9938"/>
    <cellStyle name="常规 3 2 2 4 3 3" xfId="25075"/>
    <cellStyle name="常规 3 2 2 4 3 4" xfId="25077"/>
    <cellStyle name="常规 3 2 2 4 4" xfId="25078"/>
    <cellStyle name="常规 3 2 2 5" xfId="7625"/>
    <cellStyle name="常规 3 2 2 5 2" xfId="25079"/>
    <cellStyle name="常规 3 2 2 5 2 2" xfId="25080"/>
    <cellStyle name="常规 3 2 2 5 2 3" xfId="25081"/>
    <cellStyle name="常规 3 2 2 5 2 3 2" xfId="25082"/>
    <cellStyle name="常规 3 2 2 5 3" xfId="25083"/>
    <cellStyle name="常规 3 2 2 5 4" xfId="25084"/>
    <cellStyle name="常规 3 2 2 6" xfId="1187"/>
    <cellStyle name="常规 3 2 3" xfId="7276"/>
    <cellStyle name="常规 3 2 3 2" xfId="7278"/>
    <cellStyle name="常规 3 2 3 2 2" xfId="25086"/>
    <cellStyle name="常规 3 2 3 2 2 2" xfId="25087"/>
    <cellStyle name="常规 3 2 3 2 2 2 2" xfId="25088"/>
    <cellStyle name="常规 3 2 3 2 2 2 3" xfId="25089"/>
    <cellStyle name="常规 3 2 3 2 2 2 3 2" xfId="21224"/>
    <cellStyle name="常规 3 2 3 2 2 3" xfId="25090"/>
    <cellStyle name="常规 3 2 3 2 2 4" xfId="25092"/>
    <cellStyle name="常规 3 2 3 2 3" xfId="25094"/>
    <cellStyle name="常规 3 2 3 3" xfId="7281"/>
    <cellStyle name="常规 3 2 3 3 2" xfId="25095"/>
    <cellStyle name="常规 3 2 3 3 2 2" xfId="25096"/>
    <cellStyle name="常规 3 2 3 3 2 3" xfId="25097"/>
    <cellStyle name="常规 3 2 3 3 3" xfId="25098"/>
    <cellStyle name="常规 3 2 3 3 3 2" xfId="25099"/>
    <cellStyle name="常规 3 2 3 3 3 2 2" xfId="25100"/>
    <cellStyle name="常规 3 2 3 3 3 2 3" xfId="25102"/>
    <cellStyle name="常规 3 2 3 3 3 2 3 2" xfId="25103"/>
    <cellStyle name="常规 3 2 3 3 3 3" xfId="25104"/>
    <cellStyle name="常规 3 2 3 3 3 4" xfId="25107"/>
    <cellStyle name="常规 3 2 3 3 4" xfId="25108"/>
    <cellStyle name="常规 3 2 3 4" xfId="7695"/>
    <cellStyle name="常规 3 2 3 4 2" xfId="25109"/>
    <cellStyle name="常规 3 2 3 4 2 2" xfId="25111"/>
    <cellStyle name="常规 3 2 3 4 2 3" xfId="25113"/>
    <cellStyle name="常规 3 2 3 4 2 3 2" xfId="25115"/>
    <cellStyle name="常规 3 2 3 4 3" xfId="25116"/>
    <cellStyle name="常规 3 2 3 4 4" xfId="25117"/>
    <cellStyle name="常规 3 2 3 5" xfId="25118"/>
    <cellStyle name="常规 3 2 4" xfId="7286"/>
    <cellStyle name="常规 3 2 4 2" xfId="20290"/>
    <cellStyle name="常规 3 2 4 2 2" xfId="25119"/>
    <cellStyle name="常规 3 2 4 2 2 2" xfId="25121"/>
    <cellStyle name="常规 3 2 4 2 2 2 2" xfId="25122"/>
    <cellStyle name="常规 3 2 4 2 2 2 3" xfId="25123"/>
    <cellStyle name="常规 3 2 4 2 2 2 3 2" xfId="25124"/>
    <cellStyle name="常规 3 2 4 2 2 3" xfId="25125"/>
    <cellStyle name="常规 3 2 4 2 2 4" xfId="25127"/>
    <cellStyle name="常规 3 2 4 2 3" xfId="25128"/>
    <cellStyle name="常规 3 2 4 3" xfId="20293"/>
    <cellStyle name="常规 3 2 4 3 2" xfId="25129"/>
    <cellStyle name="常规 3 2 4 3 2 2" xfId="25130"/>
    <cellStyle name="常规 3 2 4 3 2 3" xfId="25131"/>
    <cellStyle name="常规 3 2 4 3 3" xfId="25132"/>
    <cellStyle name="常规 3 2 4 3 3 2" xfId="25133"/>
    <cellStyle name="常规 3 2 4 3 3 2 2" xfId="21850"/>
    <cellStyle name="常规 3 2 4 3 3 2 3" xfId="21861"/>
    <cellStyle name="常规 3 2 4 3 3 2 3 2" xfId="21864"/>
    <cellStyle name="常规 3 2 4 3 3 3" xfId="25134"/>
    <cellStyle name="常规 3 2 4 3 3 4" xfId="25136"/>
    <cellStyle name="常规 3 2 4 3 4" xfId="25137"/>
    <cellStyle name="常规 3 2 4 4" xfId="20296"/>
    <cellStyle name="常规 3 2 4 4 2" xfId="7844"/>
    <cellStyle name="常规 3 2 4 4 2 2" xfId="25138"/>
    <cellStyle name="常规 3 2 4 4 2 3" xfId="25139"/>
    <cellStyle name="常规 3 2 4 4 2 3 2" xfId="25140"/>
    <cellStyle name="常规 3 2 4 4 3" xfId="25141"/>
    <cellStyle name="常规 3 2 4 4 4" xfId="25142"/>
    <cellStyle name="常规 3 2 4 5" xfId="25143"/>
    <cellStyle name="常规 3 2 5" xfId="25144"/>
    <cellStyle name="常规 3 2 5 2" xfId="20305"/>
    <cellStyle name="常规 3 2 5 2 2" xfId="25145"/>
    <cellStyle name="常规 3 2 5 2 2 2" xfId="25146"/>
    <cellStyle name="常规 3 2 5 2 2 2 2" xfId="25147"/>
    <cellStyle name="常规 3 2 5 2 2 2 3" xfId="25148"/>
    <cellStyle name="常规 3 2 5 2 2 2 3 2" xfId="25149"/>
    <cellStyle name="常规 3 2 5 2 2 3" xfId="25150"/>
    <cellStyle name="常规 3 2 5 2 2 4" xfId="25151"/>
    <cellStyle name="常规 3 2 5 2 3" xfId="25152"/>
    <cellStyle name="常规 3 2 5 3" xfId="20307"/>
    <cellStyle name="常规 3 2 5 3 2" xfId="25154"/>
    <cellStyle name="常规 3 2 5 3 2 2" xfId="25156"/>
    <cellStyle name="常规 3 2 5 3 2 3" xfId="25158"/>
    <cellStyle name="常规 3 2 5 3 3" xfId="25160"/>
    <cellStyle name="常规 3 2 5 3 3 2" xfId="3309"/>
    <cellStyle name="常规 3 2 5 3 3 2 2" xfId="25162"/>
    <cellStyle name="常规 3 2 5 3 3 2 3" xfId="25165"/>
    <cellStyle name="常规 3 2 5 3 3 2 3 2" xfId="8568"/>
    <cellStyle name="常规 3 2 5 3 3 3" xfId="25167"/>
    <cellStyle name="常规 3 2 5 3 3 4" xfId="25033"/>
    <cellStyle name="常规 3 2 5 3 4" xfId="25169"/>
    <cellStyle name="常规 3 2 5 4" xfId="3262"/>
    <cellStyle name="常规 3 2 5 4 2" xfId="23611"/>
    <cellStyle name="常规 3 2 5 4 2 2" xfId="25170"/>
    <cellStyle name="常规 3 2 5 4 2 3" xfId="25171"/>
    <cellStyle name="常规 3 2 5 4 2 3 2" xfId="25172"/>
    <cellStyle name="常规 3 2 5 4 3" xfId="23613"/>
    <cellStyle name="常规 3 2 5 4 4" xfId="25173"/>
    <cellStyle name="常规 3 2 5 5" xfId="25174"/>
    <cellStyle name="常规 3 2 6" xfId="25175"/>
    <cellStyle name="常规 3 2 6 2" xfId="20315"/>
    <cellStyle name="常规 3 2 6 2 2" xfId="25176"/>
    <cellStyle name="常规 3 2 6 2 3" xfId="25177"/>
    <cellStyle name="常规 3 2 6 3" xfId="20317"/>
    <cellStyle name="常规 3 2 6 3 2" xfId="25178"/>
    <cellStyle name="常规 3 2 6 3 2 2" xfId="21013"/>
    <cellStyle name="常规 3 2 6 3 2 3" xfId="21017"/>
    <cellStyle name="常规 3 2 6 3 2 3 2" xfId="25179"/>
    <cellStyle name="常规 3 2 6 3 3" xfId="25180"/>
    <cellStyle name="常规 3 2 6 3 4" xfId="25181"/>
    <cellStyle name="常规 3 2 6 4" xfId="3924"/>
    <cellStyle name="常规 3 2 7" xfId="25182"/>
    <cellStyle name="常规 3 2 7 2" xfId="20325"/>
    <cellStyle name="常规 3 2 7 2 2" xfId="20743"/>
    <cellStyle name="常规 3 2 7 2 3" xfId="20745"/>
    <cellStyle name="常规 3 2 7 2 3 2" xfId="15217"/>
    <cellStyle name="常规 3 2 7 3" xfId="20327"/>
    <cellStyle name="常规 3 2 7 4" xfId="3195"/>
    <cellStyle name="常规 3 2 8" xfId="25183"/>
    <cellStyle name="常规 3 3" xfId="11512"/>
    <cellStyle name="常规 3 3 2" xfId="25184"/>
    <cellStyle name="常规 3 3 2 2" xfId="12854"/>
    <cellStyle name="常规 3 3 2 2 2" xfId="25185"/>
    <cellStyle name="常规 3 3 2 2 2 2" xfId="25186"/>
    <cellStyle name="常规 3 3 2 2 2 2 2" xfId="25187"/>
    <cellStyle name="常规 3 3 2 2 2 2 2 2" xfId="25188"/>
    <cellStyle name="常规 3 3 2 2 2 2 2 3" xfId="25189"/>
    <cellStyle name="常规 3 3 2 2 2 2 2 3 2" xfId="25190"/>
    <cellStyle name="常规 3 3 2 2 2 2 3" xfId="3989"/>
    <cellStyle name="常规 3 3 2 2 2 2 4" xfId="4027"/>
    <cellStyle name="常规 3 3 2 2 2 3" xfId="25191"/>
    <cellStyle name="常规 3 3 2 2 3" xfId="25192"/>
    <cellStyle name="常规 3 3 2 2 3 2" xfId="25193"/>
    <cellStyle name="常规 3 3 2 2 3 2 2" xfId="25194"/>
    <cellStyle name="常规 3 3 2 2 3 2 3" xfId="8907"/>
    <cellStyle name="常规 3 3 2 2 3 3" xfId="25195"/>
    <cellStyle name="常规 3 3 2 2 3 3 2" xfId="25196"/>
    <cellStyle name="常规 3 3 2 2 3 3 2 2" xfId="21126"/>
    <cellStyle name="常规 3 3 2 2 3 3 2 3" xfId="21128"/>
    <cellStyle name="常规 3 3 2 2 3 3 2 3 2" xfId="25197"/>
    <cellStyle name="常规 3 3 2 2 3 3 3" xfId="9111"/>
    <cellStyle name="常规 3 3 2 2 3 3 4" xfId="9116"/>
    <cellStyle name="常规 3 3 2 2 3 4" xfId="25198"/>
    <cellStyle name="常规 3 3 2 2 4" xfId="3407"/>
    <cellStyle name="常规 3 3 2 2 4 2" xfId="3"/>
    <cellStyle name="常规 3 3 2 2 4 2 2" xfId="5626"/>
    <cellStyle name="常规 3 3 2 2 4 2 3" xfId="5637"/>
    <cellStyle name="常规 3 3 2 2 4 2 3 2" xfId="23824"/>
    <cellStyle name="常规 3 3 2 2 4 3" xfId="5639"/>
    <cellStyle name="常规 3 3 2 2 4 4" xfId="25199"/>
    <cellStyle name="常规 3 3 2 2 5" xfId="3421"/>
    <cellStyle name="常规 3 3 2 3" xfId="12857"/>
    <cellStyle name="常规 3 3 2 3 2" xfId="25200"/>
    <cellStyle name="常规 3 3 2 3 2 2" xfId="25201"/>
    <cellStyle name="常规 3 3 2 3 2 2 2" xfId="25202"/>
    <cellStyle name="常规 3 3 2 3 2 2 3" xfId="25203"/>
    <cellStyle name="常规 3 3 2 3 2 3" xfId="25204"/>
    <cellStyle name="常规 3 3 2 3 2 3 2" xfId="25205"/>
    <cellStyle name="常规 3 3 2 3 2 3 2 2" xfId="4865"/>
    <cellStyle name="常规 3 3 2 3 2 3 2 3" xfId="4875"/>
    <cellStyle name="常规 3 3 2 3 2 3 2 3 2" xfId="25206"/>
    <cellStyle name="常规 3 3 2 3 2 3 3" xfId="25207"/>
    <cellStyle name="常规 3 3 2 3 2 3 4" xfId="25208"/>
    <cellStyle name="常规 3 3 2 3 2 4" xfId="25209"/>
    <cellStyle name="常规 3 3 2 3 3" xfId="25210"/>
    <cellStyle name="常规 3 3 2 3 3 2" xfId="25211"/>
    <cellStyle name="常规 3 3 2 3 3 2 2" xfId="25212"/>
    <cellStyle name="常规 3 3 2 3 3 2 3" xfId="25214"/>
    <cellStyle name="常规 3 3 2 3 3 2 3 2" xfId="6591"/>
    <cellStyle name="常规 3 3 2 3 3 3" xfId="25215"/>
    <cellStyle name="常规 3 3 2 3 3 4" xfId="25216"/>
    <cellStyle name="常规 3 3 2 3 4" xfId="5649"/>
    <cellStyle name="常规 3 3 2 4" xfId="20351"/>
    <cellStyle name="常规 3 3 2 4 2" xfId="25217"/>
    <cellStyle name="常规 3 3 2 4 2 2" xfId="25218"/>
    <cellStyle name="常规 3 3 2 4 2 3" xfId="25219"/>
    <cellStyle name="常规 3 3 2 4 3" xfId="25220"/>
    <cellStyle name="常规 3 3 2 4 3 2" xfId="25221"/>
    <cellStyle name="常规 3 3 2 4 3 2 2" xfId="25222"/>
    <cellStyle name="常规 3 3 2 4 3 2 3" xfId="25223"/>
    <cellStyle name="常规 3 3 2 4 3 2 3 2" xfId="23169"/>
    <cellStyle name="常规 3 3 2 4 3 3" xfId="25224"/>
    <cellStyle name="常规 3 3 2 4 3 4" xfId="25225"/>
    <cellStyle name="常规 3 3 2 4 4" xfId="210"/>
    <cellStyle name="常规 3 3 2 5" xfId="25226"/>
    <cellStyle name="常规 3 3 2 5 2" xfId="25227"/>
    <cellStyle name="常规 3 3 2 5 2 2" xfId="25228"/>
    <cellStyle name="常规 3 3 2 5 2 3" xfId="25229"/>
    <cellStyle name="常规 3 3 2 5 2 3 2" xfId="12673"/>
    <cellStyle name="常规 3 3 2 5 3" xfId="25230"/>
    <cellStyle name="常规 3 3 2 5 4" xfId="25231"/>
    <cellStyle name="常规 3 3 2 6" xfId="25232"/>
    <cellStyle name="常规 3 3 3" xfId="7289"/>
    <cellStyle name="常规 3 3 3 2" xfId="12874"/>
    <cellStyle name="常规 3 3 3 2 2" xfId="25233"/>
    <cellStyle name="常规 3 3 3 2 2 2" xfId="25234"/>
    <cellStyle name="常规 3 3 3 2 2 2 2" xfId="25235"/>
    <cellStyle name="常规 3 3 3 2 2 2 3" xfId="25236"/>
    <cellStyle name="常规 3 3 3 2 2 2 3 2" xfId="25237"/>
    <cellStyle name="常规 3 3 3 2 2 3" xfId="25238"/>
    <cellStyle name="常规 3 3 3 2 2 4" xfId="25239"/>
    <cellStyle name="常规 3 3 3 2 3" xfId="25240"/>
    <cellStyle name="常规 3 3 3 3" xfId="10262"/>
    <cellStyle name="常规 3 3 3 3 2" xfId="12648"/>
    <cellStyle name="常规 3 3 3 3 2 2" xfId="12652"/>
    <cellStyle name="常规 3 3 3 3 2 3" xfId="25241"/>
    <cellStyle name="常规 3 3 3 3 3" xfId="25242"/>
    <cellStyle name="常规 3 3 3 3 3 2" xfId="25243"/>
    <cellStyle name="常规 3 3 3 3 3 2 2" xfId="25244"/>
    <cellStyle name="常规 3 3 3 3 3 2 3" xfId="25245"/>
    <cellStyle name="常规 3 3 3 3 3 2 3 2" xfId="4756"/>
    <cellStyle name="常规 3 3 3 3 3 3" xfId="25246"/>
    <cellStyle name="常规 3 3 3 3 3 4" xfId="25247"/>
    <cellStyle name="常规 3 3 3 3 4" xfId="5673"/>
    <cellStyle name="常规 3 3 3 4" xfId="20353"/>
    <cellStyle name="常规 3 3 3 4 2" xfId="25248"/>
    <cellStyle name="常规 3 3 3 4 2 2" xfId="13091"/>
    <cellStyle name="常规 3 3 3 4 2 3" xfId="13096"/>
    <cellStyle name="常规 3 3 3 4 2 3 2" xfId="147"/>
    <cellStyle name="常规 3 3 3 4 3" xfId="25249"/>
    <cellStyle name="常规 3 3 3 4 4" xfId="25250"/>
    <cellStyle name="常规 3 3 3 5" xfId="25251"/>
    <cellStyle name="常规 3 3 4" xfId="7292"/>
    <cellStyle name="常规 3 3 4 2" xfId="12890"/>
    <cellStyle name="常规 3 3 4 2 2" xfId="15801"/>
    <cellStyle name="常规 3 3 4 2 2 2" xfId="25253"/>
    <cellStyle name="常规 3 3 4 2 2 2 2" xfId="25254"/>
    <cellStyle name="常规 3 3 4 2 2 2 3" xfId="25255"/>
    <cellStyle name="常规 3 3 4 2 2 2 3 2" xfId="25256"/>
    <cellStyle name="常规 3 3 4 2 2 3" xfId="25257"/>
    <cellStyle name="常规 3 3 4 2 2 4" xfId="25258"/>
    <cellStyle name="常规 3 3 4 2 3" xfId="15803"/>
    <cellStyle name="常规 3 3 4 3" xfId="12893"/>
    <cellStyle name="常规 3 3 4 3 2" xfId="15807"/>
    <cellStyle name="常规 3 3 4 3 2 2" xfId="25259"/>
    <cellStyle name="常规 3 3 4 3 2 3" xfId="25260"/>
    <cellStyle name="常规 3 3 4 3 3" xfId="15809"/>
    <cellStyle name="常规 3 3 4 3 3 2" xfId="25261"/>
    <cellStyle name="常规 3 3 4 3 3 2 2" xfId="25262"/>
    <cellStyle name="常规 3 3 4 3 3 2 3" xfId="25263"/>
    <cellStyle name="常规 3 3 4 3 3 2 3 2" xfId="6552"/>
    <cellStyle name="常规 3 3 4 3 3 3" xfId="25264"/>
    <cellStyle name="常规 3 3 4 3 3 4" xfId="25265"/>
    <cellStyle name="常规 3 3 4 3 4" xfId="5718"/>
    <cellStyle name="常规 3 3 4 4" xfId="20355"/>
    <cellStyle name="常规 3 3 4 4 2" xfId="10377"/>
    <cellStyle name="常规 3 3 4 4 2 2" xfId="25266"/>
    <cellStyle name="常规 3 3 4 4 2 3" xfId="25267"/>
    <cellStyle name="常规 3 3 4 4 2 3 2" xfId="25268"/>
    <cellStyle name="常规 3 3 4 4 3" xfId="15811"/>
    <cellStyle name="常规 3 3 4 4 4" xfId="15813"/>
    <cellStyle name="常规 3 3 4 5" xfId="25269"/>
    <cellStyle name="常规 3 3 5" xfId="25270"/>
    <cellStyle name="常规 3 3 5 2" xfId="12908"/>
    <cellStyle name="常规 3 3 5 2 2" xfId="25271"/>
    <cellStyle name="常规 3 3 5 2 2 2" xfId="15498"/>
    <cellStyle name="常规 3 3 5 2 2 2 2" xfId="3933"/>
    <cellStyle name="常规 3 3 5 2 2 2 3" xfId="12800"/>
    <cellStyle name="常规 3 3 5 2 2 2 3 2" xfId="25272"/>
    <cellStyle name="常规 3 3 5 2 2 3" xfId="11442"/>
    <cellStyle name="常规 3 3 5 2 2 4" xfId="781"/>
    <cellStyle name="常规 3 3 5 2 3" xfId="25273"/>
    <cellStyle name="常规 3 3 5 3" xfId="12911"/>
    <cellStyle name="常规 3 3 5 3 2" xfId="25274"/>
    <cellStyle name="常规 3 3 5 3 2 2" xfId="25275"/>
    <cellStyle name="常规 3 3 5 3 2 3" xfId="25276"/>
    <cellStyle name="常规 3 3 5 3 3" xfId="25277"/>
    <cellStyle name="常规 3 3 5 3 3 2" xfId="25278"/>
    <cellStyle name="常规 3 3 5 3 3 2 2" xfId="22152"/>
    <cellStyle name="常规 3 3 5 3 3 2 3" xfId="2795"/>
    <cellStyle name="常规 3 3 5 3 3 2 3 2" xfId="25279"/>
    <cellStyle name="常规 3 3 5 3 3 3" xfId="25280"/>
    <cellStyle name="常规 3 3 5 3 3 4" xfId="25281"/>
    <cellStyle name="常规 3 3 5 3 4" xfId="25282"/>
    <cellStyle name="常规 3 3 5 4" xfId="4299"/>
    <cellStyle name="常规 3 3 5 4 2" xfId="25283"/>
    <cellStyle name="常规 3 3 5 4 2 2" xfId="25284"/>
    <cellStyle name="常规 3 3 5 4 2 3" xfId="25285"/>
    <cellStyle name="常规 3 3 5 4 2 3 2" xfId="25286"/>
    <cellStyle name="常规 3 3 5 4 3" xfId="25287"/>
    <cellStyle name="常规 3 3 5 4 4" xfId="25288"/>
    <cellStyle name="常规 3 3 5 5" xfId="25289"/>
    <cellStyle name="常规 3 3 6" xfId="25291"/>
    <cellStyle name="常规 3 3 6 2" xfId="20365"/>
    <cellStyle name="常规 3 3 6 2 2" xfId="25293"/>
    <cellStyle name="常规 3 3 6 2 3" xfId="25295"/>
    <cellStyle name="常规 3 3 6 3" xfId="20368"/>
    <cellStyle name="常规 3 3 6 3 2" xfId="25297"/>
    <cellStyle name="常规 3 3 6 3 2 2" xfId="25298"/>
    <cellStyle name="常规 3 3 6 3 2 3" xfId="25299"/>
    <cellStyle name="常规 3 3 6 3 2 3 2" xfId="21618"/>
    <cellStyle name="常规 3 3 6 3 3" xfId="25301"/>
    <cellStyle name="常规 3 3 6 3 4" xfId="25302"/>
    <cellStyle name="常规 3 3 6 4" xfId="8431"/>
    <cellStyle name="常规 3 3 7" xfId="25304"/>
    <cellStyle name="常规 3 3 7 2" xfId="20379"/>
    <cellStyle name="常规 3 3 7 2 2" xfId="17734"/>
    <cellStyle name="常规 3 3 7 2 3" xfId="17739"/>
    <cellStyle name="常规 3 3 7 2 3 2" xfId="25305"/>
    <cellStyle name="常规 3 3 7 3" xfId="20382"/>
    <cellStyle name="常规 3 3 7 4" xfId="20384"/>
    <cellStyle name="常规 3 3 8" xfId="25307"/>
    <cellStyle name="常规 3 4" xfId="6277"/>
    <cellStyle name="常规 3 4 2" xfId="25308"/>
    <cellStyle name="常规 3 4 2 2" xfId="25310"/>
    <cellStyle name="常规 3 4 2 2 2" xfId="25311"/>
    <cellStyle name="常规 3 4 2 2 2 2" xfId="25312"/>
    <cellStyle name="常规 3 4 2 2 2 2 2" xfId="3156"/>
    <cellStyle name="常规 3 4 2 2 2 2 3" xfId="3174"/>
    <cellStyle name="常规 3 4 2 2 2 3" xfId="25313"/>
    <cellStyle name="常规 3 4 2 2 2 3 2" xfId="3439"/>
    <cellStyle name="常规 3 4 2 2 2 3 2 2" xfId="3446"/>
    <cellStyle name="常规 3 4 2 2 2 3 2 3" xfId="3453"/>
    <cellStyle name="常规 3 4 2 2 2 3 2 3 2" xfId="14871"/>
    <cellStyle name="常规 3 4 2 2 2 3 3" xfId="3458"/>
    <cellStyle name="常规 3 4 2 2 2 3 4" xfId="3476"/>
    <cellStyle name="常规 3 4 2 2 2 4" xfId="25315"/>
    <cellStyle name="常规 3 4 2 2 3" xfId="25317"/>
    <cellStyle name="常规 3 4 2 2 3 2" xfId="25318"/>
    <cellStyle name="常规 3 4 2 2 3 2 2" xfId="8873"/>
    <cellStyle name="常规 3 4 2 2 3 2 3" xfId="9243"/>
    <cellStyle name="常规 3 4 2 2 3 2 3 2" xfId="25320"/>
    <cellStyle name="常规 3 4 2 2 3 3" xfId="25321"/>
    <cellStyle name="常规 3 4 2 2 3 4" xfId="25323"/>
    <cellStyle name="常规 3 4 2 2 4" xfId="25324"/>
    <cellStyle name="常规 3 4 2 3" xfId="25326"/>
    <cellStyle name="常规 3 4 2 3 2" xfId="19368"/>
    <cellStyle name="常规 3 4 2 3 2 2" xfId="19404"/>
    <cellStyle name="常规 3 4 2 3 2 2 2" xfId="4024"/>
    <cellStyle name="常规 3 4 2 3 2 2 2 2" xfId="4035"/>
    <cellStyle name="常规 3 4 2 3 2 2 2 3" xfId="1865"/>
    <cellStyle name="常规 3 4 2 3 2 2 2 3 2" xfId="13568"/>
    <cellStyle name="常规 3 4 2 3 2 2 3" xfId="353"/>
    <cellStyle name="常规 3 4 2 3 2 2 4" xfId="3165"/>
    <cellStyle name="常规 3 4 2 3 2 3" xfId="19457"/>
    <cellStyle name="常规 3 4 2 3 3" xfId="19515"/>
    <cellStyle name="常规 3 4 2 3 3 2" xfId="19554"/>
    <cellStyle name="常规 3 4 2 3 3 2 2" xfId="8910"/>
    <cellStyle name="常规 3 4 2 3 3 2 3" xfId="3443"/>
    <cellStyle name="常规 3 4 2 3 3 3" xfId="19580"/>
    <cellStyle name="常规 3 4 2 3 3 3 2" xfId="9113"/>
    <cellStyle name="常规 3 4 2 3 3 3 2 2" xfId="25327"/>
    <cellStyle name="常规 3 4 2 3 3 3 2 3" xfId="25328"/>
    <cellStyle name="常规 3 4 2 3 3 3 2 3 2" xfId="11372"/>
    <cellStyle name="常规 3 4 2 3 3 3 3" xfId="3461"/>
    <cellStyle name="常规 3 4 2 3 3 3 4" xfId="3469"/>
    <cellStyle name="常规 3 4 2 3 3 4" xfId="19584"/>
    <cellStyle name="常规 3 4 2 3 4" xfId="19614"/>
    <cellStyle name="常规 3 4 2 3 4 2" xfId="11909"/>
    <cellStyle name="常规 3 4 2 3 4 2 2" xfId="16943"/>
    <cellStyle name="常规 3 4 2 3 4 2 3" xfId="608"/>
    <cellStyle name="常规 3 4 2 3 4 2 3 2" xfId="618"/>
    <cellStyle name="常规 3 4 2 3 4 3" xfId="11912"/>
    <cellStyle name="常规 3 4 2 3 4 4" xfId="19653"/>
    <cellStyle name="常规 3 4 2 3 5" xfId="19727"/>
    <cellStyle name="常规 3 4 2 4" xfId="25329"/>
    <cellStyle name="常规 3 4 2 4 2" xfId="20101"/>
    <cellStyle name="常规 3 4 2 4 2 2" xfId="20113"/>
    <cellStyle name="常规 3 4 2 4 2 3" xfId="20173"/>
    <cellStyle name="常规 3 4 2 4 3" xfId="20210"/>
    <cellStyle name="常规 3 4 2 4 3 2" xfId="20230"/>
    <cellStyle name="常规 3 4 2 4 3 2 2" xfId="17589"/>
    <cellStyle name="常规 3 4 2 4 3 2 3" xfId="17592"/>
    <cellStyle name="常规 3 4 2 4 3 2 3 2" xfId="854"/>
    <cellStyle name="常规 3 4 2 4 3 3" xfId="20271"/>
    <cellStyle name="常规 3 4 2 4 3 4" xfId="10014"/>
    <cellStyle name="常规 3 4 2 4 4" xfId="20334"/>
    <cellStyle name="常规 3 4 2 5" xfId="2931"/>
    <cellStyle name="常规 3 4 2 5 2" xfId="4072"/>
    <cellStyle name="常规 3 4 2 5 2 2" xfId="2000"/>
    <cellStyle name="常规 3 4 2 5 2 3" xfId="803"/>
    <cellStyle name="常规 3 4 2 5 2 3 2" xfId="3185"/>
    <cellStyle name="常规 3 4 2 5 3" xfId="4085"/>
    <cellStyle name="常规 3 4 2 5 4" xfId="18599"/>
    <cellStyle name="常规 3 4 2 6" xfId="4089"/>
    <cellStyle name="常规 3 4 3" xfId="25330"/>
    <cellStyle name="常规 3 4 3 2" xfId="25332"/>
    <cellStyle name="常规 3 4 3 2 2" xfId="25333"/>
    <cellStyle name="常规 3 4 3 2 2 2" xfId="25334"/>
    <cellStyle name="常规 3 4 3 2 2 2 2" xfId="25336"/>
    <cellStyle name="常规 3 4 3 2 2 2 3" xfId="25337"/>
    <cellStyle name="常规 3 4 3 2 2 3" xfId="25338"/>
    <cellStyle name="常规 3 4 3 2 2 3 2" xfId="25339"/>
    <cellStyle name="常规 3 4 3 2 2 3 2 2" xfId="15796"/>
    <cellStyle name="常规 3 4 3 2 2 3 2 3" xfId="15798"/>
    <cellStyle name="常规 3 4 3 2 2 3 2 3 2" xfId="25340"/>
    <cellStyle name="常规 3 4 3 2 2 3 3" xfId="25341"/>
    <cellStyle name="常规 3 4 3 2 2 3 4" xfId="25342"/>
    <cellStyle name="常规 3 4 3 2 2 4" xfId="25343"/>
    <cellStyle name="常规 3 4 3 2 3" xfId="25344"/>
    <cellStyle name="常规 3 4 3 2 3 2" xfId="25346"/>
    <cellStyle name="常规 3 4 3 2 3 2 2" xfId="1705"/>
    <cellStyle name="常规 3 4 3 2 3 2 3" xfId="19008"/>
    <cellStyle name="常规 3 4 3 2 3 2 3 2" xfId="19011"/>
    <cellStyle name="常规 3 4 3 2 3 3" xfId="25347"/>
    <cellStyle name="常规 3 4 3 2 3 4" xfId="25348"/>
    <cellStyle name="常规 3 4 3 2 4" xfId="25350"/>
    <cellStyle name="常规 3 4 3 3" xfId="25351"/>
    <cellStyle name="常规 3 4 3 3 2" xfId="18080"/>
    <cellStyle name="常规 3 4 3 3 2 2" xfId="18133"/>
    <cellStyle name="常规 3 4 3 3 2 2 2" xfId="13527"/>
    <cellStyle name="常规 3 4 3 3 2 2 2 2" xfId="13531"/>
    <cellStyle name="常规 3 4 3 3 2 2 2 3" xfId="13536"/>
    <cellStyle name="常规 3 4 3 3 2 2 2 3 2" xfId="25352"/>
    <cellStyle name="常规 3 4 3 3 2 2 3" xfId="4031"/>
    <cellStyle name="常规 3 4 3 3 2 2 4" xfId="1861"/>
    <cellStyle name="常规 3 4 3 3 2 3" xfId="18185"/>
    <cellStyle name="常规 3 4 3 3 3" xfId="18203"/>
    <cellStyle name="常规 3 4 3 3 3 2" xfId="18254"/>
    <cellStyle name="常规 3 4 3 3 3 2 2" xfId="12991"/>
    <cellStyle name="常规 3 4 3 3 3 2 3" xfId="4266"/>
    <cellStyle name="常规 3 4 3 3 3 3" xfId="18280"/>
    <cellStyle name="常规 3 4 3 3 3 3 2" xfId="14078"/>
    <cellStyle name="常规 3 4 3 3 3 3 2 2" xfId="12998"/>
    <cellStyle name="常规 3 4 3 3 3 3 2 3" xfId="6648"/>
    <cellStyle name="常规 3 4 3 3 3 3 2 3 2" xfId="6937"/>
    <cellStyle name="常规 3 4 3 3 3 3 3" xfId="4292"/>
    <cellStyle name="常规 3 4 3 3 3 3 4" xfId="2948"/>
    <cellStyle name="常规 3 4 3 3 3 4" xfId="18288"/>
    <cellStyle name="常规 3 4 3 3 4" xfId="18335"/>
    <cellStyle name="常规 3 4 3 3 4 2" xfId="11923"/>
    <cellStyle name="常规 3 4 3 3 4 2 2" xfId="14283"/>
    <cellStyle name="常规 3 4 3 3 4 2 3" xfId="2695"/>
    <cellStyle name="常规 3 4 3 3 4 2 3 2" xfId="1884"/>
    <cellStyle name="常规 3 4 3 3 4 3" xfId="18350"/>
    <cellStyle name="常规 3 4 3 3 4 4" xfId="18355"/>
    <cellStyle name="常规 3 4 3 3 5" xfId="21837"/>
    <cellStyle name="常规 3 4 3 4" xfId="25353"/>
    <cellStyle name="常规 3 4 3 4 2" xfId="21563"/>
    <cellStyle name="常规 3 4 3 4 2 2" xfId="21589"/>
    <cellStyle name="常规 3 4 3 4 2 2 2" xfId="14748"/>
    <cellStyle name="常规 3 4 3 4 2 2 3" xfId="14752"/>
    <cellStyle name="常规 3 4 3 4 2 3" xfId="21596"/>
    <cellStyle name="常规 3 4 3 4 2 3 2" xfId="1624"/>
    <cellStyle name="常规 3 4 3 4 2 3 2 2" xfId="16351"/>
    <cellStyle name="常规 3 4 3 4 2 3 2 3" xfId="16367"/>
    <cellStyle name="常规 3 4 3 4 2 3 2 3 2" xfId="18838"/>
    <cellStyle name="常规 3 4 3 4 2 3 3" xfId="1784"/>
    <cellStyle name="常规 3 4 3 4 2 3 4" xfId="1835"/>
    <cellStyle name="常规 3 4 3 4 2 4" xfId="21600"/>
    <cellStyle name="常规 3 4 3 4 3" xfId="21603"/>
    <cellStyle name="常规 3 4 3 4 3 2" xfId="21643"/>
    <cellStyle name="常规 3 4 3 4 3 2 2" xfId="9754"/>
    <cellStyle name="常规 3 4 3 4 3 2 3" xfId="9759"/>
    <cellStyle name="常规 3 4 3 4 3 2 3 2" xfId="11193"/>
    <cellStyle name="常规 3 4 3 4 3 3" xfId="21653"/>
    <cellStyle name="常规 3 4 3 4 3 4" xfId="10054"/>
    <cellStyle name="常规 3 4 3 4 4" xfId="21670"/>
    <cellStyle name="常规 3 4 3 5" xfId="4106"/>
    <cellStyle name="常规 3 4 3 5 2" xfId="22086"/>
    <cellStyle name="常规 3 4 3 5 2 2" xfId="2342"/>
    <cellStyle name="常规 3 4 3 5 2 3" xfId="1226"/>
    <cellStyle name="常规 3 4 3 5 3" xfId="22089"/>
    <cellStyle name="常规 3 4 3 5 3 2" xfId="2413"/>
    <cellStyle name="常规 3 4 3 5 3 2 2" xfId="21415"/>
    <cellStyle name="常规 3 4 3 5 3 2 3" xfId="21419"/>
    <cellStyle name="常规 3 4 3 5 3 2 3 2" xfId="16450"/>
    <cellStyle name="常规 3 4 3 5 3 3" xfId="3517"/>
    <cellStyle name="常规 3 4 3 5 3 4" xfId="3525"/>
    <cellStyle name="常规 3 4 3 5 4" xfId="22092"/>
    <cellStyle name="常规 3 4 3 6" xfId="4118"/>
    <cellStyle name="常规 3 4 3 6 2" xfId="22255"/>
    <cellStyle name="常规 3 4 3 6 2 2" xfId="2483"/>
    <cellStyle name="常规 3 4 3 6 2 3" xfId="3570"/>
    <cellStyle name="常规 3 4 3 6 2 3 2" xfId="1400"/>
    <cellStyle name="常规 3 4 3 6 3" xfId="22262"/>
    <cellStyle name="常规 3 4 3 6 4" xfId="5762"/>
    <cellStyle name="常规 3 4 3 7" xfId="25354"/>
    <cellStyle name="常规 3 4 4" xfId="25355"/>
    <cellStyle name="常规 3 4 4 2" xfId="25356"/>
    <cellStyle name="常规 3 4 4 2 2" xfId="25357"/>
    <cellStyle name="常规 3 4 4 2 2 2" xfId="8482"/>
    <cellStyle name="常规 3 4 4 2 2 2 2" xfId="2339"/>
    <cellStyle name="常规 3 4 4 2 2 2 3" xfId="19912"/>
    <cellStyle name="常规 3 4 4 2 2 2 3 2" xfId="25358"/>
    <cellStyle name="常规 3 4 4 2 2 3" xfId="25359"/>
    <cellStyle name="常规 3 4 4 2 2 4" xfId="25360"/>
    <cellStyle name="常规 3 4 4 2 3" xfId="25361"/>
    <cellStyle name="常规 3 4 4 3" xfId="25363"/>
    <cellStyle name="常规 3 4 4 3 2" xfId="22575"/>
    <cellStyle name="常规 3 4 4 3 2 2" xfId="22588"/>
    <cellStyle name="常规 3 4 4 3 2 3" xfId="22590"/>
    <cellStyle name="常规 3 4 4 3 3" xfId="22598"/>
    <cellStyle name="常规 3 4 4 3 3 2" xfId="22600"/>
    <cellStyle name="常规 3 4 4 3 3 2 2" xfId="15716"/>
    <cellStyle name="常规 3 4 4 3 3 2 3" xfId="4902"/>
    <cellStyle name="常规 3 4 4 3 3 2 3 2" xfId="4911"/>
    <cellStyle name="常规 3 4 4 3 3 3" xfId="22602"/>
    <cellStyle name="常规 3 4 4 3 3 4" xfId="22604"/>
    <cellStyle name="常规 3 4 4 3 4" xfId="22608"/>
    <cellStyle name="常规 3 4 4 4" xfId="25364"/>
    <cellStyle name="常规 3 4 4 4 2" xfId="22764"/>
    <cellStyle name="常规 3 4 4 4 2 2" xfId="22766"/>
    <cellStyle name="常规 3 4 4 4 2 3" xfId="22768"/>
    <cellStyle name="常规 3 4 4 4 2 3 2" xfId="713"/>
    <cellStyle name="常规 3 4 4 4 3" xfId="22775"/>
    <cellStyle name="常规 3 4 4 4 4" xfId="22781"/>
    <cellStyle name="常规 3 4 4 5" xfId="25365"/>
    <cellStyle name="常规 3 4 5" xfId="25366"/>
    <cellStyle name="常规 3 4 5 2" xfId="11759"/>
    <cellStyle name="常规 3 4 5 2 2" xfId="4623"/>
    <cellStyle name="常规 3 4 5 2 3" xfId="11763"/>
    <cellStyle name="常规 3 4 5 3" xfId="11780"/>
    <cellStyle name="常规 3 4 5 3 2" xfId="11782"/>
    <cellStyle name="常规 3 4 5 3 2 2" xfId="11785"/>
    <cellStyle name="常规 3 4 5 3 2 3" xfId="11788"/>
    <cellStyle name="常规 3 4 5 3 2 3 2" xfId="11793"/>
    <cellStyle name="常规 3 4 5 3 3" xfId="11798"/>
    <cellStyle name="常规 3 4 5 3 4" xfId="11802"/>
    <cellStyle name="常规 3 4 5 4" xfId="4930"/>
    <cellStyle name="常规 3 4 6" xfId="25368"/>
    <cellStyle name="常规 3 4 6 2" xfId="11830"/>
    <cellStyle name="常规 3 4 6 2 2" xfId="11833"/>
    <cellStyle name="常规 3 4 6 2 3" xfId="11839"/>
    <cellStyle name="常规 3 4 6 2 3 2" xfId="25370"/>
    <cellStyle name="常规 3 4 6 3" xfId="11842"/>
    <cellStyle name="常规 3 4 6 4" xfId="25371"/>
    <cellStyle name="常规 3 4 7" xfId="25373"/>
    <cellStyle name="常规 3 5" xfId="6285"/>
    <cellStyle name="常规 3 5 2" xfId="25374"/>
    <cellStyle name="常规 3 5 2 2" xfId="25375"/>
    <cellStyle name="常规 3 5 2 2 2" xfId="25376"/>
    <cellStyle name="常规 3 5 2 2 2 2" xfId="25378"/>
    <cellStyle name="常规 3 5 2 2 2 3" xfId="25380"/>
    <cellStyle name="常规 3 5 2 2 3" xfId="25381"/>
    <cellStyle name="常规 3 5 2 2 3 2" xfId="25383"/>
    <cellStyle name="常规 3 5 2 2 3 2 2" xfId="25386"/>
    <cellStyle name="常规 3 5 2 2 3 2 3" xfId="9492"/>
    <cellStyle name="常规 3 5 2 2 3 2 3 2" xfId="15926"/>
    <cellStyle name="常规 3 5 2 2 3 3" xfId="25388"/>
    <cellStyle name="常规 3 5 2 2 3 4" xfId="25389"/>
    <cellStyle name="常规 3 5 2 2 4" xfId="25390"/>
    <cellStyle name="常规 3 5 2 3" xfId="25391"/>
    <cellStyle name="常规 3 5 2 3 2" xfId="25392"/>
    <cellStyle name="常规 3 5 2 3 2 2" xfId="25395"/>
    <cellStyle name="常规 3 5 2 3 2 3" xfId="25397"/>
    <cellStyle name="常规 3 5 2 3 2 3 2" xfId="3474"/>
    <cellStyle name="常规 3 5 2 3 3" xfId="25398"/>
    <cellStyle name="常规 3 5 2 3 4" xfId="25399"/>
    <cellStyle name="常规 3 5 2 4" xfId="18389"/>
    <cellStyle name="常规 3 5 3" xfId="25400"/>
    <cellStyle name="常规 3 5 3 2" xfId="25402"/>
    <cellStyle name="常规 3 5 3 2 2" xfId="25403"/>
    <cellStyle name="常规 3 5 3 2 2 2" xfId="18114"/>
    <cellStyle name="常规 3 5 3 2 2 2 2" xfId="25404"/>
    <cellStyle name="常规 3 5 3 2 2 2 3" xfId="25405"/>
    <cellStyle name="常规 3 5 3 2 2 2 3 2" xfId="24014"/>
    <cellStyle name="常规 3 5 3 2 2 3" xfId="19411"/>
    <cellStyle name="常规 3 5 3 2 2 4" xfId="8179"/>
    <cellStyle name="常规 3 5 3 2 3" xfId="25406"/>
    <cellStyle name="常规 3 5 3 3" xfId="25407"/>
    <cellStyle name="常规 3 5 3 3 2" xfId="18715"/>
    <cellStyle name="常规 3 5 3 3 2 2" xfId="25408"/>
    <cellStyle name="常规 3 5 3 3 2 3" xfId="25409"/>
    <cellStyle name="常规 3 5 3 3 3" xfId="18717"/>
    <cellStyle name="常规 3 5 3 3 3 2" xfId="25410"/>
    <cellStyle name="常规 3 5 3 3 3 2 2" xfId="19029"/>
    <cellStyle name="常规 3 5 3 3 3 2 3" xfId="13754"/>
    <cellStyle name="常规 3 5 3 3 3 2 3 2" xfId="19047"/>
    <cellStyle name="常规 3 5 3 3 3 3" xfId="25411"/>
    <cellStyle name="常规 3 5 3 3 3 4" xfId="25412"/>
    <cellStyle name="常规 3 5 3 3 4" xfId="18719"/>
    <cellStyle name="常规 3 5 3 4" xfId="18393"/>
    <cellStyle name="常规 3 5 3 4 2" xfId="25413"/>
    <cellStyle name="常规 3 5 3 4 2 2" xfId="25414"/>
    <cellStyle name="常规 3 5 3 4 2 3" xfId="25415"/>
    <cellStyle name="常规 3 5 3 4 2 3 2" xfId="3162"/>
    <cellStyle name="常规 3 5 3 4 3" xfId="25416"/>
    <cellStyle name="常规 3 5 3 4 4" xfId="25417"/>
    <cellStyle name="常规 3 5 3 5" xfId="17161"/>
    <cellStyle name="常规 3 5 4" xfId="25418"/>
    <cellStyle name="常规 3 5 4 2" xfId="25419"/>
    <cellStyle name="常规 3 5 4 2 2" xfId="25421"/>
    <cellStyle name="常规 3 5 4 2 2 2" xfId="5922"/>
    <cellStyle name="常规 3 5 4 2 2 3" xfId="25422"/>
    <cellStyle name="常规 3 5 4 2 3" xfId="25423"/>
    <cellStyle name="常规 3 5 4 2 3 2" xfId="25424"/>
    <cellStyle name="常规 3 5 4 2 3 2 2" xfId="17813"/>
    <cellStyle name="常规 3 5 4 2 3 2 3" xfId="17819"/>
    <cellStyle name="常规 3 5 4 2 3 2 3 2" xfId="17828"/>
    <cellStyle name="常规 3 5 4 2 3 3" xfId="25425"/>
    <cellStyle name="常规 3 5 4 2 3 4" xfId="25426"/>
    <cellStyle name="常规 3 5 4 2 4" xfId="25427"/>
    <cellStyle name="常规 3 5 4 3" xfId="25428"/>
    <cellStyle name="常规 3 5 4 3 2" xfId="25429"/>
    <cellStyle name="常规 3 5 4 3 2 2" xfId="19855"/>
    <cellStyle name="常规 3 5 4 3 2 3" xfId="19860"/>
    <cellStyle name="常规 3 5 4 3 2 3 2" xfId="6018"/>
    <cellStyle name="常规 3 5 4 3 3" xfId="25430"/>
    <cellStyle name="常规 3 5 4 3 4" xfId="25431"/>
    <cellStyle name="常规 3 5 4 4" xfId="18395"/>
    <cellStyle name="常规 3 5 5" xfId="25432"/>
    <cellStyle name="常规 3 5 5 2" xfId="11878"/>
    <cellStyle name="常规 3 5 5 2 2" xfId="11881"/>
    <cellStyle name="常规 3 5 5 2 3" xfId="11884"/>
    <cellStyle name="常规 3 5 5 3" xfId="11890"/>
    <cellStyle name="常规 3 5 5 3 2" xfId="25433"/>
    <cellStyle name="常规 3 5 5 3 2 2" xfId="21646"/>
    <cellStyle name="常规 3 5 5 3 2 3" xfId="21648"/>
    <cellStyle name="常规 3 5 5 3 2 3 2" xfId="20601"/>
    <cellStyle name="常规 3 5 5 3 3" xfId="25434"/>
    <cellStyle name="常规 3 5 5 3 4" xfId="25435"/>
    <cellStyle name="常规 3 5 5 4" xfId="18397"/>
    <cellStyle name="常规 3 5 6" xfId="25437"/>
    <cellStyle name="常规 3 5 6 2" xfId="8577"/>
    <cellStyle name="常规 3 5 6 2 2" xfId="25439"/>
    <cellStyle name="常规 3 5 6 2 3" xfId="25441"/>
    <cellStyle name="常规 3 5 6 2 3 2" xfId="21431"/>
    <cellStyle name="常规 3 5 6 3" xfId="9029"/>
    <cellStyle name="常规 3 5 6 4" xfId="18399"/>
    <cellStyle name="常规 3 5 7" xfId="25443"/>
    <cellStyle name="常规 3 6" xfId="15628"/>
    <cellStyle name="常规 3 6 2" xfId="25445"/>
    <cellStyle name="常规 3 6 2 2" xfId="10031"/>
    <cellStyle name="常规 3 6 2 2 2" xfId="25447"/>
    <cellStyle name="常规 3 6 2 2 2 2" xfId="25448"/>
    <cellStyle name="常规 3 6 2 2 2 3" xfId="25449"/>
    <cellStyle name="常规 3 6 2 2 2 3 2" xfId="25450"/>
    <cellStyle name="常规 3 6 2 2 3" xfId="25451"/>
    <cellStyle name="常规 3 6 2 2 4" xfId="25452"/>
    <cellStyle name="常规 3 6 2 3" xfId="25454"/>
    <cellStyle name="常规 3 6 3" xfId="25456"/>
    <cellStyle name="常规 3 6 3 2" xfId="25458"/>
    <cellStyle name="常规 3 6 3 2 2" xfId="25459"/>
    <cellStyle name="常规 3 6 3 2 3" xfId="25460"/>
    <cellStyle name="常规 3 6 3 3" xfId="25461"/>
    <cellStyle name="常规 3 6 3 3 2" xfId="25462"/>
    <cellStyle name="常规 3 6 3 3 2 2" xfId="25463"/>
    <cellStyle name="常规 3 6 3 3 2 3" xfId="25464"/>
    <cellStyle name="常规 3 6 3 3 2 3 2" xfId="11144"/>
    <cellStyle name="常规 3 6 3 3 3" xfId="25465"/>
    <cellStyle name="常规 3 6 3 3 4" xfId="16542"/>
    <cellStyle name="常规 3 6 3 4" xfId="25466"/>
    <cellStyle name="常规 3 6 4" xfId="25467"/>
    <cellStyle name="常规 3 6 4 2" xfId="25468"/>
    <cellStyle name="常规 3 6 4 2 2" xfId="15529"/>
    <cellStyle name="常规 3 6 4 2 3" xfId="25469"/>
    <cellStyle name="常规 3 6 4 2 3 2" xfId="25470"/>
    <cellStyle name="常规 3 6 4 3" xfId="25471"/>
    <cellStyle name="常规 3 6 4 4" xfId="25472"/>
    <cellStyle name="常规 3 6 5" xfId="24941"/>
    <cellStyle name="常规 3 7" xfId="21245"/>
    <cellStyle name="常规 3 7 2" xfId="25474"/>
    <cellStyle name="常规 3 7 2 2" xfId="25475"/>
    <cellStyle name="常规 3 7 2 2 2" xfId="25477"/>
    <cellStyle name="常规 3 7 2 2 2 2" xfId="25479"/>
    <cellStyle name="常规 3 7 2 2 2 3" xfId="18511"/>
    <cellStyle name="常规 3 7 2 2 2 3 2" xfId="10691"/>
    <cellStyle name="常规 3 7 2 2 3" xfId="25482"/>
    <cellStyle name="常规 3 7 2 2 4" xfId="25485"/>
    <cellStyle name="常规 3 7 2 3" xfId="25026"/>
    <cellStyle name="常规 3 7 3" xfId="25487"/>
    <cellStyle name="常规 3 7 3 2" xfId="25488"/>
    <cellStyle name="常规 3 7 3 2 2" xfId="25490"/>
    <cellStyle name="常规 3 7 3 2 3" xfId="25491"/>
    <cellStyle name="常规 3 7 3 3" xfId="25492"/>
    <cellStyle name="常规 3 7 3 3 2" xfId="25493"/>
    <cellStyle name="常规 3 7 3 3 2 2" xfId="25494"/>
    <cellStyle name="常规 3 7 3 3 2 3" xfId="25495"/>
    <cellStyle name="常规 3 7 3 3 2 3 2" xfId="22447"/>
    <cellStyle name="常规 3 7 3 3 3" xfId="25496"/>
    <cellStyle name="常规 3 7 3 3 4" xfId="16896"/>
    <cellStyle name="常规 3 7 3 4" xfId="25497"/>
    <cellStyle name="常规 3 7 4" xfId="25498"/>
    <cellStyle name="常规 3 7 4 2" xfId="25499"/>
    <cellStyle name="常规 3 7 4 2 2" xfId="25500"/>
    <cellStyle name="常规 3 7 4 2 3" xfId="25501"/>
    <cellStyle name="常规 3 7 4 2 3 2" xfId="25502"/>
    <cellStyle name="常规 3 7 4 3" xfId="25503"/>
    <cellStyle name="常规 3 7 4 4" xfId="25504"/>
    <cellStyle name="常规 3 7 5" xfId="25505"/>
    <cellStyle name="常规 3 8" xfId="25507"/>
    <cellStyle name="常规 3 8 2" xfId="25508"/>
    <cellStyle name="常规 3 8 2 2" xfId="25509"/>
    <cellStyle name="常规 3 8 2 3" xfId="25510"/>
    <cellStyle name="常规 3 8 3" xfId="461"/>
    <cellStyle name="常规 3 8 3 2" xfId="25511"/>
    <cellStyle name="常规 3 8 3 2 2" xfId="25512"/>
    <cellStyle name="常规 3 8 3 2 3" xfId="25513"/>
    <cellStyle name="常规 3 8 3 2 3 2" xfId="14237"/>
    <cellStyle name="常规 3 8 3 3" xfId="25514"/>
    <cellStyle name="常规 3 8 3 4" xfId="25515"/>
    <cellStyle name="常规 3 8 4" xfId="25516"/>
    <cellStyle name="常规 3 9" xfId="25517"/>
    <cellStyle name="常规 3 9 2" xfId="25518"/>
    <cellStyle name="常规 3 9 2 2" xfId="21303"/>
    <cellStyle name="常规 3 9 2 3" xfId="25519"/>
    <cellStyle name="常规 3 9 2 3 2" xfId="25520"/>
    <cellStyle name="常规 3 9 3" xfId="25521"/>
    <cellStyle name="常规 3 9 4" xfId="25522"/>
    <cellStyle name="常规 4" xfId="20475"/>
    <cellStyle name="常规 4 10" xfId="25523"/>
    <cellStyle name="常规 4 11" xfId="25524"/>
    <cellStyle name="常规 4 2" xfId="6293"/>
    <cellStyle name="常规 4 2 2" xfId="23282"/>
    <cellStyle name="常规 4 2 2 2" xfId="20860"/>
    <cellStyle name="常规 4 2 2 2 2" xfId="25525"/>
    <cellStyle name="常规 4 2 2 2 2 2" xfId="25527"/>
    <cellStyle name="常规 4 2 2 2 2 2 2" xfId="17210"/>
    <cellStyle name="常规 4 2 2 2 2 2 2 2" xfId="25528"/>
    <cellStyle name="常规 4 2 2 2 2 2 2 3" xfId="25529"/>
    <cellStyle name="常规 4 2 2 2 2 2 2 3 2" xfId="25530"/>
    <cellStyle name="常规 4 2 2 2 2 2 3" xfId="17217"/>
    <cellStyle name="常规 4 2 2 2 2 2 4" xfId="19742"/>
    <cellStyle name="常规 4 2 2 2 2 3" xfId="25531"/>
    <cellStyle name="常规 4 2 2 2 3" xfId="25532"/>
    <cellStyle name="常规 4 2 2 2 3 2" xfId="25533"/>
    <cellStyle name="常规 4 2 2 2 3 2 2" xfId="7508"/>
    <cellStyle name="常规 4 2 2 2 3 2 3" xfId="17292"/>
    <cellStyle name="常规 4 2 2 2 3 3" xfId="25534"/>
    <cellStyle name="常规 4 2 2 2 3 3 2" xfId="25535"/>
    <cellStyle name="常规 4 2 2 2 3 3 2 2" xfId="25537"/>
    <cellStyle name="常规 4 2 2 2 3 3 2 3" xfId="25538"/>
    <cellStyle name="常规 4 2 2 2 3 3 2 3 2" xfId="24141"/>
    <cellStyle name="常规 4 2 2 2 3 3 3" xfId="24861"/>
    <cellStyle name="常规 4 2 2 2 3 3 4" xfId="24872"/>
    <cellStyle name="常规 4 2 2 2 3 4" xfId="25539"/>
    <cellStyle name="常规 4 2 2 2 4" xfId="25540"/>
    <cellStyle name="常规 4 2 2 2 4 2" xfId="14574"/>
    <cellStyle name="常规 4 2 2 2 4 2 2" xfId="1959"/>
    <cellStyle name="常规 4 2 2 2 4 2 3" xfId="25542"/>
    <cellStyle name="常规 4 2 2 2 4 2 3 2" xfId="20715"/>
    <cellStyle name="常规 4 2 2 2 4 3" xfId="14578"/>
    <cellStyle name="常规 4 2 2 2 4 4" xfId="25543"/>
    <cellStyle name="常规 4 2 2 2 5" xfId="25544"/>
    <cellStyle name="常规 4 2 2 3" xfId="20862"/>
    <cellStyle name="常规 4 2 2 3 2" xfId="25545"/>
    <cellStyle name="常规 4 2 2 3 2 2" xfId="25546"/>
    <cellStyle name="常规 4 2 2 3 2 2 2" xfId="25547"/>
    <cellStyle name="常规 4 2 2 3 2 2 3" xfId="25548"/>
    <cellStyle name="常规 4 2 2 3 2 3" xfId="25549"/>
    <cellStyle name="常规 4 2 2 3 2 3 2" xfId="25550"/>
    <cellStyle name="常规 4 2 2 3 2 3 2 2" xfId="2573"/>
    <cellStyle name="常规 4 2 2 3 2 3 2 3" xfId="15504"/>
    <cellStyle name="常规 4 2 2 3 2 3 2 3 2" xfId="25552"/>
    <cellStyle name="常规 4 2 2 3 2 3 3" xfId="25309"/>
    <cellStyle name="常规 4 2 2 3 2 3 4" xfId="25325"/>
    <cellStyle name="常规 4 2 2 3 2 4" xfId="25553"/>
    <cellStyle name="常规 4 2 2 3 3" xfId="25554"/>
    <cellStyle name="常规 4 2 2 3 3 2" xfId="25555"/>
    <cellStyle name="常规 4 2 2 3 3 2 2" xfId="25556"/>
    <cellStyle name="常规 4 2 2 3 3 2 3" xfId="25557"/>
    <cellStyle name="常规 4 2 2 3 3 2 3 2" xfId="25559"/>
    <cellStyle name="常规 4 2 2 3 3 3" xfId="25560"/>
    <cellStyle name="常规 4 2 2 3 3 4" xfId="25561"/>
    <cellStyle name="常规 4 2 2 3 4" xfId="25562"/>
    <cellStyle name="常规 4 2 2 4" xfId="20864"/>
    <cellStyle name="常规 4 2 2 4 2" xfId="25563"/>
    <cellStyle name="常规 4 2 2 4 2 2" xfId="25565"/>
    <cellStyle name="常规 4 2 2 4 2 3" xfId="25566"/>
    <cellStyle name="常规 4 2 2 4 3" xfId="25567"/>
    <cellStyle name="常规 4 2 2 4 3 2" xfId="25568"/>
    <cellStyle name="常规 4 2 2 4 3 2 2" xfId="25569"/>
    <cellStyle name="常规 4 2 2 4 3 2 3" xfId="25570"/>
    <cellStyle name="常规 4 2 2 4 3 2 3 2" xfId="25572"/>
    <cellStyle name="常规 4 2 2 4 3 3" xfId="25573"/>
    <cellStyle name="常规 4 2 2 4 3 4" xfId="25574"/>
    <cellStyle name="常规 4 2 2 4 4" xfId="25575"/>
    <cellStyle name="常规 4 2 2 5" xfId="25576"/>
    <cellStyle name="常规 4 2 2 5 2" xfId="25577"/>
    <cellStyle name="常规 4 2 2 5 2 2" xfId="25578"/>
    <cellStyle name="常规 4 2 2 5 2 3" xfId="25579"/>
    <cellStyle name="常规 4 2 2 5 2 3 2" xfId="25580"/>
    <cellStyle name="常规 4 2 2 5 3" xfId="25581"/>
    <cellStyle name="常规 4 2 2 5 4" xfId="25582"/>
    <cellStyle name="常规 4 2 2 6" xfId="6458"/>
    <cellStyle name="常规 4 2 3" xfId="4459"/>
    <cellStyle name="常规 4 2 3 2" xfId="7297"/>
    <cellStyle name="常规 4 2 3 2 2" xfId="18296"/>
    <cellStyle name="常规 4 2 3 2 2 2" xfId="14112"/>
    <cellStyle name="常规 4 2 3 2 2 2 2" xfId="14602"/>
    <cellStyle name="常规 4 2 3 2 2 2 3" xfId="4937"/>
    <cellStyle name="常规 4 2 3 2 2 2 3 2" xfId="4949"/>
    <cellStyle name="常规 4 2 3 2 2 3" xfId="14116"/>
    <cellStyle name="常规 4 2 3 2 2 4" xfId="14122"/>
    <cellStyle name="常规 4 2 3 2 3" xfId="18306"/>
    <cellStyle name="常规 4 2 3 3" xfId="6477"/>
    <cellStyle name="常规 4 2 3 3 2" xfId="18360"/>
    <cellStyle name="常规 4 2 3 3 2 2" xfId="14493"/>
    <cellStyle name="常规 4 2 3 3 2 3" xfId="14498"/>
    <cellStyle name="常规 4 2 3 3 3" xfId="18363"/>
    <cellStyle name="常规 4 2 3 3 3 2" xfId="14512"/>
    <cellStyle name="常规 4 2 3 3 3 2 2" xfId="21802"/>
    <cellStyle name="常规 4 2 3 3 3 2 3" xfId="25584"/>
    <cellStyle name="常规 4 2 3 3 3 2 3 2" xfId="25586"/>
    <cellStyle name="常规 4 2 3 3 3 3" xfId="14517"/>
    <cellStyle name="常规 4 2 3 3 3 4" xfId="14521"/>
    <cellStyle name="常规 4 2 3 3 4" xfId="18369"/>
    <cellStyle name="常规 4 2 3 4" xfId="18249"/>
    <cellStyle name="常规 4 2 3 4 2" xfId="21842"/>
    <cellStyle name="常规 4 2 3 4 2 2" xfId="7557"/>
    <cellStyle name="常规 4 2 3 4 2 3" xfId="8191"/>
    <cellStyle name="常规 4 2 3 4 2 3 2" xfId="8197"/>
    <cellStyle name="常规 4 2 3 4 3" xfId="21844"/>
    <cellStyle name="常规 4 2 3 4 4" xfId="21846"/>
    <cellStyle name="常规 4 2 3 5" xfId="25587"/>
    <cellStyle name="常规 4 2 4" xfId="4471"/>
    <cellStyle name="常规 4 2 4 2" xfId="18673"/>
    <cellStyle name="常规 4 2 4 2 2" xfId="10109"/>
    <cellStyle name="常规 4 2 4 2 2 2" xfId="14991"/>
    <cellStyle name="常规 4 2 4 2 2 2 2" xfId="25588"/>
    <cellStyle name="常规 4 2 4 2 2 2 3" xfId="25589"/>
    <cellStyle name="常规 4 2 4 2 2 2 3 2" xfId="14401"/>
    <cellStyle name="常规 4 2 4 2 2 3" xfId="14994"/>
    <cellStyle name="常规 4 2 4 2 2 4" xfId="14997"/>
    <cellStyle name="常规 4 2 4 2 3" xfId="21660"/>
    <cellStyle name="常规 4 2 4 3" xfId="18678"/>
    <cellStyle name="常规 4 2 4 3 2" xfId="21707"/>
    <cellStyle name="常规 4 2 4 3 2 2" xfId="21710"/>
    <cellStyle name="常规 4 2 4 3 2 3" xfId="21712"/>
    <cellStyle name="常规 4 2 4 3 3" xfId="21716"/>
    <cellStyle name="常规 4 2 4 3 3 2" xfId="21719"/>
    <cellStyle name="常规 4 2 4 3 3 2 2" xfId="25590"/>
    <cellStyle name="常规 4 2 4 3 3 2 3" xfId="25592"/>
    <cellStyle name="常规 4 2 4 3 3 2 3 2" xfId="4441"/>
    <cellStyle name="常规 4 2 4 3 3 3" xfId="1115"/>
    <cellStyle name="常规 4 2 4 3 3 4" xfId="2681"/>
    <cellStyle name="常规 4 2 4 3 4" xfId="12585"/>
    <cellStyle name="常规 4 2 4 4" xfId="18683"/>
    <cellStyle name="常规 4 2 4 4 2" xfId="6512"/>
    <cellStyle name="常规 4 2 4 4 2 2" xfId="7728"/>
    <cellStyle name="常规 4 2 4 4 2 3" xfId="8264"/>
    <cellStyle name="常规 4 2 4 4 2 3 2" xfId="25593"/>
    <cellStyle name="常规 4 2 4 4 3" xfId="1170"/>
    <cellStyle name="常规 4 2 4 4 4" xfId="21894"/>
    <cellStyle name="常规 4 2 4 5" xfId="25594"/>
    <cellStyle name="常规 4 2 5" xfId="23284"/>
    <cellStyle name="常规 4 2 5 2" xfId="2438"/>
    <cellStyle name="常规 4 2 5 2 2" xfId="4516"/>
    <cellStyle name="常规 4 2 5 2 2 2" xfId="24081"/>
    <cellStyle name="常规 4 2 5 2 2 2 2" xfId="25595"/>
    <cellStyle name="常规 4 2 5 2 2 2 3" xfId="25596"/>
    <cellStyle name="常规 4 2 5 2 2 2 3 2" xfId="14066"/>
    <cellStyle name="常规 4 2 5 2 2 3" xfId="24083"/>
    <cellStyle name="常规 4 2 5 2 2 4" xfId="24085"/>
    <cellStyle name="常规 4 2 5 2 3" xfId="1310"/>
    <cellStyle name="常规 4 2 5 3" xfId="3548"/>
    <cellStyle name="常规 4 2 5 3 2" xfId="22095"/>
    <cellStyle name="常规 4 2 5 3 2 2" xfId="24248"/>
    <cellStyle name="常规 4 2 5 3 2 3" xfId="24250"/>
    <cellStyle name="常规 4 2 5 3 3" xfId="22099"/>
    <cellStyle name="常规 4 2 5 3 3 2" xfId="1420"/>
    <cellStyle name="常规 4 2 5 3 3 2 2" xfId="25597"/>
    <cellStyle name="常规 4 2 5 3 3 2 3" xfId="25599"/>
    <cellStyle name="常规 4 2 5 3 3 2 3 2" xfId="25600"/>
    <cellStyle name="常规 4 2 5 3 3 3" xfId="25601"/>
    <cellStyle name="常规 4 2 5 3 3 4" xfId="25602"/>
    <cellStyle name="常规 4 2 5 3 4" xfId="22102"/>
    <cellStyle name="常规 4 2 5 4" xfId="6528"/>
    <cellStyle name="常规 4 2 5 4 2" xfId="8278"/>
    <cellStyle name="常规 4 2 5 4 2 2" xfId="23566"/>
    <cellStyle name="常规 4 2 5 4 2 3" xfId="23568"/>
    <cellStyle name="常规 4 2 5 4 2 3 2" xfId="25603"/>
    <cellStyle name="常规 4 2 5 4 3" xfId="1484"/>
    <cellStyle name="常规 4 2 5 4 4" xfId="22111"/>
    <cellStyle name="常规 4 2 5 5" xfId="25604"/>
    <cellStyle name="常规 4 2 6" xfId="23286"/>
    <cellStyle name="常规 4 2 6 2" xfId="4534"/>
    <cellStyle name="常规 4 2 6 2 2" xfId="22265"/>
    <cellStyle name="常规 4 2 6 2 3" xfId="22268"/>
    <cellStyle name="常规 4 2 6 3" xfId="20871"/>
    <cellStyle name="常规 4 2 6 3 2" xfId="5865"/>
    <cellStyle name="常规 4 2 6 3 2 2" xfId="3252"/>
    <cellStyle name="常规 4 2 6 3 2 3" xfId="3286"/>
    <cellStyle name="常规 4 2 6 3 2 3 2" xfId="25605"/>
    <cellStyle name="常规 4 2 6 3 3" xfId="1719"/>
    <cellStyle name="常规 4 2 6 3 4" xfId="1748"/>
    <cellStyle name="常规 4 2 6 4" xfId="4615"/>
    <cellStyle name="常规 4 2 7" xfId="23288"/>
    <cellStyle name="常规 4 2 7 2" xfId="2989"/>
    <cellStyle name="常规 4 2 7 2 2" xfId="22021"/>
    <cellStyle name="常规 4 2 7 2 3" xfId="22025"/>
    <cellStyle name="常规 4 2 7 2 3 2" xfId="25607"/>
    <cellStyle name="常规 4 2 7 3" xfId="20875"/>
    <cellStyle name="常规 4 2 7 4" xfId="4795"/>
    <cellStyle name="常规 4 2 8" xfId="25608"/>
    <cellStyle name="常规 4 3" xfId="6901"/>
    <cellStyle name="常规 4 3 2" xfId="23292"/>
    <cellStyle name="常规 4 3 2 2" xfId="20906"/>
    <cellStyle name="常规 4 3 2 2 2" xfId="25609"/>
    <cellStyle name="常规 4 3 2 2 2 2" xfId="18981"/>
    <cellStyle name="常规 4 3 2 2 2 2 2" xfId="18984"/>
    <cellStyle name="常规 4 3 2 2 2 2 2 2" xfId="20842"/>
    <cellStyle name="常规 4 3 2 2 2 2 2 3" xfId="21188"/>
    <cellStyle name="常规 4 3 2 2 2 2 2 3 2" xfId="20458"/>
    <cellStyle name="常规 4 3 2 2 2 2 3" xfId="18987"/>
    <cellStyle name="常规 4 3 2 2 2 2 4" xfId="15039"/>
    <cellStyle name="常规 4 3 2 2 2 3" xfId="18990"/>
    <cellStyle name="常规 4 3 2 2 3" xfId="25611"/>
    <cellStyle name="常规 4 3 2 2 3 2" xfId="25612"/>
    <cellStyle name="常规 4 3 2 2 3 2 2" xfId="25613"/>
    <cellStyle name="常规 4 3 2 2 3 2 3" xfId="25614"/>
    <cellStyle name="常规 4 3 2 2 3 3" xfId="25615"/>
    <cellStyle name="常规 4 3 2 2 3 3 2" xfId="25617"/>
    <cellStyle name="常规 4 3 2 2 3 3 2 2" xfId="25618"/>
    <cellStyle name="常规 4 3 2 2 3 3 2 3" xfId="25619"/>
    <cellStyle name="常规 4 3 2 2 3 3 2 3 2" xfId="25620"/>
    <cellStyle name="常规 4 3 2 2 3 3 3" xfId="25622"/>
    <cellStyle name="常规 4 3 2 2 3 3 4" xfId="15219"/>
    <cellStyle name="常规 4 3 2 2 3 4" xfId="25623"/>
    <cellStyle name="常规 4 3 2 2 4" xfId="25624"/>
    <cellStyle name="常规 4 3 2 2 4 2" xfId="25625"/>
    <cellStyle name="常规 4 3 2 2 4 2 2" xfId="25626"/>
    <cellStyle name="常规 4 3 2 2 4 2 3" xfId="25627"/>
    <cellStyle name="常规 4 3 2 2 4 2 3 2" xfId="25628"/>
    <cellStyle name="常规 4 3 2 2 4 3" xfId="25629"/>
    <cellStyle name="常规 4 3 2 2 4 4" xfId="25630"/>
    <cellStyle name="常规 4 3 2 2 5" xfId="25631"/>
    <cellStyle name="常规 4 3 2 3" xfId="20908"/>
    <cellStyle name="常规 4 3 2 3 2" xfId="25632"/>
    <cellStyle name="常规 4 3 2 3 2 2" xfId="25633"/>
    <cellStyle name="常规 4 3 2 3 2 2 2" xfId="25635"/>
    <cellStyle name="常规 4 3 2 3 2 2 3" xfId="25636"/>
    <cellStyle name="常规 4 3 2 3 2 3" xfId="25637"/>
    <cellStyle name="常规 4 3 2 3 2 3 2" xfId="19753"/>
    <cellStyle name="常规 4 3 2 3 2 3 2 2" xfId="13033"/>
    <cellStyle name="常规 4 3 2 3 2 3 2 3" xfId="13040"/>
    <cellStyle name="常规 4 3 2 3 2 3 2 3 2" xfId="25638"/>
    <cellStyle name="常规 4 3 2 3 2 3 3" xfId="19759"/>
    <cellStyle name="常规 4 3 2 3 2 3 4" xfId="15922"/>
    <cellStyle name="常规 4 3 2 3 2 4" xfId="25639"/>
    <cellStyle name="常规 4 3 2 3 3" xfId="25640"/>
    <cellStyle name="常规 4 3 2 3 3 2" xfId="25641"/>
    <cellStyle name="常规 4 3 2 3 3 2 2" xfId="19373"/>
    <cellStyle name="常规 4 3 2 3 3 2 3" xfId="25642"/>
    <cellStyle name="常规 4 3 2 3 3 2 3 2" xfId="23074"/>
    <cellStyle name="常规 4 3 2 3 3 3" xfId="25643"/>
    <cellStyle name="常规 4 3 2 3 3 4" xfId="25644"/>
    <cellStyle name="常规 4 3 2 3 4" xfId="25645"/>
    <cellStyle name="常规 4 3 2 4" xfId="20910"/>
    <cellStyle name="常规 4 3 2 4 2" xfId="25646"/>
    <cellStyle name="常规 4 3 2 4 2 2" xfId="25649"/>
    <cellStyle name="常规 4 3 2 4 2 3" xfId="25652"/>
    <cellStyle name="常规 4 3 2 4 3" xfId="25653"/>
    <cellStyle name="常规 4 3 2 4 3 2" xfId="25655"/>
    <cellStyle name="常规 4 3 2 4 3 2 2" xfId="25657"/>
    <cellStyle name="常规 4 3 2 4 3 2 3" xfId="25659"/>
    <cellStyle name="常规 4 3 2 4 3 2 3 2" xfId="25660"/>
    <cellStyle name="常规 4 3 2 4 3 3" xfId="25662"/>
    <cellStyle name="常规 4 3 2 4 3 4" xfId="25663"/>
    <cellStyle name="常规 4 3 2 4 4" xfId="25664"/>
    <cellStyle name="常规 4 3 2 5" xfId="25665"/>
    <cellStyle name="常规 4 3 2 5 2" xfId="23046"/>
    <cellStyle name="常规 4 3 2 5 2 2" xfId="7322"/>
    <cellStyle name="常规 4 3 2 5 2 3" xfId="13502"/>
    <cellStyle name="常规 4 3 2 5 2 3 2" xfId="13506"/>
    <cellStyle name="常规 4 3 2 5 3" xfId="23048"/>
    <cellStyle name="常规 4 3 2 5 4" xfId="23050"/>
    <cellStyle name="常规 4 3 2 6" xfId="25666"/>
    <cellStyle name="常规 4 3 3" xfId="6913"/>
    <cellStyle name="常规 4 3 3 2" xfId="20916"/>
    <cellStyle name="常规 4 3 3 2 2" xfId="22606"/>
    <cellStyle name="常规 4 3 3 2 2 2" xfId="15738"/>
    <cellStyle name="常规 4 3 3 2 2 2 2" xfId="66"/>
    <cellStyle name="常规 4 3 3 2 2 2 3" xfId="1122"/>
    <cellStyle name="常规 4 3 3 2 2 2 3 2" xfId="4093"/>
    <cellStyle name="常规 4 3 3 2 2 3" xfId="15741"/>
    <cellStyle name="常规 4 3 3 2 2 4" xfId="15744"/>
    <cellStyle name="常规 4 3 3 2 3" xfId="15325"/>
    <cellStyle name="常规 4 3 3 3" xfId="20918"/>
    <cellStyle name="常规 4 3 3 3 2" xfId="15699"/>
    <cellStyle name="常规 4 3 3 3 2 2" xfId="25667"/>
    <cellStyle name="常规 4 3 3 3 2 3" xfId="25668"/>
    <cellStyle name="常规 4 3 3 3 3" xfId="15702"/>
    <cellStyle name="常规 4 3 3 3 3 2" xfId="25669"/>
    <cellStyle name="常规 4 3 3 3 3 2 2" xfId="25670"/>
    <cellStyle name="常规 4 3 3 3 3 2 3" xfId="25671"/>
    <cellStyle name="常规 4 3 3 3 3 2 3 2" xfId="25673"/>
    <cellStyle name="常规 4 3 3 3 3 3" xfId="25674"/>
    <cellStyle name="常规 4 3 3 3 3 4" xfId="25675"/>
    <cellStyle name="常规 4 3 3 3 4" xfId="15705"/>
    <cellStyle name="常规 4 3 3 4" xfId="20920"/>
    <cellStyle name="常规 4 3 3 4 2" xfId="22615"/>
    <cellStyle name="常规 4 3 3 4 2 2" xfId="25676"/>
    <cellStyle name="常规 4 3 3 4 2 3" xfId="25677"/>
    <cellStyle name="常规 4 3 3 4 2 3 2" xfId="3430"/>
    <cellStyle name="常规 4 3 3 4 3" xfId="22617"/>
    <cellStyle name="常规 4 3 3 4 4" xfId="22619"/>
    <cellStyle name="常规 4 3 3 5" xfId="25678"/>
    <cellStyle name="常规 4 3 4" xfId="7305"/>
    <cellStyle name="常规 4 3 4 2" xfId="7886"/>
    <cellStyle name="常规 4 3 4 2 2" xfId="7890"/>
    <cellStyle name="常规 4 3 4 2 2 2" xfId="7893"/>
    <cellStyle name="常规 4 3 4 2 2 2 2" xfId="7901"/>
    <cellStyle name="常规 4 3 4 2 2 2 3" xfId="7903"/>
    <cellStyle name="常规 4 3 4 2 2 2 3 2" xfId="19245"/>
    <cellStyle name="常规 4 3 4 2 2 3" xfId="7906"/>
    <cellStyle name="常规 4 3 4 2 2 4" xfId="25679"/>
    <cellStyle name="常规 4 3 4 2 3" xfId="7908"/>
    <cellStyle name="常规 4 3 4 3" xfId="6583"/>
    <cellStyle name="常规 4 3 4 3 2" xfId="264"/>
    <cellStyle name="常规 4 3 4 3 2 2" xfId="7922"/>
    <cellStyle name="常规 4 3 4 3 2 3" xfId="7929"/>
    <cellStyle name="常规 4 3 4 3 3" xfId="7938"/>
    <cellStyle name="常规 4 3 4 3 3 2" xfId="25680"/>
    <cellStyle name="常规 4 3 4 3 3 2 2" xfId="25681"/>
    <cellStyle name="常规 4 3 4 3 3 2 3" xfId="14974"/>
    <cellStyle name="常规 4 3 4 3 3 2 3 2" xfId="5119"/>
    <cellStyle name="常规 4 3 4 3 3 3" xfId="25682"/>
    <cellStyle name="常规 4 3 4 3 3 4" xfId="25683"/>
    <cellStyle name="常规 4 3 4 3 4" xfId="22786"/>
    <cellStyle name="常规 4 3 4 4" xfId="6587"/>
    <cellStyle name="常规 4 3 4 4 2" xfId="7942"/>
    <cellStyle name="常规 4 3 4 4 2 2" xfId="25684"/>
    <cellStyle name="常规 4 3 4 4 2 3" xfId="25685"/>
    <cellStyle name="常规 4 3 4 4 2 3 2" xfId="25686"/>
    <cellStyle name="常规 4 3 4 4 3" xfId="7948"/>
    <cellStyle name="常规 4 3 4 4 4" xfId="22793"/>
    <cellStyle name="常规 4 3 4 5" xfId="7953"/>
    <cellStyle name="常规 4 3 5" xfId="7955"/>
    <cellStyle name="常规 4 3 5 2" xfId="4546"/>
    <cellStyle name="常规 4 3 5 2 2" xfId="7958"/>
    <cellStyle name="常规 4 3 5 2 2 2" xfId="6154"/>
    <cellStyle name="常规 4 3 5 2 2 2 2" xfId="6159"/>
    <cellStyle name="常规 4 3 5 2 2 2 3" xfId="6171"/>
    <cellStyle name="常规 4 3 5 2 2 2 3 2" xfId="8356"/>
    <cellStyle name="常规 4 3 5 2 2 3" xfId="294"/>
    <cellStyle name="常规 4 3 5 2 2 4" xfId="25687"/>
    <cellStyle name="常规 4 3 5 2 3" xfId="7961"/>
    <cellStyle name="常规 4 3 5 3" xfId="7964"/>
    <cellStyle name="常规 4 3 5 3 2" xfId="7968"/>
    <cellStyle name="常规 4 3 5 3 2 2" xfId="915"/>
    <cellStyle name="常规 4 3 5 3 2 3" xfId="1289"/>
    <cellStyle name="常规 4 3 5 3 3" xfId="7974"/>
    <cellStyle name="常规 4 3 5 3 3 2" xfId="23242"/>
    <cellStyle name="常规 4 3 5 3 3 2 2" xfId="25689"/>
    <cellStyle name="常规 4 3 5 3 3 2 3" xfId="25690"/>
    <cellStyle name="常规 4 3 5 3 3 2 3 2" xfId="7932"/>
    <cellStyle name="常规 4 3 5 3 3 3" xfId="23244"/>
    <cellStyle name="常规 4 3 5 3 3 4" xfId="23246"/>
    <cellStyle name="常规 4 3 5 3 4" xfId="22913"/>
    <cellStyle name="常规 4 3 5 4" xfId="7977"/>
    <cellStyle name="常规 4 3 5 4 2" xfId="22920"/>
    <cellStyle name="常规 4 3 5 4 2 2" xfId="2257"/>
    <cellStyle name="常规 4 3 5 4 2 3" xfId="2621"/>
    <cellStyle name="常规 4 3 5 4 2 3 2" xfId="2631"/>
    <cellStyle name="常规 4 3 5 4 3" xfId="22922"/>
    <cellStyle name="常规 4 3 5 4 4" xfId="22924"/>
    <cellStyle name="常规 4 3 5 5" xfId="25691"/>
    <cellStyle name="常规 4 3 6" xfId="7983"/>
    <cellStyle name="常规 4 3 6 2" xfId="4556"/>
    <cellStyle name="常规 4 3 6 2 2" xfId="7987"/>
    <cellStyle name="常规 4 3 6 2 3" xfId="7994"/>
    <cellStyle name="常规 4 3 6 3" xfId="8000"/>
    <cellStyle name="常规 4 3 6 3 2" xfId="6297"/>
    <cellStyle name="常规 4 3 6 3 2 2" xfId="142"/>
    <cellStyle name="常规 4 3 6 3 2 3" xfId="2201"/>
    <cellStyle name="常规 4 3 6 3 2 3 2" xfId="25693"/>
    <cellStyle name="常规 4 3 6 3 3" xfId="6303"/>
    <cellStyle name="常规 4 3 6 3 4" xfId="6313"/>
    <cellStyle name="常规 4 3 6 4" xfId="8003"/>
    <cellStyle name="常规 4 3 7" xfId="8011"/>
    <cellStyle name="常规 4 3 7 2" xfId="8015"/>
    <cellStyle name="常规 4 3 7 2 2" xfId="8018"/>
    <cellStyle name="常规 4 3 7 2 3" xfId="8025"/>
    <cellStyle name="常规 4 3 7 2 3 2" xfId="25695"/>
    <cellStyle name="常规 4 3 7 3" xfId="8029"/>
    <cellStyle name="常规 4 3 7 4" xfId="8999"/>
    <cellStyle name="常规 4 3 8" xfId="8033"/>
    <cellStyle name="常规 4 4" xfId="6922"/>
    <cellStyle name="常规 4 4 2" xfId="23296"/>
    <cellStyle name="常规 4 4 2 2" xfId="21263"/>
    <cellStyle name="常规 4 4 2 2 2" xfId="21266"/>
    <cellStyle name="常规 4 4 2 2 2 2" xfId="25698"/>
    <cellStyle name="常规 4 4 2 2 2 2 2" xfId="25701"/>
    <cellStyle name="常规 4 4 2 2 2 2 3" xfId="25704"/>
    <cellStyle name="常规 4 4 2 2 2 3" xfId="25707"/>
    <cellStyle name="常规 4 4 2 2 2 3 2" xfId="25710"/>
    <cellStyle name="常规 4 4 2 2 2 3 2 2" xfId="25711"/>
    <cellStyle name="常规 4 4 2 2 2 3 2 3" xfId="25712"/>
    <cellStyle name="常规 4 4 2 2 2 3 2 3 2" xfId="25713"/>
    <cellStyle name="常规 4 4 2 2 2 3 3" xfId="24010"/>
    <cellStyle name="常规 4 4 2 2 2 3 4" xfId="24012"/>
    <cellStyle name="常规 4 4 2 2 2 4" xfId="25716"/>
    <cellStyle name="常规 4 4 2 2 3" xfId="21269"/>
    <cellStyle name="常规 4 4 2 2 3 2" xfId="25719"/>
    <cellStyle name="常规 4 4 2 2 3 2 2" xfId="25722"/>
    <cellStyle name="常规 4 4 2 2 3 2 3" xfId="25725"/>
    <cellStyle name="常规 4 4 2 2 3 2 3 2" xfId="25726"/>
    <cellStyle name="常规 4 4 2 2 3 3" xfId="25729"/>
    <cellStyle name="常规 4 4 2 2 3 4" xfId="25732"/>
    <cellStyle name="常规 4 4 2 2 4" xfId="21272"/>
    <cellStyle name="常规 4 4 2 3" xfId="13504"/>
    <cellStyle name="常规 4 4 2 3 2" xfId="25733"/>
    <cellStyle name="常规 4 4 2 3 2 2" xfId="25734"/>
    <cellStyle name="常规 4 4 2 3 2 2 2" xfId="25735"/>
    <cellStyle name="常规 4 4 2 3 2 2 2 2" xfId="23559"/>
    <cellStyle name="常规 4 4 2 3 2 2 2 3" xfId="23830"/>
    <cellStyle name="常规 4 4 2 3 2 2 2 3 2" xfId="9058"/>
    <cellStyle name="常规 4 4 2 3 2 2 3" xfId="25736"/>
    <cellStyle name="常规 4 4 2 3 2 2 4" xfId="25737"/>
    <cellStyle name="常规 4 4 2 3 2 3" xfId="25738"/>
    <cellStyle name="常规 4 4 2 3 3" xfId="25739"/>
    <cellStyle name="常规 4 4 2 3 3 2" xfId="25740"/>
    <cellStyle name="常规 4 4 2 3 3 2 2" xfId="25741"/>
    <cellStyle name="常规 4 4 2 3 3 2 3" xfId="25742"/>
    <cellStyle name="常规 4 4 2 3 3 3" xfId="25743"/>
    <cellStyle name="常规 4 4 2 3 3 3 2" xfId="25744"/>
    <cellStyle name="常规 4 4 2 3 3 3 2 2" xfId="25745"/>
    <cellStyle name="常规 4 4 2 3 3 3 2 3" xfId="25746"/>
    <cellStyle name="常规 4 4 2 3 3 3 2 3 2" xfId="25747"/>
    <cellStyle name="常规 4 4 2 3 3 3 3" xfId="25748"/>
    <cellStyle name="常规 4 4 2 3 3 3 4" xfId="25749"/>
    <cellStyle name="常规 4 4 2 3 3 4" xfId="25750"/>
    <cellStyle name="常规 4 4 2 3 4" xfId="25751"/>
    <cellStyle name="常规 4 4 2 3 4 2" xfId="25752"/>
    <cellStyle name="常规 4 4 2 3 4 2 2" xfId="25753"/>
    <cellStyle name="常规 4 4 2 3 4 2 3" xfId="25754"/>
    <cellStyle name="常规 4 4 2 3 4 2 3 2" xfId="25756"/>
    <cellStyle name="常规 4 4 2 3 4 3" xfId="25757"/>
    <cellStyle name="常规 4 4 2 3 4 4" xfId="25758"/>
    <cellStyle name="常规 4 4 2 3 5" xfId="25759"/>
    <cellStyle name="常规 4 4 2 4" xfId="13508"/>
    <cellStyle name="常规 4 4 2 4 2" xfId="25760"/>
    <cellStyle name="常规 4 4 2 4 2 2" xfId="1954"/>
    <cellStyle name="常规 4 4 2 4 2 3" xfId="12765"/>
    <cellStyle name="常规 4 4 2 4 3" xfId="25761"/>
    <cellStyle name="常规 4 4 2 4 3 2" xfId="16049"/>
    <cellStyle name="常规 4 4 2 4 3 2 2" xfId="25762"/>
    <cellStyle name="常规 4 4 2 4 3 2 3" xfId="25763"/>
    <cellStyle name="常规 4 4 2 4 3 2 3 2" xfId="25764"/>
    <cellStyle name="常规 4 4 2 4 3 3" xfId="16059"/>
    <cellStyle name="常规 4 4 2 4 3 4" xfId="10210"/>
    <cellStyle name="常规 4 4 2 4 4" xfId="25765"/>
    <cellStyle name="常规 4 4 2 5" xfId="4182"/>
    <cellStyle name="常规 4 4 2 5 2" xfId="25766"/>
    <cellStyle name="常规 4 4 2 5 2 2" xfId="2994"/>
    <cellStyle name="常规 4 4 2 5 2 3" xfId="2231"/>
    <cellStyle name="常规 4 4 2 5 2 3 2" xfId="2930"/>
    <cellStyle name="常规 4 4 2 5 3" xfId="25767"/>
    <cellStyle name="常规 4 4 2 5 4" xfId="25768"/>
    <cellStyle name="常规 4 4 2 6" xfId="4189"/>
    <cellStyle name="常规 4 4 3" xfId="23298"/>
    <cellStyle name="常规 4 4 3 2" xfId="25769"/>
    <cellStyle name="常规 4 4 3 2 2" xfId="23191"/>
    <cellStyle name="常规 4 4 3 2 2 2" xfId="16616"/>
    <cellStyle name="常规 4 4 3 2 2 2 2" xfId="2474"/>
    <cellStyle name="常规 4 4 3 2 2 2 3" xfId="2495"/>
    <cellStyle name="常规 4 4 3 2 2 3" xfId="16619"/>
    <cellStyle name="常规 4 4 3 2 2 3 2" xfId="2520"/>
    <cellStyle name="常规 4 4 3 2 2 3 2 2" xfId="17200"/>
    <cellStyle name="常规 4 4 3 2 2 3 2 3" xfId="17205"/>
    <cellStyle name="常规 4 4 3 2 2 3 2 3 2" xfId="25770"/>
    <cellStyle name="常规 4 4 3 2 2 3 3" xfId="25772"/>
    <cellStyle name="常规 4 4 3 2 2 3 4" xfId="25773"/>
    <cellStyle name="常规 4 4 3 2 2 4" xfId="16622"/>
    <cellStyle name="常规 4 4 3 2 3" xfId="23193"/>
    <cellStyle name="常规 4 4 3 2 3 2" xfId="16635"/>
    <cellStyle name="常规 4 4 3 2 3 2 2" xfId="25776"/>
    <cellStyle name="常规 4 4 3 2 3 2 3" xfId="25779"/>
    <cellStyle name="常规 4 4 3 2 3 2 3 2" xfId="5336"/>
    <cellStyle name="常规 4 4 3 2 3 3" xfId="16638"/>
    <cellStyle name="常规 4 4 3 2 3 4" xfId="16641"/>
    <cellStyle name="常规 4 4 3 2 4" xfId="23195"/>
    <cellStyle name="常规 4 4 3 3" xfId="25780"/>
    <cellStyle name="常规 4 4 3 3 2" xfId="23201"/>
    <cellStyle name="常规 4 4 3 3 2 2" xfId="25781"/>
    <cellStyle name="常规 4 4 3 3 2 2 2" xfId="25782"/>
    <cellStyle name="常规 4 4 3 3 2 2 2 2" xfId="2694"/>
    <cellStyle name="常规 4 4 3 3 2 2 2 3" xfId="2715"/>
    <cellStyle name="常规 4 4 3 3 2 2 2 3 2" xfId="14346"/>
    <cellStyle name="常规 4 4 3 3 2 2 3" xfId="25783"/>
    <cellStyle name="常规 4 4 3 3 2 2 4" xfId="25784"/>
    <cellStyle name="常规 4 4 3 3 2 3" xfId="15459"/>
    <cellStyle name="常规 4 4 3 3 3" xfId="23203"/>
    <cellStyle name="常规 4 4 3 3 3 2" xfId="25785"/>
    <cellStyle name="常规 4 4 3 3 3 2 2" xfId="25786"/>
    <cellStyle name="常规 4 4 3 3 3 2 3" xfId="25787"/>
    <cellStyle name="常规 4 4 3 3 3 3" xfId="25788"/>
    <cellStyle name="常规 4 4 3 3 3 3 2" xfId="25790"/>
    <cellStyle name="常规 4 4 3 3 3 3 2 2" xfId="25791"/>
    <cellStyle name="常规 4 4 3 3 3 3 2 3" xfId="25792"/>
    <cellStyle name="常规 4 4 3 3 3 3 2 3 2" xfId="871"/>
    <cellStyle name="常规 4 4 3 3 3 3 3" xfId="25793"/>
    <cellStyle name="常规 4 4 3 3 3 3 4" xfId="25794"/>
    <cellStyle name="常规 4 4 3 3 3 4" xfId="25795"/>
    <cellStyle name="常规 4 4 3 3 4" xfId="23205"/>
    <cellStyle name="常规 4 4 3 3 4 2" xfId="25796"/>
    <cellStyle name="常规 4 4 3 3 4 2 2" xfId="25798"/>
    <cellStyle name="常规 4 4 3 3 4 2 3" xfId="25799"/>
    <cellStyle name="常规 4 4 3 3 4 2 3 2" xfId="24233"/>
    <cellStyle name="常规 4 4 3 3 4 3" xfId="25800"/>
    <cellStyle name="常规 4 4 3 3 4 4" xfId="25801"/>
    <cellStyle name="常规 4 4 3 3 5" xfId="23207"/>
    <cellStyle name="常规 4 4 3 4" xfId="25802"/>
    <cellStyle name="常规 4 4 3 4 2" xfId="23216"/>
    <cellStyle name="常规 4 4 3 4 2 2" xfId="25803"/>
    <cellStyle name="常规 4 4 3 4 2 2 2" xfId="25804"/>
    <cellStyle name="常规 4 4 3 4 2 2 3" xfId="25805"/>
    <cellStyle name="常规 4 4 3 4 2 3" xfId="25807"/>
    <cellStyle name="常规 4 4 3 4 2 3 2" xfId="25808"/>
    <cellStyle name="常规 4 4 3 4 2 3 2 2" xfId="25810"/>
    <cellStyle name="常规 4 4 3 4 2 3 2 3" xfId="25812"/>
    <cellStyle name="常规 4 4 3 4 2 3 2 3 2" xfId="10524"/>
    <cellStyle name="常规 4 4 3 4 2 3 3" xfId="25813"/>
    <cellStyle name="常规 4 4 3 4 2 3 4" xfId="25814"/>
    <cellStyle name="常规 4 4 3 4 2 4" xfId="25816"/>
    <cellStyle name="常规 4 4 3 4 3" xfId="1939"/>
    <cellStyle name="常规 4 4 3 4 3 2" xfId="10016"/>
    <cellStyle name="常规 4 4 3 4 3 2 2" xfId="10023"/>
    <cellStyle name="常规 4 4 3 4 3 2 3" xfId="10028"/>
    <cellStyle name="常规 4 4 3 4 3 2 3 2" xfId="25817"/>
    <cellStyle name="常规 4 4 3 4 3 3" xfId="10035"/>
    <cellStyle name="常规 4 4 3 4 3 4" xfId="25818"/>
    <cellStyle name="常规 4 4 3 4 4" xfId="2145"/>
    <cellStyle name="常规 4 4 3 5" xfId="25819"/>
    <cellStyle name="常规 4 4 3 5 2" xfId="23225"/>
    <cellStyle name="常规 4 4 3 5 2 2" xfId="25820"/>
    <cellStyle name="常规 4 4 3 5 2 3" xfId="2589"/>
    <cellStyle name="常规 4 4 3 5 3" xfId="9366"/>
    <cellStyle name="常规 4 4 3 5 3 2" xfId="3238"/>
    <cellStyle name="常规 4 4 3 5 3 2 2" xfId="18226"/>
    <cellStyle name="常规 4 4 3 5 3 2 3" xfId="18233"/>
    <cellStyle name="常规 4 4 3 5 3 2 3 2" xfId="25821"/>
    <cellStyle name="常规 4 4 3 5 3 3" xfId="4403"/>
    <cellStyle name="常规 4 4 3 5 3 4" xfId="2752"/>
    <cellStyle name="常规 4 4 3 5 4" xfId="9729"/>
    <cellStyle name="常规 4 4 3 6" xfId="25822"/>
    <cellStyle name="常规 4 4 3 6 2" xfId="22384"/>
    <cellStyle name="常规 4 4 3 6 2 2" xfId="25823"/>
    <cellStyle name="常规 4 4 3 6 2 3" xfId="2895"/>
    <cellStyle name="常规 4 4 3 6 2 3 2" xfId="4423"/>
    <cellStyle name="常规 4 4 3 6 3" xfId="10088"/>
    <cellStyle name="常规 4 4 3 6 4" xfId="10097"/>
    <cellStyle name="常规 4 4 3 7" xfId="25824"/>
    <cellStyle name="常规 4 4 4" xfId="3907"/>
    <cellStyle name="常规 4 4 4 2" xfId="6430"/>
    <cellStyle name="常规 4 4 4 2 2" xfId="6434"/>
    <cellStyle name="常规 4 4 4 2 2 2" xfId="8041"/>
    <cellStyle name="常规 4 4 4 2 2 2 2" xfId="1580"/>
    <cellStyle name="常规 4 4 4 2 2 2 3" xfId="8044"/>
    <cellStyle name="常规 4 4 4 2 2 2 3 2" xfId="25825"/>
    <cellStyle name="常规 4 4 4 2 2 3" xfId="8049"/>
    <cellStyle name="常规 4 4 4 2 2 4" xfId="25828"/>
    <cellStyle name="常规 4 4 4 2 3" xfId="6442"/>
    <cellStyle name="常规 4 4 4 3" xfId="6448"/>
    <cellStyle name="常规 4 4 4 3 2" xfId="8064"/>
    <cellStyle name="常规 4 4 4 3 2 2" xfId="8070"/>
    <cellStyle name="常规 4 4 4 3 2 3" xfId="8076"/>
    <cellStyle name="常规 4 4 4 3 3" xfId="8084"/>
    <cellStyle name="常规 4 4 4 3 3 2" xfId="18291"/>
    <cellStyle name="常规 4 4 4 3 3 2 2" xfId="14092"/>
    <cellStyle name="常规 4 4 4 3 3 2 3" xfId="14097"/>
    <cellStyle name="常规 4 4 4 3 3 2 3 2" xfId="25829"/>
    <cellStyle name="常规 4 4 4 3 3 3" xfId="18300"/>
    <cellStyle name="常规 4 4 4 3 3 4" xfId="18310"/>
    <cellStyle name="常规 4 4 4 3 4" xfId="23340"/>
    <cellStyle name="常规 4 4 4 4" xfId="7062"/>
    <cellStyle name="常规 4 4 4 4 2" xfId="8092"/>
    <cellStyle name="常规 4 4 4 4 2 2" xfId="25830"/>
    <cellStyle name="常规 4 4 4 4 2 3" xfId="18654"/>
    <cellStyle name="常规 4 4 4 4 2 3 2" xfId="25832"/>
    <cellStyle name="常规 4 4 4 4 3" xfId="8100"/>
    <cellStyle name="常规 4 4 4 4 4" xfId="2233"/>
    <cellStyle name="常规 4 4 4 5" xfId="5014"/>
    <cellStyle name="常规 4 4 5" xfId="6452"/>
    <cellStyle name="常规 4 4 5 2" xfId="4581"/>
    <cellStyle name="常规 4 4 5 2 2" xfId="7051"/>
    <cellStyle name="常规 4 4 5 2 3" xfId="8109"/>
    <cellStyle name="常规 4 4 5 3" xfId="21"/>
    <cellStyle name="常规 4 4 5 3 2" xfId="8115"/>
    <cellStyle name="常规 4 4 5 3 2 2" xfId="11290"/>
    <cellStyle name="常规 4 4 5 3 2 3" xfId="11400"/>
    <cellStyle name="常规 4 4 5 3 2 3 2" xfId="11402"/>
    <cellStyle name="常规 4 4 5 3 3" xfId="8121"/>
    <cellStyle name="常规 4 4 5 3 4" xfId="23495"/>
    <cellStyle name="常规 4 4 5 4" xfId="8131"/>
    <cellStyle name="常规 4 4 6" xfId="6461"/>
    <cellStyle name="常规 4 4 6 2" xfId="4591"/>
    <cellStyle name="常规 4 4 6 2 2" xfId="8133"/>
    <cellStyle name="常规 4 4 6 2 3" xfId="8138"/>
    <cellStyle name="常规 4 4 6 2 3 2" xfId="25835"/>
    <cellStyle name="常规 4 4 6 3" xfId="8144"/>
    <cellStyle name="常规 4 4 6 4" xfId="8150"/>
    <cellStyle name="常规 4 4 7" xfId="8154"/>
    <cellStyle name="常规 4 5" xfId="4456"/>
    <cellStyle name="常规 4 5 2" xfId="23302"/>
    <cellStyle name="常规 4 5 2 2" xfId="25836"/>
    <cellStyle name="常规 4 5 2 2 2" xfId="25837"/>
    <cellStyle name="常规 4 5 2 2 2 2" xfId="25838"/>
    <cellStyle name="常规 4 5 2 2 2 3" xfId="4942"/>
    <cellStyle name="常规 4 5 2 2 3" xfId="25840"/>
    <cellStyle name="常规 4 5 2 2 3 2" xfId="23764"/>
    <cellStyle name="常规 4 5 2 2 3 2 2" xfId="25842"/>
    <cellStyle name="常规 4 5 2 2 3 2 3" xfId="25845"/>
    <cellStyle name="常规 4 5 2 2 3 2 3 2" xfId="25847"/>
    <cellStyle name="常规 4 5 2 2 3 3" xfId="25849"/>
    <cellStyle name="常规 4 5 2 2 3 4" xfId="25851"/>
    <cellStyle name="常规 4 5 2 2 4" xfId="25853"/>
    <cellStyle name="常规 4 5 2 3" xfId="25854"/>
    <cellStyle name="常规 4 5 2 3 2" xfId="25855"/>
    <cellStyle name="常规 4 5 2 3 2 2" xfId="20674"/>
    <cellStyle name="常规 4 5 2 3 2 3" xfId="20676"/>
    <cellStyle name="常规 4 5 2 3 2 3 2" xfId="9480"/>
    <cellStyle name="常规 4 5 2 3 3" xfId="25856"/>
    <cellStyle name="常规 4 5 2 3 4" xfId="25857"/>
    <cellStyle name="常规 4 5 2 4" xfId="23841"/>
    <cellStyle name="常规 4 5 3" xfId="23304"/>
    <cellStyle name="常规 4 5 3 2" xfId="25858"/>
    <cellStyle name="常规 4 5 3 2 2" xfId="23697"/>
    <cellStyle name="常规 4 5 3 2 2 2" xfId="25859"/>
    <cellStyle name="常规 4 5 3 2 2 2 2" xfId="2809"/>
    <cellStyle name="常规 4 5 3 2 2 2 3" xfId="25860"/>
    <cellStyle name="常规 4 5 3 2 2 2 3 2" xfId="25861"/>
    <cellStyle name="常规 4 5 3 2 2 3" xfId="25862"/>
    <cellStyle name="常规 4 5 3 2 2 4" xfId="25863"/>
    <cellStyle name="常规 4 5 3 2 3" xfId="23699"/>
    <cellStyle name="常规 4 5 3 3" xfId="25864"/>
    <cellStyle name="常规 4 5 3 3 2" xfId="23708"/>
    <cellStyle name="常规 4 5 3 3 2 2" xfId="25865"/>
    <cellStyle name="常规 4 5 3 3 2 3" xfId="25866"/>
    <cellStyle name="常规 4 5 3 3 3" xfId="23710"/>
    <cellStyle name="常规 4 5 3 3 3 2" xfId="25867"/>
    <cellStyle name="常规 4 5 3 3 3 2 2" xfId="25868"/>
    <cellStyle name="常规 4 5 3 3 3 2 3" xfId="25869"/>
    <cellStyle name="常规 4 5 3 3 3 2 3 2" xfId="25870"/>
    <cellStyle name="常规 4 5 3 3 3 3" xfId="25871"/>
    <cellStyle name="常规 4 5 3 3 3 4" xfId="25872"/>
    <cellStyle name="常规 4 5 3 3 4" xfId="23712"/>
    <cellStyle name="常规 4 5 3 4" xfId="23852"/>
    <cellStyle name="常规 4 5 3 4 2" xfId="23722"/>
    <cellStyle name="常规 4 5 3 4 2 2" xfId="25873"/>
    <cellStyle name="常规 4 5 3 4 2 3" xfId="25874"/>
    <cellStyle name="常规 4 5 3 4 2 3 2" xfId="19503"/>
    <cellStyle name="常规 4 5 3 4 3" xfId="687"/>
    <cellStyle name="常规 4 5 3 4 4" xfId="2508"/>
    <cellStyle name="常规 4 5 3 5" xfId="23854"/>
    <cellStyle name="常规 4 5 4" xfId="6480"/>
    <cellStyle name="常规 4 5 4 2" xfId="6484"/>
    <cellStyle name="常规 4 5 4 2 2" xfId="7560"/>
    <cellStyle name="常规 4 5 4 2 2 2" xfId="8181"/>
    <cellStyle name="常规 4 5 4 2 2 3" xfId="8189"/>
    <cellStyle name="常规 4 5 4 2 3" xfId="8194"/>
    <cellStyle name="常规 4 5 4 2 3 2" xfId="8200"/>
    <cellStyle name="常规 4 5 4 2 3 2 2" xfId="25875"/>
    <cellStyle name="常规 4 5 4 2 3 2 3" xfId="17988"/>
    <cellStyle name="常规 4 5 4 2 3 2 3 2" xfId="15299"/>
    <cellStyle name="常规 4 5 4 2 3 3" xfId="8206"/>
    <cellStyle name="常规 4 5 4 2 3 4" xfId="25876"/>
    <cellStyle name="常规 4 5 4 2 4" xfId="8210"/>
    <cellStyle name="常规 4 5 4 3" xfId="723"/>
    <cellStyle name="常规 4 5 4 3 2" xfId="735"/>
    <cellStyle name="常规 4 5 4 3 2 2" xfId="744"/>
    <cellStyle name="常规 4 5 4 3 2 3" xfId="752"/>
    <cellStyle name="常规 4 5 4 3 2 3 2" xfId="25877"/>
    <cellStyle name="常规 4 5 4 3 3" xfId="777"/>
    <cellStyle name="常规 4 5 4 3 4" xfId="23784"/>
    <cellStyle name="常规 4 5 4 4" xfId="801"/>
    <cellStyle name="常规 4 5 5" xfId="6490"/>
    <cellStyle name="常规 4 5 5 2" xfId="3373"/>
    <cellStyle name="常规 4 5 5 2 2" xfId="8213"/>
    <cellStyle name="常规 4 5 5 2 3" xfId="8216"/>
    <cellStyle name="常规 4 5 5 3" xfId="864"/>
    <cellStyle name="常规 4 5 5 3 2" xfId="875"/>
    <cellStyle name="常规 4 5 5 3 2 2" xfId="25878"/>
    <cellStyle name="常规 4 5 5 3 2 3" xfId="25879"/>
    <cellStyle name="常规 4 5 5 3 2 3 2" xfId="25880"/>
    <cellStyle name="常规 4 5 5 3 3" xfId="144"/>
    <cellStyle name="常规 4 5 5 3 4" xfId="25881"/>
    <cellStyle name="常规 4 5 5 4" xfId="893"/>
    <cellStyle name="常规 4 5 6" xfId="8219"/>
    <cellStyle name="常规 4 5 6 2" xfId="8222"/>
    <cellStyle name="常规 4 5 6 2 2" xfId="8226"/>
    <cellStyle name="常规 4 5 6 2 3" xfId="8229"/>
    <cellStyle name="常规 4 5 6 2 3 2" xfId="15340"/>
    <cellStyle name="常规 4 5 6 3" xfId="900"/>
    <cellStyle name="常规 4 5 6 4" xfId="905"/>
    <cellStyle name="常规 4 5 7" xfId="8232"/>
    <cellStyle name="常规 4 6" xfId="4468"/>
    <cellStyle name="常规 4 6 2" xfId="23311"/>
    <cellStyle name="常规 4 6 2 2" xfId="25883"/>
    <cellStyle name="常规 4 6 2 2 2" xfId="25884"/>
    <cellStyle name="常规 4 6 2 2 2 2" xfId="10547"/>
    <cellStyle name="常规 4 6 2 2 2 3" xfId="10569"/>
    <cellStyle name="常规 4 6 2 2 2 3 2" xfId="25886"/>
    <cellStyle name="常规 4 6 2 2 3" xfId="25887"/>
    <cellStyle name="常规 4 6 2 2 4" xfId="25888"/>
    <cellStyle name="常规 4 6 2 3" xfId="20232"/>
    <cellStyle name="常规 4 6 3" xfId="23314"/>
    <cellStyle name="常规 4 6 3 2" xfId="25889"/>
    <cellStyle name="常规 4 6 3 2 2" xfId="23970"/>
    <cellStyle name="常规 4 6 3 2 3" xfId="23972"/>
    <cellStyle name="常规 4 6 3 3" xfId="25890"/>
    <cellStyle name="常规 4 6 3 3 2" xfId="23977"/>
    <cellStyle name="常规 4 6 3 3 2 2" xfId="10887"/>
    <cellStyle name="常规 4 6 3 3 2 3" xfId="25891"/>
    <cellStyle name="常规 4 6 3 3 2 3 2" xfId="25892"/>
    <cellStyle name="常规 4 6 3 3 3" xfId="23979"/>
    <cellStyle name="常规 4 6 3 3 4" xfId="17540"/>
    <cellStyle name="常规 4 6 3 4" xfId="25893"/>
    <cellStyle name="常规 4 6 4" xfId="6508"/>
    <cellStyle name="常规 4 6 4 2" xfId="6515"/>
    <cellStyle name="常规 4 6 4 2 2" xfId="7723"/>
    <cellStyle name="常规 4 6 4 2 3" xfId="8260"/>
    <cellStyle name="常规 4 6 4 2 3 2" xfId="11084"/>
    <cellStyle name="常规 4 6 4 3" xfId="1173"/>
    <cellStyle name="常规 4 6 4 4" xfId="1219"/>
    <cellStyle name="常规 4 6 5" xfId="6518"/>
    <cellStyle name="常规 4 7" xfId="25895"/>
    <cellStyle name="常规 4 7 2" xfId="23318"/>
    <cellStyle name="常规 4 7 2 2" xfId="25896"/>
    <cellStyle name="常规 4 7 2 2 2" xfId="25897"/>
    <cellStyle name="常规 4 7 2 2 2 2" xfId="25898"/>
    <cellStyle name="常规 4 7 2 2 2 3" xfId="25900"/>
    <cellStyle name="常规 4 7 2 2 2 3 2" xfId="25902"/>
    <cellStyle name="常规 4 7 2 2 3" xfId="25904"/>
    <cellStyle name="常规 4 7 2 2 4" xfId="25906"/>
    <cellStyle name="常规 4 7 2 3" xfId="25907"/>
    <cellStyle name="常规 4 7 3" xfId="23320"/>
    <cellStyle name="常规 4 7 3 2" xfId="25908"/>
    <cellStyle name="常规 4 7 3 2 2" xfId="24163"/>
    <cellStyle name="常规 4 7 3 2 3" xfId="24166"/>
    <cellStyle name="常规 4 7 3 3" xfId="25909"/>
    <cellStyle name="常规 4 7 3 3 2" xfId="24177"/>
    <cellStyle name="常规 4 7 3 3 2 2" xfId="21582"/>
    <cellStyle name="常规 4 7 3 3 2 3" xfId="21586"/>
    <cellStyle name="常规 4 7 3 3 2 3 2" xfId="25910"/>
    <cellStyle name="常规 4 7 3 3 3" xfId="24180"/>
    <cellStyle name="常规 4 7 3 3 4" xfId="24183"/>
    <cellStyle name="常规 4 7 3 4" xfId="25911"/>
    <cellStyle name="常规 4 7 4" xfId="6525"/>
    <cellStyle name="常规 4 7 4 2" xfId="8274"/>
    <cellStyle name="常规 4 7 4 2 2" xfId="8283"/>
    <cellStyle name="常规 4 7 4 2 3" xfId="8286"/>
    <cellStyle name="常规 4 7 4 2 3 2" xfId="18794"/>
    <cellStyle name="常规 4 7 4 3" xfId="1480"/>
    <cellStyle name="常规 4 7 4 4" xfId="19424"/>
    <cellStyle name="常规 4 7 5" xfId="8289"/>
    <cellStyle name="常规 4 8" xfId="25912"/>
    <cellStyle name="常规 4 8 2" xfId="25913"/>
    <cellStyle name="常规 4 8 2 2" xfId="25914"/>
    <cellStyle name="常规 4 8 2 3" xfId="25915"/>
    <cellStyle name="常规 4 8 3" xfId="25916"/>
    <cellStyle name="常规 4 8 3 2" xfId="25917"/>
    <cellStyle name="常规 4 8 3 2 2" xfId="25918"/>
    <cellStyle name="常规 4 8 3 2 3" xfId="25919"/>
    <cellStyle name="常规 4 8 3 2 3 2" xfId="25920"/>
    <cellStyle name="常规 4 8 3 3" xfId="25921"/>
    <cellStyle name="常规 4 8 3 4" xfId="25922"/>
    <cellStyle name="常规 4 8 4" xfId="4620"/>
    <cellStyle name="常规 4 9" xfId="25924"/>
    <cellStyle name="常规 4 9 2" xfId="25925"/>
    <cellStyle name="常规 4 9 2 2" xfId="25926"/>
    <cellStyle name="常规 4 9 2 3" xfId="25927"/>
    <cellStyle name="常规 4 9 2 3 2" xfId="25621"/>
    <cellStyle name="常规 4 9 3" xfId="25928"/>
    <cellStyle name="常规 4 9 4" xfId="4798"/>
    <cellStyle name="常规 5" xfId="20477"/>
    <cellStyle name="常规 5 10" xfId="25929"/>
    <cellStyle name="常规 5 2" xfId="25930"/>
    <cellStyle name="常规 5 2 2" xfId="4997"/>
    <cellStyle name="常规 5 2 2 2" xfId="25931"/>
    <cellStyle name="常规 5 2 2 2 2" xfId="8204"/>
    <cellStyle name="常规 5 2 2 2 2 2" xfId="25933"/>
    <cellStyle name="常规 5 2 2 2 2 2 2" xfId="25935"/>
    <cellStyle name="常规 5 2 2 2 2 2 2 2" xfId="21016"/>
    <cellStyle name="常规 5 2 2 2 2 2 2 3" xfId="21021"/>
    <cellStyle name="常规 5 2 2 2 2 2 2 3 2" xfId="16324"/>
    <cellStyle name="常规 5 2 2 2 2 2 3" xfId="25937"/>
    <cellStyle name="常规 5 2 2 2 2 2 4" xfId="25939"/>
    <cellStyle name="常规 5 2 2 2 2 3" xfId="4226"/>
    <cellStyle name="常规 5 2 2 2 3" xfId="19420"/>
    <cellStyle name="常规 5 2 2 2 3 2" xfId="25941"/>
    <cellStyle name="常规 5 2 2 2 3 2 2" xfId="23039"/>
    <cellStyle name="常规 5 2 2 2 3 2 3" xfId="10206"/>
    <cellStyle name="常规 5 2 2 2 3 3" xfId="25943"/>
    <cellStyle name="常规 5 2 2 2 3 3 2" xfId="25945"/>
    <cellStyle name="常规 5 2 2 2 3 3 2 2" xfId="4096"/>
    <cellStyle name="常规 5 2 2 2 3 3 2 3" xfId="4123"/>
    <cellStyle name="常规 5 2 2 2 3 3 2 3 2" xfId="3998"/>
    <cellStyle name="常规 5 2 2 2 3 3 3" xfId="10226"/>
    <cellStyle name="常规 5 2 2 2 3 3 4" xfId="10229"/>
    <cellStyle name="常规 5 2 2 2 3 4" xfId="25947"/>
    <cellStyle name="常规 5 2 2 2 4" xfId="25948"/>
    <cellStyle name="常规 5 2 2 2 4 2" xfId="25950"/>
    <cellStyle name="常规 5 2 2 2 4 2 2" xfId="25952"/>
    <cellStyle name="常规 5 2 2 2 4 2 3" xfId="9600"/>
    <cellStyle name="常规 5 2 2 2 4 2 3 2" xfId="20299"/>
    <cellStyle name="常规 5 2 2 2 4 3" xfId="25954"/>
    <cellStyle name="常规 5 2 2 2 4 4" xfId="25955"/>
    <cellStyle name="常规 5 2 2 2 5" xfId="25956"/>
    <cellStyle name="常规 5 2 2 3" xfId="25957"/>
    <cellStyle name="常规 5 2 2 3 2" xfId="25958"/>
    <cellStyle name="常规 5 2 2 3 2 2" xfId="20532"/>
    <cellStyle name="常规 5 2 2 3 2 2 2" xfId="25959"/>
    <cellStyle name="常规 5 2 2 3 2 2 3" xfId="25960"/>
    <cellStyle name="常规 5 2 2 3 2 3" xfId="20534"/>
    <cellStyle name="常规 5 2 2 3 2 3 2" xfId="25961"/>
    <cellStyle name="常规 5 2 2 3 2 3 2 2" xfId="25962"/>
    <cellStyle name="常规 5 2 2 3 2 3 2 3" xfId="25963"/>
    <cellStyle name="常规 5 2 2 3 2 3 2 3 2" xfId="25965"/>
    <cellStyle name="常规 5 2 2 3 2 3 3" xfId="25967"/>
    <cellStyle name="常规 5 2 2 3 2 3 4" xfId="25970"/>
    <cellStyle name="常规 5 2 2 3 2 4" xfId="20536"/>
    <cellStyle name="常规 5 2 2 3 3" xfId="25971"/>
    <cellStyle name="常规 5 2 2 3 3 2" xfId="17967"/>
    <cellStyle name="常规 5 2 2 3 3 2 2" xfId="25973"/>
    <cellStyle name="常规 5 2 2 3 3 2 3" xfId="10242"/>
    <cellStyle name="常规 5 2 2 3 3 2 3 2" xfId="25974"/>
    <cellStyle name="常规 5 2 2 3 3 3" xfId="25976"/>
    <cellStyle name="常规 5 2 2 3 3 4" xfId="25977"/>
    <cellStyle name="常规 5 2 2 3 4" xfId="25978"/>
    <cellStyle name="常规 5 2 2 4" xfId="25979"/>
    <cellStyle name="常规 5 2 2 4 2" xfId="25980"/>
    <cellStyle name="常规 5 2 2 4 2 2" xfId="25981"/>
    <cellStyle name="常规 5 2 2 4 2 3" xfId="25983"/>
    <cellStyle name="常规 5 2 2 4 3" xfId="25984"/>
    <cellStyle name="常规 5 2 2 4 3 2" xfId="25986"/>
    <cellStyle name="常规 5 2 2 4 3 2 2" xfId="25987"/>
    <cellStyle name="常规 5 2 2 4 3 2 3" xfId="10147"/>
    <cellStyle name="常规 5 2 2 4 3 2 3 2" xfId="23967"/>
    <cellStyle name="常规 5 2 2 4 3 3" xfId="25988"/>
    <cellStyle name="常规 5 2 2 4 3 4" xfId="996"/>
    <cellStyle name="常规 5 2 2 4 4" xfId="25989"/>
    <cellStyle name="常规 5 2 2 5" xfId="25990"/>
    <cellStyle name="常规 5 2 2 5 2" xfId="25991"/>
    <cellStyle name="常规 5 2 2 5 2 2" xfId="25992"/>
    <cellStyle name="常规 5 2 2 5 2 3" xfId="25994"/>
    <cellStyle name="常规 5 2 2 5 2 3 2" xfId="25995"/>
    <cellStyle name="常规 5 2 2 5 3" xfId="25996"/>
    <cellStyle name="常规 5 2 2 5 4" xfId="25997"/>
    <cellStyle name="常规 5 2 2 6" xfId="11135"/>
    <cellStyle name="常规 5 2 3" xfId="7310"/>
    <cellStyle name="常规 5 2 3 2" xfId="15964"/>
    <cellStyle name="常规 5 2 3 2 2" xfId="25998"/>
    <cellStyle name="常规 5 2 3 2 2 2" xfId="19120"/>
    <cellStyle name="常规 5 2 3 2 2 2 2" xfId="18423"/>
    <cellStyle name="常规 5 2 3 2 2 2 3" xfId="26000"/>
    <cellStyle name="常规 5 2 3 2 2 2 3 2" xfId="968"/>
    <cellStyle name="常规 5 2 3 2 2 3" xfId="13775"/>
    <cellStyle name="常规 5 2 3 2 2 4" xfId="13779"/>
    <cellStyle name="常规 5 2 3 2 3" xfId="26001"/>
    <cellStyle name="常规 5 2 3 3" xfId="15966"/>
    <cellStyle name="常规 5 2 3 3 2" xfId="26002"/>
    <cellStyle name="常规 5 2 3 3 2 2" xfId="17409"/>
    <cellStyle name="常规 5 2 3 3 2 3" xfId="19264"/>
    <cellStyle name="常规 5 2 3 3 3" xfId="26003"/>
    <cellStyle name="常规 5 2 3 3 3 2" xfId="19269"/>
    <cellStyle name="常规 5 2 3 3 3 2 2" xfId="26005"/>
    <cellStyle name="常规 5 2 3 3 3 2 3" xfId="26007"/>
    <cellStyle name="常规 5 2 3 3 3 2 3 2" xfId="26009"/>
    <cellStyle name="常规 5 2 3 3 3 3" xfId="19272"/>
    <cellStyle name="常规 5 2 3 3 3 4" xfId="11866"/>
    <cellStyle name="常规 5 2 3 3 4" xfId="26010"/>
    <cellStyle name="常规 5 2 3 4" xfId="12675"/>
    <cellStyle name="常规 5 2 3 4 2" xfId="26011"/>
    <cellStyle name="常规 5 2 3 4 2 2" xfId="19309"/>
    <cellStyle name="常规 5 2 3 4 2 3" xfId="19311"/>
    <cellStyle name="常规 5 2 3 4 2 3 2" xfId="26012"/>
    <cellStyle name="常规 5 2 3 4 3" xfId="26013"/>
    <cellStyle name="常规 5 2 3 4 4" xfId="26014"/>
    <cellStyle name="常规 5 2 3 5" xfId="12683"/>
    <cellStyle name="常规 5 2 4" xfId="7315"/>
    <cellStyle name="常规 5 2 4 2" xfId="15972"/>
    <cellStyle name="常规 5 2 4 2 2" xfId="26015"/>
    <cellStyle name="常规 5 2 4 2 2 2" xfId="14127"/>
    <cellStyle name="常规 5 2 4 2 2 2 2" xfId="26017"/>
    <cellStyle name="常规 5 2 4 2 2 2 3" xfId="5194"/>
    <cellStyle name="常规 5 2 4 2 2 2 3 2" xfId="1328"/>
    <cellStyle name="常规 5 2 4 2 2 3" xfId="14133"/>
    <cellStyle name="常规 5 2 4 2 2 4" xfId="14139"/>
    <cellStyle name="常规 5 2 4 2 3" xfId="26018"/>
    <cellStyle name="常规 5 2 4 3" xfId="14672"/>
    <cellStyle name="常规 5 2 4 3 2" xfId="26019"/>
    <cellStyle name="常规 5 2 4 3 2 2" xfId="26021"/>
    <cellStyle name="常规 5 2 4 3 2 3" xfId="26022"/>
    <cellStyle name="常规 5 2 4 3 3" xfId="26023"/>
    <cellStyle name="常规 5 2 4 3 3 2" xfId="26025"/>
    <cellStyle name="常规 5 2 4 3 3 2 2" xfId="26026"/>
    <cellStyle name="常规 5 2 4 3 3 2 3" xfId="26027"/>
    <cellStyle name="常规 5 2 4 3 3 2 3 2" xfId="25349"/>
    <cellStyle name="常规 5 2 4 3 3 3" xfId="26028"/>
    <cellStyle name="常规 5 2 4 3 3 4" xfId="26029"/>
    <cellStyle name="常规 5 2 4 3 4" xfId="26030"/>
    <cellStyle name="常规 5 2 4 4" xfId="12695"/>
    <cellStyle name="常规 5 2 4 4 2" xfId="26031"/>
    <cellStyle name="常规 5 2 4 4 2 2" xfId="26032"/>
    <cellStyle name="常规 5 2 4 4 2 3" xfId="26033"/>
    <cellStyle name="常规 5 2 4 4 2 3 2" xfId="5283"/>
    <cellStyle name="常规 5 2 4 4 3" xfId="26034"/>
    <cellStyle name="常规 5 2 4 4 4" xfId="26035"/>
    <cellStyle name="常规 5 2 4 5" xfId="12704"/>
    <cellStyle name="常规 5 2 5" xfId="16810"/>
    <cellStyle name="常规 5 2 5 2" xfId="15978"/>
    <cellStyle name="常规 5 2 5 2 2" xfId="26036"/>
    <cellStyle name="常规 5 2 5 2 2 2" xfId="26038"/>
    <cellStyle name="常规 5 2 5 2 2 2 2" xfId="26040"/>
    <cellStyle name="常规 5 2 5 2 2 2 3" xfId="26042"/>
    <cellStyle name="常规 5 2 5 2 2 2 3 2" xfId="12361"/>
    <cellStyle name="常规 5 2 5 2 2 3" xfId="26044"/>
    <cellStyle name="常规 5 2 5 2 2 4" xfId="26045"/>
    <cellStyle name="常规 5 2 5 2 3" xfId="26046"/>
    <cellStyle name="常规 5 2 5 3" xfId="15980"/>
    <cellStyle name="常规 5 2 5 3 2" xfId="26047"/>
    <cellStyle name="常规 5 2 5 3 2 2" xfId="26050"/>
    <cellStyle name="常规 5 2 5 3 2 3" xfId="26051"/>
    <cellStyle name="常规 5 2 5 3 3" xfId="26052"/>
    <cellStyle name="常规 5 2 5 3 3 2" xfId="2684"/>
    <cellStyle name="常规 5 2 5 3 3 2 2" xfId="16966"/>
    <cellStyle name="常规 5 2 5 3 3 2 3" xfId="16992"/>
    <cellStyle name="常规 5 2 5 3 3 2 3 2" xfId="16995"/>
    <cellStyle name="常规 5 2 5 3 3 3" xfId="24385"/>
    <cellStyle name="常规 5 2 5 3 3 4" xfId="26053"/>
    <cellStyle name="常规 5 2 5 3 4" xfId="16738"/>
    <cellStyle name="常规 5 2 5 4" xfId="8556"/>
    <cellStyle name="常规 5 2 5 4 2" xfId="22668"/>
    <cellStyle name="常规 5 2 5 4 2 2" xfId="26055"/>
    <cellStyle name="常规 5 2 5 4 2 3" xfId="26057"/>
    <cellStyle name="常规 5 2 5 4 2 3 2" xfId="26059"/>
    <cellStyle name="常规 5 2 5 4 3" xfId="22670"/>
    <cellStyle name="常规 5 2 5 4 4" xfId="16745"/>
    <cellStyle name="常规 5 2 5 5" xfId="8563"/>
    <cellStyle name="常规 5 2 6" xfId="16814"/>
    <cellStyle name="常规 5 2 6 2" xfId="26060"/>
    <cellStyle name="常规 5 2 6 2 2" xfId="26061"/>
    <cellStyle name="常规 5 2 6 2 3" xfId="26062"/>
    <cellStyle name="常规 5 2 6 3" xfId="26063"/>
    <cellStyle name="常规 5 2 6 3 2" xfId="26064"/>
    <cellStyle name="常规 5 2 6 3 2 2" xfId="26066"/>
    <cellStyle name="常规 5 2 6 3 2 3" xfId="26067"/>
    <cellStyle name="常规 5 2 6 3 2 3 2" xfId="18660"/>
    <cellStyle name="常规 5 2 6 3 3" xfId="26068"/>
    <cellStyle name="常规 5 2 6 3 4" xfId="26069"/>
    <cellStyle name="常规 5 2 6 4" xfId="26070"/>
    <cellStyle name="常规 5 2 7" xfId="26071"/>
    <cellStyle name="常规 5 2 7 2" xfId="26072"/>
    <cellStyle name="常规 5 2 7 2 2" xfId="22849"/>
    <cellStyle name="常规 5 2 7 2 3" xfId="22851"/>
    <cellStyle name="常规 5 2 7 2 3 2" xfId="24717"/>
    <cellStyle name="常规 5 2 7 3" xfId="26073"/>
    <cellStyle name="常规 5 2 7 4" xfId="26074"/>
    <cellStyle name="常规 5 2 8" xfId="26075"/>
    <cellStyle name="常规 5 3" xfId="26076"/>
    <cellStyle name="常规 5 3 2" xfId="16820"/>
    <cellStyle name="常规 5 3 2 2" xfId="26077"/>
    <cellStyle name="常规 5 3 2 2 2" xfId="26078"/>
    <cellStyle name="常规 5 3 2 2 2 2" xfId="26079"/>
    <cellStyle name="常规 5 3 2 2 2 2 2" xfId="26080"/>
    <cellStyle name="常规 5 3 2 2 2 2 2 2" xfId="15109"/>
    <cellStyle name="常规 5 3 2 2 2 2 2 3" xfId="26082"/>
    <cellStyle name="常规 5 3 2 2 2 2 2 3 2" xfId="26084"/>
    <cellStyle name="常规 5 3 2 2 2 2 3" xfId="26086"/>
    <cellStyle name="常规 5 3 2 2 2 2 4" xfId="26088"/>
    <cellStyle name="常规 5 3 2 2 2 3" xfId="4465"/>
    <cellStyle name="常规 5 3 2 2 3" xfId="26091"/>
    <cellStyle name="常规 5 3 2 2 3 2" xfId="26092"/>
    <cellStyle name="常规 5 3 2 2 3 2 2" xfId="26093"/>
    <cellStyle name="常规 5 3 2 2 3 2 3" xfId="10468"/>
    <cellStyle name="常规 5 3 2 2 3 3" xfId="26094"/>
    <cellStyle name="常规 5 3 2 2 3 3 2" xfId="26095"/>
    <cellStyle name="常规 5 3 2 2 3 3 2 2" xfId="26096"/>
    <cellStyle name="常规 5 3 2 2 3 3 2 3" xfId="26097"/>
    <cellStyle name="常规 5 3 2 2 3 3 2 3 2" xfId="26098"/>
    <cellStyle name="常规 5 3 2 2 3 3 3" xfId="10481"/>
    <cellStyle name="常规 5 3 2 2 3 3 4" xfId="10487"/>
    <cellStyle name="常规 5 3 2 2 3 4" xfId="26099"/>
    <cellStyle name="常规 5 3 2 2 4" xfId="26101"/>
    <cellStyle name="常规 5 3 2 2 4 2" xfId="24366"/>
    <cellStyle name="常规 5 3 2 2 4 2 2" xfId="24368"/>
    <cellStyle name="常规 5 3 2 2 4 2 3" xfId="10495"/>
    <cellStyle name="常规 5 3 2 2 4 2 3 2" xfId="26102"/>
    <cellStyle name="常规 5 3 2 2 4 3" xfId="26103"/>
    <cellStyle name="常规 5 3 2 2 4 4" xfId="26104"/>
    <cellStyle name="常规 5 3 2 2 5" xfId="26105"/>
    <cellStyle name="常规 5 3 2 3" xfId="26106"/>
    <cellStyle name="常规 5 3 2 3 2" xfId="26107"/>
    <cellStyle name="常规 5 3 2 3 2 2" xfId="26108"/>
    <cellStyle name="常规 5 3 2 3 2 2 2" xfId="15354"/>
    <cellStyle name="常规 5 3 2 3 2 2 3" xfId="15357"/>
    <cellStyle name="常规 5 3 2 3 2 3" xfId="26109"/>
    <cellStyle name="常规 5 3 2 3 2 3 2" xfId="13721"/>
    <cellStyle name="常规 5 3 2 3 2 3 2 2" xfId="2653"/>
    <cellStyle name="常规 5 3 2 3 2 3 2 3" xfId="26111"/>
    <cellStyle name="常规 5 3 2 3 2 3 2 3 2" xfId="22162"/>
    <cellStyle name="常规 5 3 2 3 2 3 3" xfId="13728"/>
    <cellStyle name="常规 5 3 2 3 2 3 4" xfId="26114"/>
    <cellStyle name="常规 5 3 2 3 2 4" xfId="26115"/>
    <cellStyle name="常规 5 3 2 3 3" xfId="26117"/>
    <cellStyle name="常规 5 3 2 3 3 2" xfId="26118"/>
    <cellStyle name="常规 5 3 2 3 3 2 2" xfId="26119"/>
    <cellStyle name="常规 5 3 2 3 3 2 3" xfId="10531"/>
    <cellStyle name="常规 5 3 2 3 3 2 3 2" xfId="5800"/>
    <cellStyle name="常规 5 3 2 3 3 3" xfId="26120"/>
    <cellStyle name="常规 5 3 2 3 3 4" xfId="26121"/>
    <cellStyle name="常规 5 3 2 3 4" xfId="26123"/>
    <cellStyle name="常规 5 3 2 4" xfId="26124"/>
    <cellStyle name="常规 5 3 2 4 2" xfId="26125"/>
    <cellStyle name="常规 5 3 2 4 2 2" xfId="26126"/>
    <cellStyle name="常规 5 3 2 4 2 3" xfId="26127"/>
    <cellStyle name="常规 5 3 2 4 3" xfId="26128"/>
    <cellStyle name="常规 5 3 2 4 3 2" xfId="26129"/>
    <cellStyle name="常规 5 3 2 4 3 2 2" xfId="26130"/>
    <cellStyle name="常规 5 3 2 4 3 2 3" xfId="10577"/>
    <cellStyle name="常规 5 3 2 4 3 2 3 2" xfId="26131"/>
    <cellStyle name="常规 5 3 2 4 3 3" xfId="26132"/>
    <cellStyle name="常规 5 3 2 4 3 4" xfId="26133"/>
    <cellStyle name="常规 5 3 2 4 4" xfId="26134"/>
    <cellStyle name="常规 5 3 2 5" xfId="26135"/>
    <cellStyle name="常规 5 3 2 5 2" xfId="26136"/>
    <cellStyle name="常规 5 3 2 5 2 2" xfId="15566"/>
    <cellStyle name="常规 5 3 2 5 2 3" xfId="14566"/>
    <cellStyle name="常规 5 3 2 5 2 3 2" xfId="7572"/>
    <cellStyle name="常规 5 3 2 5 3" xfId="26138"/>
    <cellStyle name="常规 5 3 2 5 4" xfId="26140"/>
    <cellStyle name="常规 5 3 2 6" xfId="26141"/>
    <cellStyle name="常规 5 3 3" xfId="11997"/>
    <cellStyle name="常规 5 3 3 2" xfId="26142"/>
    <cellStyle name="常规 5 3 3 2 2" xfId="26143"/>
    <cellStyle name="常规 5 3 3 2 2 2" xfId="18992"/>
    <cellStyle name="常规 5 3 3 2 2 2 2" xfId="26144"/>
    <cellStyle name="常规 5 3 3 2 2 2 3" xfId="26145"/>
    <cellStyle name="常规 5 3 3 2 2 2 3 2" xfId="14693"/>
    <cellStyle name="常规 5 3 3 2 2 3" xfId="18995"/>
    <cellStyle name="常规 5 3 3 2 2 4" xfId="18998"/>
    <cellStyle name="常规 5 3 3 2 3" xfId="26146"/>
    <cellStyle name="常规 5 3 3 3" xfId="26147"/>
    <cellStyle name="常规 5 3 3 3 2" xfId="26148"/>
    <cellStyle name="常规 5 3 3 3 2 2" xfId="26149"/>
    <cellStyle name="常规 5 3 3 3 2 3" xfId="26151"/>
    <cellStyle name="常规 5 3 3 3 3" xfId="26152"/>
    <cellStyle name="常规 5 3 3 3 3 2" xfId="26153"/>
    <cellStyle name="常规 5 3 3 3 3 2 2" xfId="24891"/>
    <cellStyle name="常规 5 3 3 3 3 2 3" xfId="24902"/>
    <cellStyle name="常规 5 3 3 3 3 2 3 2" xfId="5908"/>
    <cellStyle name="常规 5 3 3 3 3 3" xfId="26155"/>
    <cellStyle name="常规 5 3 3 3 3 4" xfId="26157"/>
    <cellStyle name="常规 5 3 3 3 4" xfId="26158"/>
    <cellStyle name="常规 5 3 3 4" xfId="26159"/>
    <cellStyle name="常规 5 3 3 4 2" xfId="26160"/>
    <cellStyle name="常规 5 3 3 4 2 2" xfId="26161"/>
    <cellStyle name="常规 5 3 3 4 2 3" xfId="26162"/>
    <cellStyle name="常规 5 3 3 4 2 3 2" xfId="25362"/>
    <cellStyle name="常规 5 3 3 4 3" xfId="26163"/>
    <cellStyle name="常规 5 3 3 4 4" xfId="26164"/>
    <cellStyle name="常规 5 3 3 5" xfId="17903"/>
    <cellStyle name="常规 5 3 4" xfId="12001"/>
    <cellStyle name="常规 5 3 4 2" xfId="26165"/>
    <cellStyle name="常规 5 3 4 2 2" xfId="26166"/>
    <cellStyle name="常规 5 3 4 2 2 2" xfId="26167"/>
    <cellStyle name="常规 5 3 4 2 2 2 2" xfId="26168"/>
    <cellStyle name="常规 5 3 4 2 2 2 3" xfId="26169"/>
    <cellStyle name="常规 5 3 4 2 2 2 3 2" xfId="20937"/>
    <cellStyle name="常规 5 3 4 2 2 3" xfId="26170"/>
    <cellStyle name="常规 5 3 4 2 2 4" xfId="26171"/>
    <cellStyle name="常规 5 3 4 2 3" xfId="26172"/>
    <cellStyle name="常规 5 3 4 3" xfId="26173"/>
    <cellStyle name="常规 5 3 4 3 2" xfId="26174"/>
    <cellStyle name="常规 5 3 4 3 2 2" xfId="26175"/>
    <cellStyle name="常规 5 3 4 3 2 3" xfId="26176"/>
    <cellStyle name="常规 5 3 4 3 3" xfId="26177"/>
    <cellStyle name="常规 5 3 4 3 3 2" xfId="26178"/>
    <cellStyle name="常规 5 3 4 3 3 2 2" xfId="26179"/>
    <cellStyle name="常规 5 3 4 3 3 2 3" xfId="26180"/>
    <cellStyle name="常规 5 3 4 3 3 2 3 2" xfId="4377"/>
    <cellStyle name="常规 5 3 4 3 3 3" xfId="26181"/>
    <cellStyle name="常规 5 3 4 3 3 4" xfId="26182"/>
    <cellStyle name="常规 5 3 4 3 4" xfId="26183"/>
    <cellStyle name="常规 5 3 4 4" xfId="26184"/>
    <cellStyle name="常规 5 3 4 4 2" xfId="26185"/>
    <cellStyle name="常规 5 3 4 4 2 2" xfId="26186"/>
    <cellStyle name="常规 5 3 4 4 2 3" xfId="26187"/>
    <cellStyle name="常规 5 3 4 4 2 3 2" xfId="5712"/>
    <cellStyle name="常规 5 3 4 4 3" xfId="26188"/>
    <cellStyle name="常规 5 3 4 4 4" xfId="26189"/>
    <cellStyle name="常规 5 3 4 5" xfId="26190"/>
    <cellStyle name="常规 5 3 5" xfId="16823"/>
    <cellStyle name="常规 5 3 5 2" xfId="26191"/>
    <cellStyle name="常规 5 3 5 2 2" xfId="26192"/>
    <cellStyle name="常规 5 3 5 2 2 2" xfId="26193"/>
    <cellStyle name="常规 5 3 5 2 2 2 2" xfId="26194"/>
    <cellStyle name="常规 5 3 5 2 2 2 3" xfId="26195"/>
    <cellStyle name="常规 5 3 5 2 2 2 3 2" xfId="26196"/>
    <cellStyle name="常规 5 3 5 2 2 3" xfId="26197"/>
    <cellStyle name="常规 5 3 5 2 2 4" xfId="23011"/>
    <cellStyle name="常规 5 3 5 2 3" xfId="26198"/>
    <cellStyle name="常规 5 3 5 3" xfId="26199"/>
    <cellStyle name="常规 5 3 5 3 2" xfId="26200"/>
    <cellStyle name="常规 5 3 5 3 2 2" xfId="26201"/>
    <cellStyle name="常规 5 3 5 3 2 3" xfId="19873"/>
    <cellStyle name="常规 5 3 5 3 3" xfId="26202"/>
    <cellStyle name="常规 5 3 5 3 3 2" xfId="25093"/>
    <cellStyle name="常规 5 3 5 3 3 2 2" xfId="26203"/>
    <cellStyle name="常规 5 3 5 3 3 2 3" xfId="26204"/>
    <cellStyle name="常规 5 3 5 3 3 2 3 2" xfId="26205"/>
    <cellStyle name="常规 5 3 5 3 3 3" xfId="26206"/>
    <cellStyle name="常规 5 3 5 3 3 4" xfId="26207"/>
    <cellStyle name="常规 5 3 5 3 4" xfId="26208"/>
    <cellStyle name="常规 5 3 5 4" xfId="26209"/>
    <cellStyle name="常规 5 3 5 4 2" xfId="26210"/>
    <cellStyle name="常规 5 3 5 4 2 2" xfId="10862"/>
    <cellStyle name="常规 5 3 5 4 2 3" xfId="10867"/>
    <cellStyle name="常规 5 3 5 4 2 3 2" xfId="26211"/>
    <cellStyle name="常规 5 3 5 4 3" xfId="26212"/>
    <cellStyle name="常规 5 3 5 4 4" xfId="26213"/>
    <cellStyle name="常规 5 3 5 5" xfId="26215"/>
    <cellStyle name="常规 5 3 6" xfId="16827"/>
    <cellStyle name="常规 5 3 6 2" xfId="21789"/>
    <cellStyle name="常规 5 3 6 2 2" xfId="26216"/>
    <cellStyle name="常规 5 3 6 2 3" xfId="26217"/>
    <cellStyle name="常规 5 3 6 3" xfId="21792"/>
    <cellStyle name="常规 5 3 6 3 2" xfId="26218"/>
    <cellStyle name="常规 5 3 6 3 2 2" xfId="26219"/>
    <cellStyle name="常规 5 3 6 3 2 3" xfId="26220"/>
    <cellStyle name="常规 5 3 6 3 2 3 2" xfId="26221"/>
    <cellStyle name="常规 5 3 6 3 3" xfId="26222"/>
    <cellStyle name="常规 5 3 6 3 4" xfId="26223"/>
    <cellStyle name="常规 5 3 6 4" xfId="26224"/>
    <cellStyle name="常规 5 3 7" xfId="26226"/>
    <cellStyle name="常规 5 3 7 2" xfId="21795"/>
    <cellStyle name="常规 5 3 7 2 2" xfId="26227"/>
    <cellStyle name="常规 5 3 7 2 3" xfId="26229"/>
    <cellStyle name="常规 5 3 7 2 3 2" xfId="25316"/>
    <cellStyle name="常规 5 3 7 3" xfId="21797"/>
    <cellStyle name="常规 5 3 7 4" xfId="26230"/>
    <cellStyle name="常规 5 3 8" xfId="26231"/>
    <cellStyle name="常规 5 4" xfId="6911"/>
    <cellStyle name="常规 5 4 2" xfId="16833"/>
    <cellStyle name="常规 5 4 2 2" xfId="26232"/>
    <cellStyle name="常规 5 4 2 2 2" xfId="26233"/>
    <cellStyle name="常规 5 4 2 2 2 2" xfId="23264"/>
    <cellStyle name="常规 5 4 2 2 2 2 2" xfId="22435"/>
    <cellStyle name="常规 5 4 2 2 2 2 3" xfId="22437"/>
    <cellStyle name="常规 5 4 2 2 2 3" xfId="26235"/>
    <cellStyle name="常规 5 4 2 2 2 3 2" xfId="26236"/>
    <cellStyle name="常规 5 4 2 2 2 3 2 2" xfId="26237"/>
    <cellStyle name="常规 5 4 2 2 2 3 2 3" xfId="26238"/>
    <cellStyle name="常规 5 4 2 2 2 3 2 3 2" xfId="11304"/>
    <cellStyle name="常规 5 4 2 2 2 3 3" xfId="26239"/>
    <cellStyle name="常规 5 4 2 2 2 3 4" xfId="26241"/>
    <cellStyle name="常规 5 4 2 2 2 4" xfId="26243"/>
    <cellStyle name="常规 5 4 2 2 3" xfId="26244"/>
    <cellStyle name="常规 5 4 2 2 3 2" xfId="26245"/>
    <cellStyle name="常规 5 4 2 2 3 2 2" xfId="26246"/>
    <cellStyle name="常规 5 4 2 2 3 2 3" xfId="10781"/>
    <cellStyle name="常规 5 4 2 2 3 2 3 2" xfId="10783"/>
    <cellStyle name="常规 5 4 2 2 3 3" xfId="26247"/>
    <cellStyle name="常规 5 4 2 2 3 4" xfId="26248"/>
    <cellStyle name="常规 5 4 2 2 4" xfId="26250"/>
    <cellStyle name="常规 5 4 2 3" xfId="26251"/>
    <cellStyle name="常规 5 4 2 3 2" xfId="26252"/>
    <cellStyle name="常规 5 4 2 3 2 2" xfId="26253"/>
    <cellStyle name="常规 5 4 2 3 2 2 2" xfId="26254"/>
    <cellStyle name="常规 5 4 2 3 2 2 2 2" xfId="26255"/>
    <cellStyle name="常规 5 4 2 3 2 2 2 3" xfId="26256"/>
    <cellStyle name="常规 5 4 2 3 2 2 2 3 2" xfId="22418"/>
    <cellStyle name="常规 5 4 2 3 2 2 3" xfId="26257"/>
    <cellStyle name="常规 5 4 2 3 2 2 4" xfId="26258"/>
    <cellStyle name="常规 5 4 2 3 2 3" xfId="26260"/>
    <cellStyle name="常规 5 4 2 3 3" xfId="26261"/>
    <cellStyle name="常规 5 4 2 3 3 2" xfId="26262"/>
    <cellStyle name="常规 5 4 2 3 3 2 2" xfId="26263"/>
    <cellStyle name="常规 5 4 2 3 3 2 3" xfId="10810"/>
    <cellStyle name="常规 5 4 2 3 3 3" xfId="26264"/>
    <cellStyle name="常规 5 4 2 3 3 3 2" xfId="10483"/>
    <cellStyle name="常规 5 4 2 3 3 3 2 2" xfId="26265"/>
    <cellStyle name="常规 5 4 2 3 3 3 2 3" xfId="26267"/>
    <cellStyle name="常规 5 4 2 3 3 3 2 3 2" xfId="1767"/>
    <cellStyle name="常规 5 4 2 3 3 3 3" xfId="18085"/>
    <cellStyle name="常规 5 4 2 3 3 3 4" xfId="18090"/>
    <cellStyle name="常规 5 4 2 3 3 4" xfId="24863"/>
    <cellStyle name="常规 5 4 2 3 4" xfId="26269"/>
    <cellStyle name="常规 5 4 2 3 4 2" xfId="26270"/>
    <cellStyle name="常规 5 4 2 3 4 2 2" xfId="26271"/>
    <cellStyle name="常规 5 4 2 3 4 2 3" xfId="26272"/>
    <cellStyle name="常规 5 4 2 3 4 2 3 2" xfId="26273"/>
    <cellStyle name="常规 5 4 2 3 4 3" xfId="26274"/>
    <cellStyle name="常规 5 4 2 3 4 4" xfId="24874"/>
    <cellStyle name="常规 5 4 2 3 5" xfId="26276"/>
    <cellStyle name="常规 5 4 2 4" xfId="25932"/>
    <cellStyle name="常规 5 4 2 4 2" xfId="25934"/>
    <cellStyle name="常规 5 4 2 4 2 2" xfId="21015"/>
    <cellStyle name="常规 5 4 2 4 2 3" xfId="21020"/>
    <cellStyle name="常规 5 4 2 4 3" xfId="25936"/>
    <cellStyle name="常规 5 4 2 4 3 2" xfId="26277"/>
    <cellStyle name="常规 5 4 2 4 3 2 2" xfId="26278"/>
    <cellStyle name="常规 5 4 2 4 3 2 3" xfId="10830"/>
    <cellStyle name="常规 5 4 2 4 3 2 3 2" xfId="16220"/>
    <cellStyle name="常规 5 4 2 4 3 3" xfId="26279"/>
    <cellStyle name="常规 5 4 2 4 3 4" xfId="24884"/>
    <cellStyle name="常规 5 4 2 4 4" xfId="25938"/>
    <cellStyle name="常规 5 4 2 5" xfId="4225"/>
    <cellStyle name="常规 5 4 2 5 2" xfId="26280"/>
    <cellStyle name="常规 5 4 2 5 2 2" xfId="26281"/>
    <cellStyle name="常规 5 4 2 5 2 3" xfId="248"/>
    <cellStyle name="常规 5 4 2 5 2 3 2" xfId="3805"/>
    <cellStyle name="常规 5 4 2 5 3" xfId="26282"/>
    <cellStyle name="常规 5 4 2 5 4" xfId="26284"/>
    <cellStyle name="常规 5 4 2 6" xfId="4241"/>
    <cellStyle name="常规 5 4 3" xfId="16836"/>
    <cellStyle name="常规 5 4 3 2" xfId="26285"/>
    <cellStyle name="常规 5 4 3 2 2" xfId="26286"/>
    <cellStyle name="常规 5 4 3 2 2 2" xfId="20699"/>
    <cellStyle name="常规 5 4 3 2 2 2 2" xfId="12926"/>
    <cellStyle name="常规 5 4 3 2 2 2 3" xfId="12929"/>
    <cellStyle name="常规 5 4 3 2 2 3" xfId="20701"/>
    <cellStyle name="常规 5 4 3 2 2 3 2" xfId="12945"/>
    <cellStyle name="常规 5 4 3 2 2 3 2 2" xfId="26287"/>
    <cellStyle name="常规 5 4 3 2 2 3 2 3" xfId="26288"/>
    <cellStyle name="常规 5 4 3 2 2 3 2 3 2" xfId="26289"/>
    <cellStyle name="常规 5 4 3 2 2 3 3" xfId="12948"/>
    <cellStyle name="常规 5 4 3 2 2 3 4" xfId="12951"/>
    <cellStyle name="常规 5 4 3 2 2 4" xfId="20703"/>
    <cellStyle name="常规 5 4 3 2 3" xfId="26290"/>
    <cellStyle name="常规 5 4 3 2 3 2" xfId="20710"/>
    <cellStyle name="常规 5 4 3 2 3 2 2" xfId="13037"/>
    <cellStyle name="常规 5 4 3 2 3 2 3" xfId="13044"/>
    <cellStyle name="常规 5 4 3 2 3 2 3 2" xfId="26293"/>
    <cellStyle name="常规 5 4 3 2 3 3" xfId="20712"/>
    <cellStyle name="常规 5 4 3 2 3 4" xfId="20714"/>
    <cellStyle name="常规 5 4 3 2 4" xfId="10192"/>
    <cellStyle name="常规 5 4 3 3" xfId="26294"/>
    <cellStyle name="常规 5 4 3 3 2" xfId="26295"/>
    <cellStyle name="常规 5 4 3 3 2 2" xfId="15061"/>
    <cellStyle name="常规 5 4 3 3 2 2 2" xfId="15063"/>
    <cellStyle name="常规 5 4 3 3 2 2 2 2" xfId="14705"/>
    <cellStyle name="常规 5 4 3 3 2 2 2 3" xfId="14708"/>
    <cellStyle name="常规 5 4 3 3 2 2 2 3 2" xfId="26296"/>
    <cellStyle name="常规 5 4 3 3 2 2 3" xfId="15065"/>
    <cellStyle name="常规 5 4 3 3 2 2 4" xfId="15067"/>
    <cellStyle name="常规 5 4 3 3 2 3" xfId="15072"/>
    <cellStyle name="常规 5 4 3 3 3" xfId="26297"/>
    <cellStyle name="常规 5 4 3 3 3 2" xfId="15223"/>
    <cellStyle name="常规 5 4 3 3 3 2 2" xfId="15225"/>
    <cellStyle name="常规 5 4 3 3 3 2 3" xfId="15227"/>
    <cellStyle name="常规 5 4 3 3 3 3" xfId="15230"/>
    <cellStyle name="常规 5 4 3 3 3 3 2" xfId="15232"/>
    <cellStyle name="常规 5 4 3 3 3 3 2 2" xfId="26298"/>
    <cellStyle name="常规 5 4 3 3 3 3 2 3" xfId="26299"/>
    <cellStyle name="常规 5 4 3 3 3 3 2 3 2" xfId="26301"/>
    <cellStyle name="常规 5 4 3 3 3 3 3" xfId="44"/>
    <cellStyle name="常规 5 4 3 3 3 3 4" xfId="15234"/>
    <cellStyle name="常规 5 4 3 3 3 4" xfId="15236"/>
    <cellStyle name="常规 5 4 3 3 4" xfId="10198"/>
    <cellStyle name="常规 5 4 3 3 4 2" xfId="15303"/>
    <cellStyle name="常规 5 4 3 3 4 2 2" xfId="15305"/>
    <cellStyle name="常规 5 4 3 3 4 2 3" xfId="15307"/>
    <cellStyle name="常规 5 4 3 3 4 2 3 2" xfId="26302"/>
    <cellStyle name="常规 5 4 3 3 4 3" xfId="15310"/>
    <cellStyle name="常规 5 4 3 3 4 4" xfId="15314"/>
    <cellStyle name="常规 5 4 3 3 5" xfId="10200"/>
    <cellStyle name="常规 5 4 3 4" xfId="25940"/>
    <cellStyle name="常规 5 4 3 4 2" xfId="23038"/>
    <cellStyle name="常规 5 4 3 4 2 2" xfId="12771"/>
    <cellStyle name="常规 5 4 3 4 2 2 2" xfId="15940"/>
    <cellStyle name="常规 5 4 3 4 2 2 3" xfId="15942"/>
    <cellStyle name="常规 5 4 3 4 2 3" xfId="12777"/>
    <cellStyle name="常规 5 4 3 4 2 3 2" xfId="15947"/>
    <cellStyle name="常规 5 4 3 4 2 3 2 2" xfId="26303"/>
    <cellStyle name="常规 5 4 3 4 2 3 2 3" xfId="26304"/>
    <cellStyle name="常规 5 4 3 4 2 3 2 3 2" xfId="96"/>
    <cellStyle name="常规 5 4 3 4 2 3 3" xfId="15950"/>
    <cellStyle name="常规 5 4 3 4 2 3 4" xfId="15952"/>
    <cellStyle name="常规 5 4 3 4 2 4" xfId="15958"/>
    <cellStyle name="常规 5 4 3 4 3" xfId="10205"/>
    <cellStyle name="常规 5 4 3 4 3 2" xfId="10212"/>
    <cellStyle name="常规 5 4 3 4 3 2 2" xfId="16071"/>
    <cellStyle name="常规 5 4 3 4 3 2 3" xfId="16073"/>
    <cellStyle name="常规 5 4 3 4 3 2 3 2" xfId="26305"/>
    <cellStyle name="常规 5 4 3 4 3 3" xfId="10216"/>
    <cellStyle name="常规 5 4 3 4 3 4" xfId="16082"/>
    <cellStyle name="常规 5 4 3 4 4" xfId="10220"/>
    <cellStyle name="常规 5 4 3 5" xfId="25942"/>
    <cellStyle name="常规 5 4 3 5 2" xfId="25944"/>
    <cellStyle name="常规 5 4 3 5 2 2" xfId="4095"/>
    <cellStyle name="常规 5 4 3 5 2 3" xfId="4122"/>
    <cellStyle name="常规 5 4 3 5 3" xfId="10225"/>
    <cellStyle name="常规 5 4 3 5 3 2" xfId="2705"/>
    <cellStyle name="常规 5 4 3 5 3 2 2" xfId="17164"/>
    <cellStyle name="常规 5 4 3 5 3 2 3" xfId="17168"/>
    <cellStyle name="常规 5 4 3 5 3 2 3 2" xfId="13391"/>
    <cellStyle name="常规 5 4 3 5 3 3" xfId="2710"/>
    <cellStyle name="常规 5 4 3 5 3 4" xfId="4978"/>
    <cellStyle name="常规 5 4 3 5 4" xfId="10228"/>
    <cellStyle name="常规 5 4 3 6" xfId="25946"/>
    <cellStyle name="常规 5 4 3 6 2" xfId="26306"/>
    <cellStyle name="常规 5 4 3 6 2 2" xfId="2792"/>
    <cellStyle name="常规 5 4 3 6 2 3" xfId="2980"/>
    <cellStyle name="常规 5 4 3 6 2 3 2" xfId="5011"/>
    <cellStyle name="常规 5 4 3 6 3" xfId="26307"/>
    <cellStyle name="常规 5 4 3 6 4" xfId="26309"/>
    <cellStyle name="常规 5 4 3 7" xfId="26310"/>
    <cellStyle name="常规 5 4 4" xfId="16839"/>
    <cellStyle name="常规 5 4 4 2" xfId="26311"/>
    <cellStyle name="常规 5 4 4 2 2" xfId="26312"/>
    <cellStyle name="常规 5 4 4 2 2 2" xfId="26314"/>
    <cellStyle name="常规 5 4 4 2 2 2 2" xfId="26316"/>
    <cellStyle name="常规 5 4 4 2 2 2 3" xfId="24711"/>
    <cellStyle name="常规 5 4 4 2 2 2 3 2" xfId="19377"/>
    <cellStyle name="常规 5 4 4 2 2 3" xfId="26319"/>
    <cellStyle name="常规 5 4 4 2 2 4" xfId="26321"/>
    <cellStyle name="常规 5 4 4 2 3" xfId="26322"/>
    <cellStyle name="常规 5 4 4 3" xfId="26323"/>
    <cellStyle name="常规 5 4 4 3 2" xfId="19432"/>
    <cellStyle name="常规 5 4 4 3 2 2" xfId="15462"/>
    <cellStyle name="常规 5 4 4 3 2 3" xfId="15467"/>
    <cellStyle name="常规 5 4 4 3 3" xfId="19434"/>
    <cellStyle name="常规 5 4 4 3 3 2" xfId="19597"/>
    <cellStyle name="常规 5 4 4 3 3 2 2" xfId="19599"/>
    <cellStyle name="常规 5 4 4 3 3 2 3" xfId="18756"/>
    <cellStyle name="常规 5 4 4 3 3 2 3 2" xfId="26324"/>
    <cellStyle name="常规 5 4 4 3 3 3" xfId="19602"/>
    <cellStyle name="常规 5 4 4 3 3 4" xfId="19605"/>
    <cellStyle name="常规 5 4 4 3 4" xfId="19436"/>
    <cellStyle name="常规 5 4 4 4" xfId="25949"/>
    <cellStyle name="常规 5 4 4 4 2" xfId="25951"/>
    <cellStyle name="常规 5 4 4 4 2 2" xfId="20183"/>
    <cellStyle name="常规 5 4 4 4 2 3" xfId="20193"/>
    <cellStyle name="常规 5 4 4 4 2 3 2" xfId="20197"/>
    <cellStyle name="常规 5 4 4 4 3" xfId="9599"/>
    <cellStyle name="常规 5 4 4 4 4" xfId="10235"/>
    <cellStyle name="常规 5 4 4 5" xfId="25953"/>
    <cellStyle name="常规 5 4 5" xfId="16842"/>
    <cellStyle name="常规 5 4 5 2" xfId="12010"/>
    <cellStyle name="常规 5 4 5 2 2" xfId="26325"/>
    <cellStyle name="常规 5 4 5 2 3" xfId="26326"/>
    <cellStyle name="常规 5 4 5 3" xfId="26327"/>
    <cellStyle name="常规 5 4 5 3 2" xfId="26328"/>
    <cellStyle name="常规 5 4 5 3 2 2" xfId="18188"/>
    <cellStyle name="常规 5 4 5 3 2 3" xfId="18191"/>
    <cellStyle name="常规 5 4 5 3 2 3 2" xfId="13891"/>
    <cellStyle name="常规 5 4 5 3 3" xfId="26329"/>
    <cellStyle name="常规 5 4 5 3 4" xfId="26331"/>
    <cellStyle name="常规 5 4 5 4" xfId="26332"/>
    <cellStyle name="常规 5 4 6" xfId="16846"/>
    <cellStyle name="常规 5 4 6 2" xfId="12020"/>
    <cellStyle name="常规 5 4 6 2 2" xfId="12024"/>
    <cellStyle name="常规 5 4 6 2 3" xfId="12036"/>
    <cellStyle name="常规 5 4 6 2 3 2" xfId="25610"/>
    <cellStyle name="常规 5 4 6 3" xfId="12040"/>
    <cellStyle name="常规 5 4 6 4" xfId="26333"/>
    <cellStyle name="常规 5 4 7" xfId="26335"/>
    <cellStyle name="常规 5 5" xfId="6917"/>
    <cellStyle name="常规 5 5 2" xfId="16855"/>
    <cellStyle name="常规 5 5 2 2" xfId="20527"/>
    <cellStyle name="常规 5 5 2 2 2" xfId="26336"/>
    <cellStyle name="常规 5 5 2 2 2 2" xfId="26337"/>
    <cellStyle name="常规 5 5 2 2 2 3" xfId="26338"/>
    <cellStyle name="常规 5 5 2 2 3" xfId="26339"/>
    <cellStyle name="常规 5 5 2 2 3 2" xfId="26340"/>
    <cellStyle name="常规 5 5 2 2 3 2 2" xfId="26342"/>
    <cellStyle name="常规 5 5 2 2 3 2 3" xfId="4532"/>
    <cellStyle name="常规 5 5 2 2 3 2 3 2" xfId="11049"/>
    <cellStyle name="常规 5 5 2 2 3 3" xfId="26343"/>
    <cellStyle name="常规 5 5 2 2 3 4" xfId="25558"/>
    <cellStyle name="常规 5 5 2 2 4" xfId="26345"/>
    <cellStyle name="常规 5 5 2 3" xfId="20529"/>
    <cellStyle name="常规 5 5 2 3 2" xfId="26346"/>
    <cellStyle name="常规 5 5 2 3 2 2" xfId="18264"/>
    <cellStyle name="常规 5 5 2 3 2 3" xfId="18267"/>
    <cellStyle name="常规 5 5 2 3 2 3 2" xfId="9779"/>
    <cellStyle name="常规 5 5 2 3 3" xfId="26347"/>
    <cellStyle name="常规 5 5 2 3 4" xfId="26349"/>
    <cellStyle name="常规 5 5 2 4" xfId="20531"/>
    <cellStyle name="常规 5 5 3" xfId="16859"/>
    <cellStyle name="常规 5 5 3 2" xfId="17960"/>
    <cellStyle name="常规 5 5 3 2 2" xfId="26350"/>
    <cellStyle name="常规 5 5 3 2 2 2" xfId="26351"/>
    <cellStyle name="常规 5 5 3 2 2 2 2" xfId="26352"/>
    <cellStyle name="常规 5 5 3 2 2 2 3" xfId="26353"/>
    <cellStyle name="常规 5 5 3 2 2 2 3 2" xfId="26355"/>
    <cellStyle name="常规 5 5 3 2 2 3" xfId="26356"/>
    <cellStyle name="常规 5 5 3 2 2 4" xfId="26357"/>
    <cellStyle name="常规 5 5 3 2 3" xfId="26358"/>
    <cellStyle name="常规 5 5 3 3" xfId="17963"/>
    <cellStyle name="常规 5 5 3 3 2" xfId="26359"/>
    <cellStyle name="常规 5 5 3 3 2 2" xfId="26360"/>
    <cellStyle name="常规 5 5 3 3 2 3" xfId="26361"/>
    <cellStyle name="常规 5 5 3 3 3" xfId="26362"/>
    <cellStyle name="常规 5 5 3 3 3 2" xfId="26363"/>
    <cellStyle name="常规 5 5 3 3 3 2 2" xfId="26364"/>
    <cellStyle name="常规 5 5 3 3 3 2 3" xfId="11151"/>
    <cellStyle name="常规 5 5 3 3 3 2 3 2" xfId="26365"/>
    <cellStyle name="常规 5 5 3 3 3 3" xfId="26366"/>
    <cellStyle name="常规 5 5 3 3 3 4" xfId="25446"/>
    <cellStyle name="常规 5 5 3 3 4" xfId="10460"/>
    <cellStyle name="常规 5 5 3 4" xfId="17966"/>
    <cellStyle name="常规 5 5 3 4 2" xfId="25972"/>
    <cellStyle name="常规 5 5 3 4 2 2" xfId="26367"/>
    <cellStyle name="常规 5 5 3 4 2 3" xfId="26368"/>
    <cellStyle name="常规 5 5 3 4 2 3 2" xfId="26369"/>
    <cellStyle name="常规 5 5 3 4 3" xfId="10241"/>
    <cellStyle name="常规 5 5 3 4 4" xfId="10245"/>
    <cellStyle name="常规 5 5 3 5" xfId="25975"/>
    <cellStyle name="常规 5 5 4" xfId="16863"/>
    <cellStyle name="常规 5 5 4 2" xfId="26370"/>
    <cellStyle name="常规 5 5 4 2 2" xfId="26371"/>
    <cellStyle name="常规 5 5 4 2 2 2" xfId="26372"/>
    <cellStyle name="常规 5 5 4 2 2 3" xfId="26373"/>
    <cellStyle name="常规 5 5 4 2 3" xfId="26375"/>
    <cellStyle name="常规 5 5 4 2 3 2" xfId="26377"/>
    <cellStyle name="常规 5 5 4 2 3 2 2" xfId="26378"/>
    <cellStyle name="常规 5 5 4 2 3 2 3" xfId="5652"/>
    <cellStyle name="常规 5 5 4 2 3 2 3 2" xfId="26379"/>
    <cellStyle name="常规 5 5 4 2 3 3" xfId="26381"/>
    <cellStyle name="常规 5 5 4 2 3 4" xfId="26382"/>
    <cellStyle name="常规 5 5 4 2 4" xfId="9554"/>
    <cellStyle name="常规 5 5 4 3" xfId="26383"/>
    <cellStyle name="常规 5 5 4 3 2" xfId="26384"/>
    <cellStyle name="常规 5 5 4 3 2 2" xfId="26385"/>
    <cellStyle name="常规 5 5 4 3 2 3" xfId="26386"/>
    <cellStyle name="常规 5 5 4 3 2 3 2" xfId="26387"/>
    <cellStyle name="常规 5 5 4 3 3" xfId="26388"/>
    <cellStyle name="常规 5 5 4 3 4" xfId="26389"/>
    <cellStyle name="常规 5 5 4 4" xfId="26390"/>
    <cellStyle name="常规 5 5 5" xfId="16867"/>
    <cellStyle name="常规 5 5 5 2" xfId="12059"/>
    <cellStyle name="常规 5 5 5 2 2" xfId="26391"/>
    <cellStyle name="常规 5 5 5 2 3" xfId="26392"/>
    <cellStyle name="常规 5 5 5 3" xfId="26393"/>
    <cellStyle name="常规 5 5 5 3 2" xfId="26394"/>
    <cellStyle name="常规 5 5 5 3 2 2" xfId="26395"/>
    <cellStyle name="常规 5 5 5 3 2 3" xfId="26396"/>
    <cellStyle name="常规 5 5 5 3 2 3 2" xfId="18946"/>
    <cellStyle name="常规 5 5 5 3 3" xfId="26397"/>
    <cellStyle name="常规 5 5 5 3 4" xfId="26399"/>
    <cellStyle name="常规 5 5 5 4" xfId="26400"/>
    <cellStyle name="常规 5 5 6" xfId="16871"/>
    <cellStyle name="常规 5 5 6 2" xfId="12070"/>
    <cellStyle name="常规 5 5 6 2 2" xfId="26401"/>
    <cellStyle name="常规 5 5 6 2 3" xfId="26403"/>
    <cellStyle name="常规 5 5 6 2 3 2" xfId="26090"/>
    <cellStyle name="常规 5 5 6 3" xfId="12072"/>
    <cellStyle name="常规 5 5 6 4" xfId="26404"/>
    <cellStyle name="常规 5 5 7" xfId="9281"/>
    <cellStyle name="常规 5 6" xfId="26406"/>
    <cellStyle name="常规 5 6 2" xfId="16880"/>
    <cellStyle name="常规 5 6 2 2" xfId="26407"/>
    <cellStyle name="常规 5 6 2 2 2" xfId="26408"/>
    <cellStyle name="常规 5 6 2 2 2 2" xfId="7898"/>
    <cellStyle name="常规 5 6 2 2 2 3" xfId="26409"/>
    <cellStyle name="常规 5 6 2 2 2 3 2" xfId="26410"/>
    <cellStyle name="常规 5 6 2 2 3" xfId="26411"/>
    <cellStyle name="常规 5 6 2 2 4" xfId="26413"/>
    <cellStyle name="常规 5 6 2 3" xfId="26414"/>
    <cellStyle name="常规 5 6 3" xfId="16883"/>
    <cellStyle name="常规 5 6 3 2" xfId="26415"/>
    <cellStyle name="常规 5 6 3 2 2" xfId="7920"/>
    <cellStyle name="常规 5 6 3 2 3" xfId="7927"/>
    <cellStyle name="常规 5 6 3 3" xfId="26416"/>
    <cellStyle name="常规 5 6 3 3 2" xfId="26417"/>
    <cellStyle name="常规 5 6 3 3 2 2" xfId="11849"/>
    <cellStyle name="常规 5 6 3 3 2 3" xfId="24121"/>
    <cellStyle name="常规 5 6 3 3 2 3 2" xfId="5122"/>
    <cellStyle name="常规 5 6 3 3 3" xfId="26418"/>
    <cellStyle name="常规 5 6 3 3 4" xfId="10769"/>
    <cellStyle name="常规 5 6 3 4" xfId="25985"/>
    <cellStyle name="常规 5 6 4" xfId="16886"/>
    <cellStyle name="常规 5 6 4 2" xfId="26419"/>
    <cellStyle name="常规 5 6 4 2 2" xfId="13102"/>
    <cellStyle name="常规 5 6 4 2 3" xfId="13105"/>
    <cellStyle name="常规 5 6 4 2 3 2" xfId="26420"/>
    <cellStyle name="常规 5 6 4 3" xfId="26422"/>
    <cellStyle name="常规 5 6 4 4" xfId="26424"/>
    <cellStyle name="常规 5 6 5" xfId="16889"/>
    <cellStyle name="常规 5 7" xfId="26426"/>
    <cellStyle name="常规 5 7 2" xfId="16901"/>
    <cellStyle name="常规 5 7 2 2" xfId="26427"/>
    <cellStyle name="常规 5 7 2 2 2" xfId="26428"/>
    <cellStyle name="常规 5 7 2 2 2 2" xfId="26429"/>
    <cellStyle name="常规 5 7 2 2 2 3" xfId="26430"/>
    <cellStyle name="常规 5 7 2 2 2 3 2" xfId="26431"/>
    <cellStyle name="常规 5 7 2 2 3" xfId="26432"/>
    <cellStyle name="常规 5 7 2 2 4" xfId="26434"/>
    <cellStyle name="常规 5 7 2 3" xfId="26435"/>
    <cellStyle name="常规 5 7 3" xfId="16904"/>
    <cellStyle name="常规 5 7 3 2" xfId="16103"/>
    <cellStyle name="常规 5 7 3 2 2" xfId="917"/>
    <cellStyle name="常规 5 7 3 2 3" xfId="1291"/>
    <cellStyle name="常规 5 7 3 3" xfId="16105"/>
    <cellStyle name="常规 5 7 3 3 2" xfId="26437"/>
    <cellStyle name="常规 5 7 3 3 2 2" xfId="26439"/>
    <cellStyle name="常规 5 7 3 3 2 3" xfId="26441"/>
    <cellStyle name="常规 5 7 3 3 2 3 2" xfId="26443"/>
    <cellStyle name="常规 5 7 3 3 3" xfId="26445"/>
    <cellStyle name="常规 5 7 3 3 4" xfId="26448"/>
    <cellStyle name="常规 5 7 3 4" xfId="16107"/>
    <cellStyle name="常规 5 7 4" xfId="16908"/>
    <cellStyle name="常规 5 7 4 2" xfId="26449"/>
    <cellStyle name="常规 5 7 4 2 2" xfId="2259"/>
    <cellStyle name="常规 5 7 4 2 3" xfId="2623"/>
    <cellStyle name="常规 5 7 4 2 3 2" xfId="2636"/>
    <cellStyle name="常规 5 7 4 3" xfId="26451"/>
    <cellStyle name="常规 5 7 4 4" xfId="26453"/>
    <cellStyle name="常规 5 7 5" xfId="16912"/>
    <cellStyle name="常规 5 8" xfId="26454"/>
    <cellStyle name="常规 5 8 2" xfId="26455"/>
    <cellStyle name="常规 5 8 2 2" xfId="26456"/>
    <cellStyle name="常规 5 8 2 3" xfId="7991"/>
    <cellStyle name="常规 5 8 3" xfId="26457"/>
    <cellStyle name="常规 5 8 3 2" xfId="26458"/>
    <cellStyle name="常规 5 8 3 2 2" xfId="26459"/>
    <cellStyle name="常规 5 8 3 2 3" xfId="26461"/>
    <cellStyle name="常规 5 8 3 2 3 2" xfId="26463"/>
    <cellStyle name="常规 5 8 3 3" xfId="6301"/>
    <cellStyle name="常规 5 8 3 4" xfId="6310"/>
    <cellStyle name="常规 5 8 4" xfId="26464"/>
    <cellStyle name="常规 5 9" xfId="26466"/>
    <cellStyle name="常规 5 9 2" xfId="26468"/>
    <cellStyle name="常规 5 9 2 2" xfId="26469"/>
    <cellStyle name="常规 5 9 2 3" xfId="26470"/>
    <cellStyle name="常规 5 9 2 3 2" xfId="26471"/>
    <cellStyle name="常规 5 9 3" xfId="26473"/>
    <cellStyle name="常规 5 9 4" xfId="26474"/>
    <cellStyle name="常规 6" xfId="20479"/>
    <cellStyle name="常规 6 10" xfId="26049"/>
    <cellStyle name="常规 6 2" xfId="11337"/>
    <cellStyle name="常规 6 2 2" xfId="26476"/>
    <cellStyle name="常规 6 2 2 2" xfId="9498"/>
    <cellStyle name="常规 6 2 2 2 2" xfId="26478"/>
    <cellStyle name="常规 6 2 2 2 2 2" xfId="4192"/>
    <cellStyle name="常规 6 2 2 2 2 2 2" xfId="26479"/>
    <cellStyle name="常规 6 2 2 2 2 2 2 2" xfId="3063"/>
    <cellStyle name="常规 6 2 2 2 2 2 2 3" xfId="4178"/>
    <cellStyle name="常规 6 2 2 2 2 2 2 3 2" xfId="4185"/>
    <cellStyle name="常规 6 2 2 2 2 2 3" xfId="26480"/>
    <cellStyle name="常规 6 2 2 2 2 2 4" xfId="26481"/>
    <cellStyle name="常规 6 2 2 2 2 3" xfId="13513"/>
    <cellStyle name="常规 6 2 2 2 3" xfId="12792"/>
    <cellStyle name="常规 6 2 2 2 3 2" xfId="12796"/>
    <cellStyle name="常规 6 2 2 2 3 2 2" xfId="26483"/>
    <cellStyle name="常规 6 2 2 2 3 2 3" xfId="26485"/>
    <cellStyle name="常规 6 2 2 2 3 3" xfId="7396"/>
    <cellStyle name="常规 6 2 2 2 3 3 2" xfId="26488"/>
    <cellStyle name="常规 6 2 2 2 3 3 2 2" xfId="3389"/>
    <cellStyle name="常规 6 2 2 2 3 3 2 3" xfId="4101"/>
    <cellStyle name="常规 6 2 2 2 3 3 2 3 2" xfId="4462"/>
    <cellStyle name="常规 6 2 2 2 3 3 3" xfId="26490"/>
    <cellStyle name="常规 6 2 2 2 3 3 4" xfId="26492"/>
    <cellStyle name="常规 6 2 2 2 3 4" xfId="3936"/>
    <cellStyle name="常规 6 2 2 2 4" xfId="12811"/>
    <cellStyle name="常规 6 2 2 2 4 2" xfId="91"/>
    <cellStyle name="常规 6 2 2 2 4 2 2" xfId="26493"/>
    <cellStyle name="常规 6 2 2 2 4 2 3" xfId="26494"/>
    <cellStyle name="常规 6 2 2 2 4 2 3 2" xfId="3599"/>
    <cellStyle name="常规 6 2 2 2 4 3" xfId="12813"/>
    <cellStyle name="常规 6 2 2 2 4 4" xfId="11445"/>
    <cellStyle name="常规 6 2 2 2 5" xfId="12817"/>
    <cellStyle name="常规 6 2 2 3" xfId="26496"/>
    <cellStyle name="常规 6 2 2 3 2" xfId="26497"/>
    <cellStyle name="常规 6 2 2 3 2 2" xfId="26498"/>
    <cellStyle name="常规 6 2 2 3 2 2 2" xfId="26499"/>
    <cellStyle name="常规 6 2 2 3 2 2 3" xfId="26500"/>
    <cellStyle name="常规 6 2 2 3 2 3" xfId="26501"/>
    <cellStyle name="常规 6 2 2 3 2 3 2" xfId="26502"/>
    <cellStyle name="常规 6 2 2 3 2 3 2 2" xfId="22509"/>
    <cellStyle name="常规 6 2 2 3 2 3 2 3" xfId="22511"/>
    <cellStyle name="常规 6 2 2 3 2 3 2 3 2" xfId="13511"/>
    <cellStyle name="常规 6 2 2 3 2 3 3" xfId="26503"/>
    <cellStyle name="常规 6 2 2 3 2 3 4" xfId="26504"/>
    <cellStyle name="常规 6 2 2 3 2 4" xfId="26505"/>
    <cellStyle name="常规 6 2 2 3 3" xfId="7405"/>
    <cellStyle name="常规 6 2 2 3 3 2" xfId="26506"/>
    <cellStyle name="常规 6 2 2 3 3 2 2" xfId="26507"/>
    <cellStyle name="常规 6 2 2 3 3 2 3" xfId="26508"/>
    <cellStyle name="常规 6 2 2 3 3 2 3 2" xfId="20482"/>
    <cellStyle name="常规 6 2 2 3 3 3" xfId="26509"/>
    <cellStyle name="常规 6 2 2 3 3 4" xfId="26510"/>
    <cellStyle name="常规 6 2 2 3 4" xfId="6987"/>
    <cellStyle name="常规 6 2 2 4" xfId="26511"/>
    <cellStyle name="常规 6 2 2 4 2" xfId="26512"/>
    <cellStyle name="常规 6 2 2 4 2 2" xfId="26513"/>
    <cellStyle name="常规 6 2 2 4 2 3" xfId="26514"/>
    <cellStyle name="常规 6 2 2 4 3" xfId="2906"/>
    <cellStyle name="常规 6 2 2 4 3 2" xfId="26515"/>
    <cellStyle name="常规 6 2 2 4 3 2 2" xfId="26516"/>
    <cellStyle name="常规 6 2 2 4 3 2 3" xfId="2924"/>
    <cellStyle name="常规 6 2 2 4 3 2 3 2" xfId="7275"/>
    <cellStyle name="常规 6 2 2 4 3 3" xfId="26517"/>
    <cellStyle name="常规 6 2 2 4 3 4" xfId="26518"/>
    <cellStyle name="常规 6 2 2 4 4" xfId="1904"/>
    <cellStyle name="常规 6 2 2 5" xfId="26519"/>
    <cellStyle name="常规 6 2 2 5 2" xfId="26520"/>
    <cellStyle name="常规 6 2 2 5 2 2" xfId="26521"/>
    <cellStyle name="常规 6 2 2 5 2 3" xfId="26522"/>
    <cellStyle name="常规 6 2 2 5 2 3 2" xfId="13114"/>
    <cellStyle name="常规 6 2 2 5 3" xfId="12420"/>
    <cellStyle name="常规 6 2 2 5 4" xfId="12940"/>
    <cellStyle name="常规 6 2 2 6" xfId="26523"/>
    <cellStyle name="常规 6 2 3" xfId="26525"/>
    <cellStyle name="常规 6 2 3 2" xfId="26526"/>
    <cellStyle name="常规 6 2 3 2 2" xfId="26527"/>
    <cellStyle name="常规 6 2 3 2 2 2" xfId="4238"/>
    <cellStyle name="常规 6 2 3 2 2 2 2" xfId="15362"/>
    <cellStyle name="常规 6 2 3 2 2 2 3" xfId="15364"/>
    <cellStyle name="常规 6 2 3 2 2 2 3 2" xfId="2312"/>
    <cellStyle name="常规 6 2 3 2 2 3" xfId="11199"/>
    <cellStyle name="常规 6 2 3 2 2 4" xfId="11212"/>
    <cellStyle name="常规 6 2 3 2 3" xfId="13010"/>
    <cellStyle name="常规 6 2 3 3" xfId="26528"/>
    <cellStyle name="常规 6 2 3 3 2" xfId="26529"/>
    <cellStyle name="常规 6 2 3 3 2 2" xfId="26531"/>
    <cellStyle name="常规 6 2 3 3 2 3" xfId="11377"/>
    <cellStyle name="常规 6 2 3 3 3" xfId="13023"/>
    <cellStyle name="常规 6 2 3 3 3 2" xfId="26532"/>
    <cellStyle name="常规 6 2 3 3 3 2 2" xfId="26533"/>
    <cellStyle name="常规 6 2 3 3 3 2 3" xfId="26534"/>
    <cellStyle name="常规 6 2 3 3 3 2 3 2" xfId="26535"/>
    <cellStyle name="常规 6 2 3 3 3 3" xfId="11396"/>
    <cellStyle name="常规 6 2 3 3 3 4" xfId="11398"/>
    <cellStyle name="常规 6 2 3 3 4" xfId="13025"/>
    <cellStyle name="常规 6 2 3 4" xfId="26536"/>
    <cellStyle name="常规 6 2 3 4 2" xfId="26537"/>
    <cellStyle name="常规 6 2 3 4 2 2" xfId="3857"/>
    <cellStyle name="常规 6 2 3 4 2 3" xfId="3879"/>
    <cellStyle name="常规 6 2 3 4 2 3 2" xfId="3891"/>
    <cellStyle name="常规 6 2 3 4 3" xfId="3095"/>
    <cellStyle name="常规 6 2 3 4 4" xfId="3142"/>
    <cellStyle name="常规 6 2 3 5" xfId="23590"/>
    <cellStyle name="常规 6 2 4" xfId="26539"/>
    <cellStyle name="常规 6 2 4 2" xfId="26541"/>
    <cellStyle name="常规 6 2 4 2 2" xfId="15384"/>
    <cellStyle name="常规 6 2 4 2 2 2" xfId="13781"/>
    <cellStyle name="常规 6 2 4 2 2 2 2" xfId="19788"/>
    <cellStyle name="常规 6 2 4 2 2 2 3" xfId="19791"/>
    <cellStyle name="常规 6 2 4 2 2 2 3 2" xfId="508"/>
    <cellStyle name="常规 6 2 4 2 2 3" xfId="13784"/>
    <cellStyle name="常规 6 2 4 2 2 4" xfId="13787"/>
    <cellStyle name="常规 6 2 4 2 3" xfId="26542"/>
    <cellStyle name="常规 6 2 4 3" xfId="7097"/>
    <cellStyle name="常规 6 2 4 3 2" xfId="7099"/>
    <cellStyle name="常规 6 2 4 3 2 2" xfId="11742"/>
    <cellStyle name="常规 6 2 4 3 2 3" xfId="11807"/>
    <cellStyle name="常规 6 2 4 3 3" xfId="3305"/>
    <cellStyle name="常规 6 2 4 3 3 2" xfId="11868"/>
    <cellStyle name="常规 6 2 4 3 3 2 2" xfId="11872"/>
    <cellStyle name="常规 6 2 4 3 3 2 3" xfId="11877"/>
    <cellStyle name="常规 6 2 4 3 3 2 3 2" xfId="11880"/>
    <cellStyle name="常规 6 2 4 3 3 3" xfId="11893"/>
    <cellStyle name="常规 6 2 4 3 3 4" xfId="11900"/>
    <cellStyle name="常规 6 2 4 3 4" xfId="11903"/>
    <cellStyle name="常规 6 2 4 4" xfId="4820"/>
    <cellStyle name="常规 6 2 4 4 2" xfId="4563"/>
    <cellStyle name="常规 6 2 4 4 2 2" xfId="2610"/>
    <cellStyle name="常规 6 2 4 4 2 3" xfId="2920"/>
    <cellStyle name="常规 6 2 4 4 2 3 2" xfId="4588"/>
    <cellStyle name="常规 6 2 4 4 3" xfId="3358"/>
    <cellStyle name="常规 6 2 4 4 4" xfId="3404"/>
    <cellStyle name="常规 6 2 4 5" xfId="11984"/>
    <cellStyle name="常规 6 2 5" xfId="26544"/>
    <cellStyle name="常规 6 2 5 2" xfId="26545"/>
    <cellStyle name="常规 6 2 5 2 2" xfId="7353"/>
    <cellStyle name="常规 6 2 5 2 2 2" xfId="14135"/>
    <cellStyle name="常规 6 2 5 2 2 2 2" xfId="14617"/>
    <cellStyle name="常规 6 2 5 2 2 2 3" xfId="3631"/>
    <cellStyle name="常规 6 2 5 2 2 2 3 2" xfId="2668"/>
    <cellStyle name="常规 6 2 5 2 2 3" xfId="10423"/>
    <cellStyle name="常规 6 2 5 2 2 4" xfId="18302"/>
    <cellStyle name="常规 6 2 5 2 3" xfId="26546"/>
    <cellStyle name="常规 6 2 5 3" xfId="7102"/>
    <cellStyle name="常规 6 2 5 3 2" xfId="7358"/>
    <cellStyle name="常规 6 2 5 3 2 2" xfId="12261"/>
    <cellStyle name="常规 6 2 5 3 2 3" xfId="8894"/>
    <cellStyle name="常规 6 2 5 3 3" xfId="12270"/>
    <cellStyle name="常规 6 2 5 3 3 2" xfId="12272"/>
    <cellStyle name="常规 6 2 5 3 3 2 2" xfId="12277"/>
    <cellStyle name="常规 6 2 5 3 3 2 3" xfId="12279"/>
    <cellStyle name="常规 6 2 5 3 3 2 3 2" xfId="11778"/>
    <cellStyle name="常规 6 2 5 3 3 3" xfId="12282"/>
    <cellStyle name="常规 6 2 5 3 3 4" xfId="18366"/>
    <cellStyle name="常规 6 2 5 3 4" xfId="12287"/>
    <cellStyle name="常规 6 2 5 4" xfId="5532"/>
    <cellStyle name="常规 6 2 5 4 2" xfId="5221"/>
    <cellStyle name="常规 6 2 5 4 2 2" xfId="5224"/>
    <cellStyle name="常规 6 2 5 4 2 3" xfId="5243"/>
    <cellStyle name="常规 6 2 5 4 2 3 2" xfId="5249"/>
    <cellStyle name="常规 6 2 5 4 3" xfId="3620"/>
    <cellStyle name="常规 6 2 5 4 4" xfId="3648"/>
    <cellStyle name="常规 6 2 5 5" xfId="12289"/>
    <cellStyle name="常规 6 2 6" xfId="26547"/>
    <cellStyle name="常规 6 2 6 2" xfId="26548"/>
    <cellStyle name="常规 6 2 6 2 2" xfId="7374"/>
    <cellStyle name="常规 6 2 6 2 3" xfId="26549"/>
    <cellStyle name="常规 6 2 6 3" xfId="7533"/>
    <cellStyle name="常规 6 2 6 3 2" xfId="7537"/>
    <cellStyle name="常规 6 2 6 3 2 2" xfId="12313"/>
    <cellStyle name="常规 6 2 6 3 2 3" xfId="12336"/>
    <cellStyle name="常规 6 2 6 3 2 3 2" xfId="12339"/>
    <cellStyle name="常规 6 2 6 3 3" xfId="111"/>
    <cellStyle name="常规 6 2 6 3 4" xfId="12384"/>
    <cellStyle name="常规 6 2 6 4" xfId="7541"/>
    <cellStyle name="常规 6 2 7" xfId="26550"/>
    <cellStyle name="常规 6 2 7 2" xfId="26551"/>
    <cellStyle name="常规 6 2 7 2 2" xfId="23434"/>
    <cellStyle name="常规 6 2 7 2 3" xfId="23436"/>
    <cellStyle name="常规 6 2 7 2 3 2" xfId="3785"/>
    <cellStyle name="常规 6 2 7 3" xfId="7549"/>
    <cellStyle name="常规 6 2 7 4" xfId="7553"/>
    <cellStyle name="常规 6 2 8" xfId="13479"/>
    <cellStyle name="常规 6 3" xfId="26552"/>
    <cellStyle name="常规 6 3 2" xfId="8048"/>
    <cellStyle name="常规 6 3 2 2" xfId="26554"/>
    <cellStyle name="常规 6 3 2 2 2" xfId="26555"/>
    <cellStyle name="常规 6 3 2 2 2 2" xfId="4433"/>
    <cellStyle name="常规 6 3 2 2 2 2 2" xfId="23060"/>
    <cellStyle name="常规 6 3 2 2 2 2 2 2" xfId="1347"/>
    <cellStyle name="常规 6 3 2 2 2 2 2 3" xfId="26556"/>
    <cellStyle name="常规 6 3 2 2 2 2 2 3 2" xfId="18821"/>
    <cellStyle name="常规 6 3 2 2 2 2 3" xfId="23062"/>
    <cellStyle name="常规 6 3 2 2 2 2 4" xfId="26557"/>
    <cellStyle name="常规 6 3 2 2 2 3" xfId="21169"/>
    <cellStyle name="常规 6 3 2 2 3" xfId="26558"/>
    <cellStyle name="常规 6 3 2 2 3 2" xfId="21179"/>
    <cellStyle name="常规 6 3 2 2 3 2 2" xfId="22636"/>
    <cellStyle name="常规 6 3 2 2 3 2 3" xfId="22638"/>
    <cellStyle name="常规 6 3 2 2 3 3" xfId="21181"/>
    <cellStyle name="常规 6 3 2 2 3 3 2" xfId="22647"/>
    <cellStyle name="常规 6 3 2 2 3 3 2 2" xfId="26559"/>
    <cellStyle name="常规 6 3 2 2 3 3 2 3" xfId="26560"/>
    <cellStyle name="常规 6 3 2 2 3 3 2 3 2" xfId="25651"/>
    <cellStyle name="常规 6 3 2 2 3 3 3" xfId="22649"/>
    <cellStyle name="常规 6 3 2 2 3 3 4" xfId="24719"/>
    <cellStyle name="常规 6 3 2 2 3 4" xfId="21183"/>
    <cellStyle name="常规 6 3 2 2 4" xfId="18983"/>
    <cellStyle name="常规 6 3 2 2 4 2" xfId="20841"/>
    <cellStyle name="常规 6 3 2 2 4 2 2" xfId="20441"/>
    <cellStyle name="常规 6 3 2 2 4 2 3" xfId="20444"/>
    <cellStyle name="常规 6 3 2 2 4 2 3 2" xfId="11721"/>
    <cellStyle name="常规 6 3 2 2 4 3" xfId="21187"/>
    <cellStyle name="常规 6 3 2 2 4 4" xfId="21190"/>
    <cellStyle name="常规 6 3 2 2 5" xfId="18986"/>
    <cellStyle name="常规 6 3 2 3" xfId="18934"/>
    <cellStyle name="常规 6 3 2 3 2" xfId="26561"/>
    <cellStyle name="常规 6 3 2 3 2 2" xfId="26562"/>
    <cellStyle name="常规 6 3 2 3 2 2 2" xfId="26563"/>
    <cellStyle name="常规 6 3 2 3 2 2 3" xfId="26564"/>
    <cellStyle name="常规 6 3 2 3 2 3" xfId="15968"/>
    <cellStyle name="常规 6 3 2 3 2 3 2" xfId="26565"/>
    <cellStyle name="常规 6 3 2 3 2 3 2 2" xfId="26567"/>
    <cellStyle name="常规 6 3 2 3 2 3 2 3" xfId="26569"/>
    <cellStyle name="常规 6 3 2 3 2 3 2 3 2" xfId="25982"/>
    <cellStyle name="常规 6 3 2 3 2 3 3" xfId="26570"/>
    <cellStyle name="常规 6 3 2 3 2 3 4" xfId="26571"/>
    <cellStyle name="常规 6 3 2 3 2 4" xfId="15970"/>
    <cellStyle name="常规 6 3 2 3 3" xfId="26572"/>
    <cellStyle name="常规 6 3 2 3 3 2" xfId="26573"/>
    <cellStyle name="常规 6 3 2 3 3 2 2" xfId="10096"/>
    <cellStyle name="常规 6 3 2 3 3 2 3" xfId="22389"/>
    <cellStyle name="常规 6 3 2 3 3 2 3 2" xfId="5592"/>
    <cellStyle name="常规 6 3 2 3 3 3" xfId="15974"/>
    <cellStyle name="常规 6 3 2 3 3 4" xfId="15976"/>
    <cellStyle name="常规 6 3 2 3 4" xfId="26574"/>
    <cellStyle name="常规 6 3 2 4" xfId="18936"/>
    <cellStyle name="常规 6 3 2 4 2" xfId="26575"/>
    <cellStyle name="常规 6 3 2 4 2 2" xfId="26576"/>
    <cellStyle name="常规 6 3 2 4 2 3" xfId="26577"/>
    <cellStyle name="常规 6 3 2 4 3" xfId="26578"/>
    <cellStyle name="常规 6 3 2 4 3 2" xfId="26579"/>
    <cellStyle name="常规 6 3 2 4 3 2 2" xfId="23738"/>
    <cellStyle name="常规 6 3 2 4 3 2 3" xfId="23740"/>
    <cellStyle name="常规 6 3 2 4 3 2 3 2" xfId="26580"/>
    <cellStyle name="常规 6 3 2 4 3 3" xfId="26581"/>
    <cellStyle name="常规 6 3 2 4 3 4" xfId="26582"/>
    <cellStyle name="常规 6 3 2 4 4" xfId="26583"/>
    <cellStyle name="常规 6 3 2 5" xfId="13612"/>
    <cellStyle name="常规 6 3 2 5 2" xfId="26584"/>
    <cellStyle name="常规 6 3 2 5 2 2" xfId="16386"/>
    <cellStyle name="常规 6 3 2 5 2 3" xfId="26585"/>
    <cellStyle name="常规 6 3 2 5 2 3 2" xfId="26586"/>
    <cellStyle name="常规 6 3 2 5 3" xfId="26587"/>
    <cellStyle name="常规 6 3 2 5 4" xfId="26588"/>
    <cellStyle name="常规 6 3 2 6" xfId="13618"/>
    <cellStyle name="常规 6 3 3" xfId="25827"/>
    <cellStyle name="常规 6 3 3 2" xfId="26589"/>
    <cellStyle name="常规 6 3 3 2 2" xfId="26590"/>
    <cellStyle name="常规 6 3 3 2 2 2" xfId="4479"/>
    <cellStyle name="常规 6 3 3 2 2 2 2" xfId="26591"/>
    <cellStyle name="常规 6 3 3 2 2 2 3" xfId="26592"/>
    <cellStyle name="常规 6 3 3 2 2 2 3 2" xfId="26593"/>
    <cellStyle name="常规 6 3 3 2 2 3" xfId="21453"/>
    <cellStyle name="常规 6 3 3 2 2 4" xfId="21456"/>
    <cellStyle name="常规 6 3 3 2 3" xfId="26594"/>
    <cellStyle name="常规 6 3 3 3" xfId="18938"/>
    <cellStyle name="常规 6 3 3 3 2" xfId="26595"/>
    <cellStyle name="常规 6 3 3 3 2 2" xfId="20553"/>
    <cellStyle name="常规 6 3 3 3 2 3" xfId="26596"/>
    <cellStyle name="常规 6 3 3 3 3" xfId="26597"/>
    <cellStyle name="常规 6 3 3 3 3 2" xfId="26598"/>
    <cellStyle name="常规 6 3 3 3 3 2 2" xfId="26308"/>
    <cellStyle name="常规 6 3 3 3 3 2 3" xfId="26599"/>
    <cellStyle name="常规 6 3 3 3 3 2 3 2" xfId="6329"/>
    <cellStyle name="常规 6 3 3 3 3 3" xfId="26600"/>
    <cellStyle name="常规 6 3 3 3 3 4" xfId="26601"/>
    <cellStyle name="常规 6 3 3 3 4" xfId="25616"/>
    <cellStyle name="常规 6 3 3 4" xfId="18940"/>
    <cellStyle name="常规 6 3 3 4 2" xfId="26602"/>
    <cellStyle name="常规 6 3 3 4 2 2" xfId="26604"/>
    <cellStyle name="常规 6 3 3 4 2 3" xfId="26605"/>
    <cellStyle name="常规 6 3 3 4 2 3 2" xfId="26606"/>
    <cellStyle name="常规 6 3 3 4 3" xfId="26607"/>
    <cellStyle name="常规 6 3 3 4 4" xfId="26608"/>
    <cellStyle name="常规 6 3 3 5" xfId="13654"/>
    <cellStyle name="常规 6 3 4" xfId="26610"/>
    <cellStyle name="常规 6 3 4 2" xfId="26612"/>
    <cellStyle name="常规 6 3 4 2 2" xfId="26613"/>
    <cellStyle name="常规 6 3 4 2 2 2" xfId="19000"/>
    <cellStyle name="常规 6 3 4 2 2 2 2" xfId="17974"/>
    <cellStyle name="常规 6 3 4 2 2 2 3" xfId="17977"/>
    <cellStyle name="常规 6 3 4 2 2 2 3 2" xfId="26614"/>
    <cellStyle name="常规 6 3 4 2 2 3" xfId="19003"/>
    <cellStyle name="常规 6 3 4 2 2 4" xfId="19006"/>
    <cellStyle name="常规 6 3 4 2 3" xfId="26615"/>
    <cellStyle name="常规 6 3 4 3" xfId="18943"/>
    <cellStyle name="常规 6 3 4 3 2" xfId="26616"/>
    <cellStyle name="常规 6 3 4 3 2 2" xfId="26617"/>
    <cellStyle name="常规 6 3 4 3 2 3" xfId="26618"/>
    <cellStyle name="常规 6 3 4 3 3" xfId="26619"/>
    <cellStyle name="常规 6 3 4 3 3 2" xfId="26620"/>
    <cellStyle name="常规 6 3 4 3 3 2 2" xfId="26622"/>
    <cellStyle name="常规 6 3 4 3 3 2 3" xfId="26623"/>
    <cellStyle name="常规 6 3 4 3 3 2 3 2" xfId="2497"/>
    <cellStyle name="常规 6 3 4 3 3 3" xfId="26624"/>
    <cellStyle name="常规 6 3 4 3 3 4" xfId="26625"/>
    <cellStyle name="常规 6 3 4 3 4" xfId="26626"/>
    <cellStyle name="常规 6 3 4 4" xfId="18945"/>
    <cellStyle name="常规 6 3 4 4 2" xfId="26627"/>
    <cellStyle name="常规 6 3 4 4 2 2" xfId="26628"/>
    <cellStyle name="常规 6 3 4 4 2 3" xfId="26629"/>
    <cellStyle name="常规 6 3 4 4 2 3 2" xfId="26630"/>
    <cellStyle name="常规 6 3 4 4 3" xfId="26631"/>
    <cellStyle name="常规 6 3 4 4 4" xfId="26632"/>
    <cellStyle name="常规 6 3 4 5" xfId="13681"/>
    <cellStyle name="常规 6 3 5" xfId="12115"/>
    <cellStyle name="常规 6 3 5 2" xfId="26633"/>
    <cellStyle name="常规 6 3 5 2 2" xfId="7400"/>
    <cellStyle name="常规 6 3 5 2 2 2" xfId="15747"/>
    <cellStyle name="常规 6 3 5 2 2 2 2" xfId="3384"/>
    <cellStyle name="常规 6 3 5 2 2 2 3" xfId="11969"/>
    <cellStyle name="常规 6 3 5 2 2 2 3 2" xfId="26634"/>
    <cellStyle name="常规 6 3 5 2 2 3" xfId="10707"/>
    <cellStyle name="常规 6 3 5 2 2 4" xfId="26635"/>
    <cellStyle name="常规 6 3 5 2 3" xfId="26636"/>
    <cellStyle name="常规 6 3 5 3" xfId="18949"/>
    <cellStyle name="常规 6 3 5 3 2" xfId="26637"/>
    <cellStyle name="常规 6 3 5 3 2 2" xfId="26638"/>
    <cellStyle name="常规 6 3 5 3 2 3" xfId="26639"/>
    <cellStyle name="常规 6 3 5 3 3" xfId="26640"/>
    <cellStyle name="常规 6 3 5 3 3 2" xfId="26641"/>
    <cellStyle name="常规 6 3 5 3 3 2 2" xfId="12300"/>
    <cellStyle name="常规 6 3 5 3 3 2 3" xfId="20558"/>
    <cellStyle name="常规 6 3 5 3 3 2 3 2" xfId="26644"/>
    <cellStyle name="常规 6 3 5 3 3 3" xfId="26645"/>
    <cellStyle name="常规 6 3 5 3 3 4" xfId="26646"/>
    <cellStyle name="常规 6 3 5 3 4" xfId="26647"/>
    <cellStyle name="常规 6 3 5 4" xfId="18951"/>
    <cellStyle name="常规 6 3 5 4 2" xfId="26648"/>
    <cellStyle name="常规 6 3 5 4 2 2" xfId="26649"/>
    <cellStyle name="常规 6 3 5 4 2 3" xfId="19875"/>
    <cellStyle name="常规 6 3 5 4 2 3 2" xfId="26650"/>
    <cellStyle name="常规 6 3 5 4 3" xfId="26651"/>
    <cellStyle name="常规 6 3 5 4 4" xfId="26652"/>
    <cellStyle name="常规 6 3 5 5" xfId="13715"/>
    <cellStyle name="常规 6 3 6" xfId="11093"/>
    <cellStyle name="常规 6 3 6 2" xfId="12119"/>
    <cellStyle name="常规 6 3 6 2 2" xfId="26653"/>
    <cellStyle name="常规 6 3 6 2 3" xfId="26654"/>
    <cellStyle name="常规 6 3 6 3" xfId="18957"/>
    <cellStyle name="常规 6 3 6 3 2" xfId="26655"/>
    <cellStyle name="常规 6 3 6 3 2 2" xfId="26656"/>
    <cellStyle name="常规 6 3 6 3 2 3" xfId="26657"/>
    <cellStyle name="常规 6 3 6 3 2 3 2" xfId="26658"/>
    <cellStyle name="常规 6 3 6 3 3" xfId="26659"/>
    <cellStyle name="常规 6 3 6 3 4" xfId="26660"/>
    <cellStyle name="常规 6 3 6 4" xfId="18961"/>
    <cellStyle name="常规 6 3 7" xfId="26662"/>
    <cellStyle name="常规 6 3 7 2" xfId="26663"/>
    <cellStyle name="常规 6 3 7 2 2" xfId="26664"/>
    <cellStyle name="常规 6 3 7 2 3" xfId="26666"/>
    <cellStyle name="常规 6 3 7 2 3 2" xfId="26667"/>
    <cellStyle name="常规 6 3 7 3" xfId="26668"/>
    <cellStyle name="常规 6 3 7 4" xfId="26669"/>
    <cellStyle name="常规 6 3 8" xfId="13492"/>
    <cellStyle name="常规 6 4" xfId="26670"/>
    <cellStyle name="常规 6 4 2" xfId="8054"/>
    <cellStyle name="常规 6 4 2 2" xfId="26671"/>
    <cellStyle name="常规 6 4 2 2 2" xfId="17214"/>
    <cellStyle name="常规 6 4 2 2 2 2" xfId="12823"/>
    <cellStyle name="常规 6 4 2 2 2 2 2" xfId="26672"/>
    <cellStyle name="常规 6 4 2 2 2 2 3" xfId="26673"/>
    <cellStyle name="常规 6 4 2 2 2 3" xfId="12846"/>
    <cellStyle name="常规 6 4 2 2 2 3 2" xfId="26674"/>
    <cellStyle name="常规 6 4 2 2 2 3 2 2" xfId="2326"/>
    <cellStyle name="常规 6 4 2 2 2 3 2 3" xfId="14667"/>
    <cellStyle name="常规 6 4 2 2 2 3 2 3 2" xfId="7650"/>
    <cellStyle name="常规 6 4 2 2 2 3 3" xfId="26675"/>
    <cellStyle name="常规 6 4 2 2 2 3 4" xfId="25551"/>
    <cellStyle name="常规 6 4 2 2 2 4" xfId="12860"/>
    <cellStyle name="常规 6 4 2 2 3" xfId="26676"/>
    <cellStyle name="常规 6 4 2 2 3 2" xfId="12915"/>
    <cellStyle name="常规 6 4 2 2 3 2 2" xfId="26677"/>
    <cellStyle name="常规 6 4 2 2 3 2 3" xfId="26678"/>
    <cellStyle name="常规 6 4 2 2 3 2 3 2" xfId="26680"/>
    <cellStyle name="常规 6 4 2 2 3 3" xfId="9474"/>
    <cellStyle name="常规 6 4 2 2 3 4" xfId="9478"/>
    <cellStyle name="常规 6 4 2 2 4" xfId="25634"/>
    <cellStyle name="常规 6 4 2 3" xfId="19117"/>
    <cellStyle name="常规 6 4 2 3 2" xfId="18408"/>
    <cellStyle name="常规 6 4 2 3 2 2" xfId="26681"/>
    <cellStyle name="常规 6 4 2 3 2 2 2" xfId="26682"/>
    <cellStyle name="常规 6 4 2 3 2 2 2 2" xfId="26683"/>
    <cellStyle name="常规 6 4 2 3 2 2 2 3" xfId="14714"/>
    <cellStyle name="常规 6 4 2 3 2 2 2 3 2" xfId="7990"/>
    <cellStyle name="常规 6 4 2 3 2 2 3" xfId="26684"/>
    <cellStyle name="常规 6 4 2 3 2 2 4" xfId="26685"/>
    <cellStyle name="常规 6 4 2 3 2 3" xfId="26686"/>
    <cellStyle name="常规 6 4 2 3 3" xfId="26687"/>
    <cellStyle name="常规 6 4 2 3 3 2" xfId="26688"/>
    <cellStyle name="常规 6 4 2 3 3 2 2" xfId="10356"/>
    <cellStyle name="常规 6 4 2 3 3 2 3" xfId="26689"/>
    <cellStyle name="常规 6 4 2 3 3 3" xfId="26690"/>
    <cellStyle name="常规 6 4 2 3 3 3 2" xfId="26691"/>
    <cellStyle name="常规 6 4 2 3 3 3 2 2" xfId="20086"/>
    <cellStyle name="常规 6 4 2 3 3 3 2 3" xfId="20088"/>
    <cellStyle name="常规 6 4 2 3 3 3 2 3 2" xfId="26692"/>
    <cellStyle name="常规 6 4 2 3 3 3 3" xfId="26693"/>
    <cellStyle name="常规 6 4 2 3 3 3 4" xfId="25345"/>
    <cellStyle name="常规 6 4 2 3 3 4" xfId="26694"/>
    <cellStyle name="常规 6 4 2 3 4" xfId="19752"/>
    <cellStyle name="常规 6 4 2 3 4 2" xfId="13032"/>
    <cellStyle name="常规 6 4 2 3 4 2 2" xfId="26695"/>
    <cellStyle name="常规 6 4 2 3 4 2 3" xfId="26696"/>
    <cellStyle name="常规 6 4 2 3 4 2 3 2" xfId="26698"/>
    <cellStyle name="常规 6 4 2 3 4 3" xfId="13039"/>
    <cellStyle name="常规 6 4 2 3 4 4" xfId="13046"/>
    <cellStyle name="常规 6 4 2 3 5" xfId="19758"/>
    <cellStyle name="常规 6 4 2 4" xfId="19119"/>
    <cellStyle name="常规 6 4 2 4 2" xfId="18422"/>
    <cellStyle name="常规 6 4 2 4 2 2" xfId="3285"/>
    <cellStyle name="常规 6 4 2 4 2 3" xfId="26699"/>
    <cellStyle name="常规 6 4 2 4 3" xfId="25999"/>
    <cellStyle name="常规 6 4 2 4 3 2" xfId="967"/>
    <cellStyle name="常规 6 4 2 4 3 2 2" xfId="26700"/>
    <cellStyle name="常规 6 4 2 4 3 2 3" xfId="5589"/>
    <cellStyle name="常规 6 4 2 4 3 2 3 2" xfId="9833"/>
    <cellStyle name="常规 6 4 2 4 3 3" xfId="25058"/>
    <cellStyle name="常规 6 4 2 4 3 4" xfId="26701"/>
    <cellStyle name="常规 6 4 2 4 4" xfId="26702"/>
    <cellStyle name="常规 6 4 2 5" xfId="13774"/>
    <cellStyle name="常规 6 4 2 5 2" xfId="26703"/>
    <cellStyle name="常规 6 4 2 5 2 2" xfId="3565"/>
    <cellStyle name="常规 6 4 2 5 2 3" xfId="3224"/>
    <cellStyle name="常规 6 4 2 5 2 3 2" xfId="5016"/>
    <cellStyle name="常规 6 4 2 5 3" xfId="26704"/>
    <cellStyle name="常规 6 4 2 5 4" xfId="26705"/>
    <cellStyle name="常规 6 4 2 6" xfId="13778"/>
    <cellStyle name="常规 6 4 3" xfId="26707"/>
    <cellStyle name="常规 6 4 3 2" xfId="26709"/>
    <cellStyle name="常规 6 4 3 2 2" xfId="7505"/>
    <cellStyle name="常规 6 4 3 2 2 2" xfId="26711"/>
    <cellStyle name="常规 6 4 3 2 2 2 2" xfId="26713"/>
    <cellStyle name="常规 6 4 3 2 2 2 3" xfId="19834"/>
    <cellStyle name="常规 6 4 3 2 2 3" xfId="26714"/>
    <cellStyle name="常规 6 4 3 2 2 3 2" xfId="26716"/>
    <cellStyle name="常规 6 4 3 2 2 3 2 2" xfId="17711"/>
    <cellStyle name="常规 6 4 3 2 2 3 2 3" xfId="17715"/>
    <cellStyle name="常规 6 4 3 2 2 3 2 3 2" xfId="26717"/>
    <cellStyle name="常规 6 4 3 2 2 3 3" xfId="19839"/>
    <cellStyle name="常规 6 4 3 2 2 3 4" xfId="19842"/>
    <cellStyle name="常规 6 4 3 2 2 4" xfId="26718"/>
    <cellStyle name="常规 6 4 3 2 3" xfId="17289"/>
    <cellStyle name="常规 6 4 3 2 3 2" xfId="26719"/>
    <cellStyle name="常规 6 4 3 2 3 2 2" xfId="26721"/>
    <cellStyle name="常规 6 4 3 2 3 2 3" xfId="26723"/>
    <cellStyle name="常规 6 4 3 2 3 2 3 2" xfId="26725"/>
    <cellStyle name="常规 6 4 3 2 3 3" xfId="26726"/>
    <cellStyle name="常规 6 4 3 2 3 4" xfId="26727"/>
    <cellStyle name="常规 6 4 3 2 4" xfId="19372"/>
    <cellStyle name="常规 6 4 3 3" xfId="19123"/>
    <cellStyle name="常规 6 4 3 3 2" xfId="19380"/>
    <cellStyle name="常规 6 4 3 3 2 2" xfId="26729"/>
    <cellStyle name="常规 6 4 3 3 2 2 2" xfId="26731"/>
    <cellStyle name="常规 6 4 3 3 2 2 2 2" xfId="26733"/>
    <cellStyle name="常规 6 4 3 3 2 2 2 3" xfId="26735"/>
    <cellStyle name="常规 6 4 3 3 2 2 2 3 2" xfId="26736"/>
    <cellStyle name="常规 6 4 3 3 2 2 3" xfId="26738"/>
    <cellStyle name="常规 6 4 3 3 2 2 4" xfId="26740"/>
    <cellStyle name="常规 6 4 3 3 2 3" xfId="26741"/>
    <cellStyle name="常规 6 4 3 3 3" xfId="19382"/>
    <cellStyle name="常规 6 4 3 3 3 2" xfId="26742"/>
    <cellStyle name="常规 6 4 3 3 3 2 2" xfId="26744"/>
    <cellStyle name="常规 6 4 3 3 3 2 3" xfId="18108"/>
    <cellStyle name="常规 6 4 3 3 3 3" xfId="26745"/>
    <cellStyle name="常规 6 4 3 3 3 3 2" xfId="26746"/>
    <cellStyle name="常规 6 4 3 3 3 3 2 2" xfId="18594"/>
    <cellStyle name="常规 6 4 3 3 3 3 2 3" xfId="26747"/>
    <cellStyle name="常规 6 4 3 3 3 3 2 3 2" xfId="26748"/>
    <cellStyle name="常规 6 4 3 3 3 3 3" xfId="18126"/>
    <cellStyle name="常规 6 4 3 3 3 3 4" xfId="19417"/>
    <cellStyle name="常规 6 4 3 3 3 4" xfId="26749"/>
    <cellStyle name="常规 6 4 3 3 4" xfId="19384"/>
    <cellStyle name="常规 6 4 3 3 4 2" xfId="26750"/>
    <cellStyle name="常规 6 4 3 3 4 2 2" xfId="26752"/>
    <cellStyle name="常规 6 4 3 3 4 2 3" xfId="26753"/>
    <cellStyle name="常规 6 4 3 3 4 2 3 2" xfId="24713"/>
    <cellStyle name="常规 6 4 3 3 4 3" xfId="26754"/>
    <cellStyle name="常规 6 4 3 3 4 4" xfId="26755"/>
    <cellStyle name="常规 6 4 3 3 5" xfId="26756"/>
    <cellStyle name="常规 6 4 3 4" xfId="19125"/>
    <cellStyle name="常规 6 4 3 4 2" xfId="19390"/>
    <cellStyle name="常规 6 4 3 4 2 2" xfId="26758"/>
    <cellStyle name="常规 6 4 3 4 2 2 2" xfId="26760"/>
    <cellStyle name="常规 6 4 3 4 2 2 3" xfId="5778"/>
    <cellStyle name="常规 6 4 3 4 2 3" xfId="26761"/>
    <cellStyle name="常规 6 4 3 4 2 3 2" xfId="26762"/>
    <cellStyle name="常规 6 4 3 4 2 3 2 2" xfId="12087"/>
    <cellStyle name="常规 6 4 3 4 2 3 2 3" xfId="12194"/>
    <cellStyle name="常规 6 4 3 4 2 3 2 3 2" xfId="12196"/>
    <cellStyle name="常规 6 4 3 4 2 3 3" xfId="5845"/>
    <cellStyle name="常规 6 4 3 4 2 3 4" xfId="5860"/>
    <cellStyle name="常规 6 4 3 4 2 4" xfId="26763"/>
    <cellStyle name="常规 6 4 3 4 3" xfId="19392"/>
    <cellStyle name="常规 6 4 3 4 3 2" xfId="26764"/>
    <cellStyle name="常规 6 4 3 4 3 2 2" xfId="26766"/>
    <cellStyle name="常规 6 4 3 4 3 2 3" xfId="5883"/>
    <cellStyle name="常规 6 4 3 4 3 2 3 2" xfId="26767"/>
    <cellStyle name="常规 6 4 3 4 3 3" xfId="26768"/>
    <cellStyle name="常规 6 4 3 4 3 4" xfId="26769"/>
    <cellStyle name="常规 6 4 3 4 4" xfId="19394"/>
    <cellStyle name="常规 6 4 3 5" xfId="13791"/>
    <cellStyle name="常规 6 4 3 5 2" xfId="19400"/>
    <cellStyle name="常规 6 4 3 5 2 2" xfId="26771"/>
    <cellStyle name="常规 6 4 3 5 2 3" xfId="4837"/>
    <cellStyle name="常规 6 4 3 5 3" xfId="19402"/>
    <cellStyle name="常规 6 4 3 5 3 2" xfId="26772"/>
    <cellStyle name="常规 6 4 3 5 3 2 2" xfId="26774"/>
    <cellStyle name="常规 6 4 3 5 3 2 3" xfId="26775"/>
    <cellStyle name="常规 6 4 3 5 3 2 3 2" xfId="26777"/>
    <cellStyle name="常规 6 4 3 5 3 3" xfId="5424"/>
    <cellStyle name="常规 6 4 3 5 3 4" xfId="5548"/>
    <cellStyle name="常规 6 4 3 5 4" xfId="26778"/>
    <cellStyle name="常规 6 4 3 6" xfId="13794"/>
    <cellStyle name="常规 6 4 3 6 2" xfId="26779"/>
    <cellStyle name="常规 6 4 3 6 2 2" xfId="26780"/>
    <cellStyle name="常规 6 4 3 6 2 3" xfId="3205"/>
    <cellStyle name="常规 6 4 3 6 2 3 2" xfId="5554"/>
    <cellStyle name="常规 6 4 3 6 3" xfId="26781"/>
    <cellStyle name="常规 6 4 3 6 4" xfId="26621"/>
    <cellStyle name="常规 6 4 3 7" xfId="13797"/>
    <cellStyle name="常规 6 4 4" xfId="26783"/>
    <cellStyle name="常规 6 4 4 2" xfId="26784"/>
    <cellStyle name="常规 6 4 4 2 2" xfId="1962"/>
    <cellStyle name="常规 6 4 4 2 2 2" xfId="26787"/>
    <cellStyle name="常规 6 4 4 2 2 2 2" xfId="26788"/>
    <cellStyle name="常规 6 4 4 2 2 2 3" xfId="24758"/>
    <cellStyle name="常规 6 4 4 2 2 2 3 2" xfId="26789"/>
    <cellStyle name="常规 6 4 4 2 2 3" xfId="26790"/>
    <cellStyle name="常规 6 4 4 2 2 4" xfId="26792"/>
    <cellStyle name="常规 6 4 4 2 3" xfId="12768"/>
    <cellStyle name="常规 6 4 4 3" xfId="14576"/>
    <cellStyle name="常规 6 4 4 3 2" xfId="9961"/>
    <cellStyle name="常规 6 4 4 3 2 2" xfId="26793"/>
    <cellStyle name="常规 6 4 4 3 2 3" xfId="26794"/>
    <cellStyle name="常规 6 4 4 3 3" xfId="9971"/>
    <cellStyle name="常规 6 4 4 3 3 2" xfId="26795"/>
    <cellStyle name="常规 6 4 4 3 3 2 2" xfId="26796"/>
    <cellStyle name="常规 6 4 4 3 3 2 3" xfId="26797"/>
    <cellStyle name="常规 6 4 4 3 3 2 3 2" xfId="26798"/>
    <cellStyle name="常规 6 4 4 3 3 3" xfId="26799"/>
    <cellStyle name="常规 6 4 4 3 3 4" xfId="26800"/>
    <cellStyle name="常规 6 4 4 3 4" xfId="10208"/>
    <cellStyle name="常规 6 4 4 4" xfId="19127"/>
    <cellStyle name="常规 6 4 4 4 2" xfId="26801"/>
    <cellStyle name="常规 6 4 4 4 2 2" xfId="15954"/>
    <cellStyle name="常规 6 4 4 4 2 3" xfId="26802"/>
    <cellStyle name="常规 6 4 4 4 2 3 2" xfId="15122"/>
    <cellStyle name="常规 6 4 4 4 3" xfId="26803"/>
    <cellStyle name="常规 6 4 4 4 4" xfId="26804"/>
    <cellStyle name="常规 6 4 4 5" xfId="13807"/>
    <cellStyle name="常规 6 4 5" xfId="26806"/>
    <cellStyle name="常规 6 4 5 2" xfId="12104"/>
    <cellStyle name="常规 6 4 5 2 2" xfId="2998"/>
    <cellStyle name="常规 6 4 5 2 3" xfId="26807"/>
    <cellStyle name="常规 6 4 5 3" xfId="19132"/>
    <cellStyle name="常规 6 4 5 3 2" xfId="26808"/>
    <cellStyle name="常规 6 4 5 3 2 2" xfId="15472"/>
    <cellStyle name="常规 6 4 5 3 2 3" xfId="15475"/>
    <cellStyle name="常规 6 4 5 3 2 3 2" xfId="26809"/>
    <cellStyle name="常规 6 4 5 3 3" xfId="26810"/>
    <cellStyle name="常规 6 4 5 3 4" xfId="26811"/>
    <cellStyle name="常规 6 4 5 4" xfId="19135"/>
    <cellStyle name="常规 6 4 6" xfId="26813"/>
    <cellStyle name="常规 6 4 6 2" xfId="12110"/>
    <cellStyle name="常规 6 4 6 2 2" xfId="3060"/>
    <cellStyle name="常规 6 4 6 2 3" xfId="4175"/>
    <cellStyle name="常规 6 4 6 2 3 2" xfId="26805"/>
    <cellStyle name="常规 6 4 6 3" xfId="12121"/>
    <cellStyle name="常规 6 4 6 4" xfId="19139"/>
    <cellStyle name="常规 6 4 7" xfId="26815"/>
    <cellStyle name="常规 6 5" xfId="26816"/>
    <cellStyle name="常规 6 5 2" xfId="26818"/>
    <cellStyle name="常规 6 5 2 2" xfId="17402"/>
    <cellStyle name="常规 6 5 2 2 2" xfId="26819"/>
    <cellStyle name="常规 6 5 2 2 2 2" xfId="20836"/>
    <cellStyle name="常规 6 5 2 2 2 3" xfId="26820"/>
    <cellStyle name="常规 6 5 2 2 3" xfId="26821"/>
    <cellStyle name="常规 6 5 2 2 3 2" xfId="26822"/>
    <cellStyle name="常规 6 5 2 2 3 2 2" xfId="26824"/>
    <cellStyle name="常规 6 5 2 2 3 2 3" xfId="26826"/>
    <cellStyle name="常规 6 5 2 2 3 2 3 2" xfId="8971"/>
    <cellStyle name="常规 6 5 2 2 3 3" xfId="26827"/>
    <cellStyle name="常规 6 5 2 2 3 4" xfId="25585"/>
    <cellStyle name="常规 6 5 2 2 4" xfId="26829"/>
    <cellStyle name="常规 6 5 2 3" xfId="17405"/>
    <cellStyle name="常规 6 5 2 3 2" xfId="26830"/>
    <cellStyle name="常规 6 5 2 3 2 2" xfId="2571"/>
    <cellStyle name="常规 6 5 2 3 2 3" xfId="26831"/>
    <cellStyle name="常规 6 5 2 3 2 3 2" xfId="5340"/>
    <cellStyle name="常规 6 5 2 3 3" xfId="26832"/>
    <cellStyle name="常规 6 5 2 3 4" xfId="26833"/>
    <cellStyle name="常规 6 5 2 4" xfId="17408"/>
    <cellStyle name="常规 6 5 3" xfId="26835"/>
    <cellStyle name="常规 6 5 3 2" xfId="26836"/>
    <cellStyle name="常规 6 5 3 2 2" xfId="26837"/>
    <cellStyle name="常规 6 5 3 2 2 2" xfId="26838"/>
    <cellStyle name="常规 6 5 3 2 2 2 2" xfId="26840"/>
    <cellStyle name="常规 6 5 3 2 2 2 3" xfId="26841"/>
    <cellStyle name="常规 6 5 3 2 2 2 3 2" xfId="26842"/>
    <cellStyle name="常规 6 5 3 2 2 3" xfId="26843"/>
    <cellStyle name="常规 6 5 3 2 2 4" xfId="26844"/>
    <cellStyle name="常规 6 5 3 2 3" xfId="26845"/>
    <cellStyle name="常规 6 5 3 3" xfId="19266"/>
    <cellStyle name="常规 6 5 3 3 2" xfId="26846"/>
    <cellStyle name="常规 6 5 3 3 2 2" xfId="26848"/>
    <cellStyle name="常规 6 5 3 3 2 3" xfId="26849"/>
    <cellStyle name="常规 6 5 3 3 3" xfId="26850"/>
    <cellStyle name="常规 6 5 3 3 3 2" xfId="26851"/>
    <cellStyle name="常规 6 5 3 3 3 2 2" xfId="13271"/>
    <cellStyle name="常规 6 5 3 3 3 2 3" xfId="26853"/>
    <cellStyle name="常规 6 5 3 3 3 2 3 2" xfId="873"/>
    <cellStyle name="常规 6 5 3 3 3 3" xfId="26854"/>
    <cellStyle name="常规 6 5 3 3 3 4" xfId="26855"/>
    <cellStyle name="常规 6 5 3 3 4" xfId="26856"/>
    <cellStyle name="常规 6 5 3 4" xfId="19268"/>
    <cellStyle name="常规 6 5 3 4 2" xfId="26004"/>
    <cellStyle name="常规 6 5 3 4 2 2" xfId="26859"/>
    <cellStyle name="常规 6 5 3 4 2 3" xfId="26861"/>
    <cellStyle name="常规 6 5 3 4 2 3 2" xfId="24145"/>
    <cellStyle name="常规 6 5 3 4 3" xfId="26006"/>
    <cellStyle name="常规 6 5 3 4 4" xfId="26862"/>
    <cellStyle name="常规 6 5 3 5" xfId="19271"/>
    <cellStyle name="常规 6 5 4" xfId="26863"/>
    <cellStyle name="常规 6 5 4 2" xfId="26864"/>
    <cellStyle name="常规 6 5 4 2 2" xfId="26865"/>
    <cellStyle name="常规 6 5 4 2 2 2" xfId="26866"/>
    <cellStyle name="常规 6 5 4 2 2 3" xfId="26867"/>
    <cellStyle name="常规 6 5 4 2 3" xfId="26868"/>
    <cellStyle name="常规 6 5 4 2 3 2" xfId="26870"/>
    <cellStyle name="常规 6 5 4 2 3 2 2" xfId="26872"/>
    <cellStyle name="常规 6 5 4 2 3 2 3" xfId="10516"/>
    <cellStyle name="常规 6 5 4 2 3 2 3 2" xfId="10528"/>
    <cellStyle name="常规 6 5 4 2 3 3" xfId="26874"/>
    <cellStyle name="常规 6 5 4 2 3 4" xfId="26876"/>
    <cellStyle name="常规 6 5 4 2 4" xfId="26877"/>
    <cellStyle name="常规 6 5 4 3" xfId="19274"/>
    <cellStyle name="常规 6 5 4 3 2" xfId="26878"/>
    <cellStyle name="常规 6 5 4 3 2 2" xfId="10018"/>
    <cellStyle name="常规 6 5 4 3 2 3" xfId="26879"/>
    <cellStyle name="常规 6 5 4 3 2 3 2" xfId="12970"/>
    <cellStyle name="常规 6 5 4 3 3" xfId="26880"/>
    <cellStyle name="常规 6 5 4 3 4" xfId="26881"/>
    <cellStyle name="常规 6 5 4 4" xfId="19276"/>
    <cellStyle name="常规 6 5 5" xfId="26882"/>
    <cellStyle name="常规 6 5 5 2" xfId="12156"/>
    <cellStyle name="常规 6 5 5 2 2" xfId="820"/>
    <cellStyle name="常规 6 5 5 2 3" xfId="2583"/>
    <cellStyle name="常规 6 5 5 3" xfId="9363"/>
    <cellStyle name="常规 6 5 5 3 2" xfId="3244"/>
    <cellStyle name="常规 6 5 5 3 2 2" xfId="26883"/>
    <cellStyle name="常规 6 5 5 3 2 3" xfId="26884"/>
    <cellStyle name="常规 6 5 5 3 2 3 2" xfId="26885"/>
    <cellStyle name="常规 6 5 5 3 3" xfId="18492"/>
    <cellStyle name="常规 6 5 5 3 4" xfId="18494"/>
    <cellStyle name="常规 6 5 5 4" xfId="19280"/>
    <cellStyle name="常规 6 5 6" xfId="26886"/>
    <cellStyle name="常规 6 5 6 2" xfId="12160"/>
    <cellStyle name="常规 6 5 6 2 2" xfId="2889"/>
    <cellStyle name="常规 6 5 6 2 3" xfId="2899"/>
    <cellStyle name="常规 6 5 6 2 3 2" xfId="26888"/>
    <cellStyle name="常规 6 5 6 3" xfId="10084"/>
    <cellStyle name="常规 6 5 6 4" xfId="19149"/>
    <cellStyle name="常规 6 5 7" xfId="26889"/>
    <cellStyle name="常规 6 6" xfId="26890"/>
    <cellStyle name="常规 6 6 2" xfId="26891"/>
    <cellStyle name="常规 6 6 2 2" xfId="26892"/>
    <cellStyle name="常规 6 6 2 2 2" xfId="26893"/>
    <cellStyle name="常规 6 6 2 2 2 2" xfId="26894"/>
    <cellStyle name="常规 6 6 2 2 2 3" xfId="26895"/>
    <cellStyle name="常规 6 6 2 2 2 3 2" xfId="26897"/>
    <cellStyle name="常规 6 6 2 2 3" xfId="26898"/>
    <cellStyle name="常规 6 6 2 2 4" xfId="13486"/>
    <cellStyle name="常规 6 6 2 3" xfId="19307"/>
    <cellStyle name="常规 6 6 3" xfId="26899"/>
    <cellStyle name="常规 6 6 3 2" xfId="26900"/>
    <cellStyle name="常规 6 6 3 2 2" xfId="26901"/>
    <cellStyle name="常规 6 6 3 2 3" xfId="26902"/>
    <cellStyle name="常规 6 6 3 3" xfId="19313"/>
    <cellStyle name="常规 6 6 3 3 2" xfId="26903"/>
    <cellStyle name="常规 6 6 3 3 2 2" xfId="26904"/>
    <cellStyle name="常规 6 6 3 3 2 3" xfId="26905"/>
    <cellStyle name="常规 6 6 3 3 2 3 2" xfId="14459"/>
    <cellStyle name="常规 6 6 3 3 3" xfId="26906"/>
    <cellStyle name="常规 6 6 3 3 4" xfId="26907"/>
    <cellStyle name="常规 6 6 3 4" xfId="19315"/>
    <cellStyle name="常规 6 6 4" xfId="26908"/>
    <cellStyle name="常规 6 6 4 2" xfId="26909"/>
    <cellStyle name="常规 6 6 4 2 2" xfId="26910"/>
    <cellStyle name="常规 6 6 4 2 3" xfId="26911"/>
    <cellStyle name="常规 6 6 4 2 3 2" xfId="26913"/>
    <cellStyle name="常规 6 6 4 3" xfId="19321"/>
    <cellStyle name="常规 6 6 4 4" xfId="19324"/>
    <cellStyle name="常规 6 6 5" xfId="26914"/>
    <cellStyle name="常规 6 7" xfId="26916"/>
    <cellStyle name="常规 6 7 2" xfId="26917"/>
    <cellStyle name="常规 6 7 2 2" xfId="26918"/>
    <cellStyle name="常规 6 7 2 2 2" xfId="26919"/>
    <cellStyle name="常规 6 7 2 2 2 2" xfId="26920"/>
    <cellStyle name="常规 6 7 2 2 2 3" xfId="26921"/>
    <cellStyle name="常规 6 7 2 2 2 3 2" xfId="26922"/>
    <cellStyle name="常规 6 7 2 2 3" xfId="26923"/>
    <cellStyle name="常规 6 7 2 2 4" xfId="26924"/>
    <cellStyle name="常规 6 7 2 3" xfId="26925"/>
    <cellStyle name="常规 6 7 3" xfId="26926"/>
    <cellStyle name="常规 6 7 3 2" xfId="26928"/>
    <cellStyle name="常规 6 7 3 2 2" xfId="26929"/>
    <cellStyle name="常规 6 7 3 2 3" xfId="26930"/>
    <cellStyle name="常规 6 7 3 3" xfId="26931"/>
    <cellStyle name="常规 6 7 3 3 2" xfId="26933"/>
    <cellStyle name="常规 6 7 3 3 2 2" xfId="26935"/>
    <cellStyle name="常规 6 7 3 3 2 3" xfId="26937"/>
    <cellStyle name="常规 6 7 3 3 2 3 2" xfId="26939"/>
    <cellStyle name="常规 6 7 3 3 3" xfId="26941"/>
    <cellStyle name="常规 6 7 3 3 4" xfId="26943"/>
    <cellStyle name="常规 6 7 3 4" xfId="26944"/>
    <cellStyle name="常规 6 7 4" xfId="26945"/>
    <cellStyle name="常规 6 7 4 2" xfId="18805"/>
    <cellStyle name="常规 6 7 4 2 2" xfId="18807"/>
    <cellStyle name="常规 6 7 4 2 3" xfId="18809"/>
    <cellStyle name="常规 6 7 4 2 3 2" xfId="1475"/>
    <cellStyle name="常规 6 7 4 3" xfId="18815"/>
    <cellStyle name="常规 6 7 4 4" xfId="26947"/>
    <cellStyle name="常规 6 7 5" xfId="26948"/>
    <cellStyle name="常规 6 8" xfId="26950"/>
    <cellStyle name="常规 6 8 2" xfId="26952"/>
    <cellStyle name="常规 6 8 2 2" xfId="26953"/>
    <cellStyle name="常规 6 8 2 3" xfId="26954"/>
    <cellStyle name="常规 6 8 3" xfId="26955"/>
    <cellStyle name="常规 6 8 3 2" xfId="26956"/>
    <cellStyle name="常规 6 8 3 2 2" xfId="26957"/>
    <cellStyle name="常规 6 8 3 2 3" xfId="26958"/>
    <cellStyle name="常规 6 8 3 2 3 2" xfId="12837"/>
    <cellStyle name="常规 6 8 3 3" xfId="26959"/>
    <cellStyle name="常规 6 8 3 4" xfId="26960"/>
    <cellStyle name="常规 6 8 4" xfId="26961"/>
    <cellStyle name="常规 6 9" xfId="26962"/>
    <cellStyle name="常规 6 9 2" xfId="26963"/>
    <cellStyle name="常规 6 9 2 2" xfId="8161"/>
    <cellStyle name="常规 6 9 2 3" xfId="8165"/>
    <cellStyle name="常规 6 9 2 3 2" xfId="14110"/>
    <cellStyle name="常规 6 9 3" xfId="26964"/>
    <cellStyle name="常规 6 9 4" xfId="26965"/>
    <cellStyle name="常规 7" xfId="20481"/>
    <cellStyle name="常规 7 10" xfId="24415"/>
    <cellStyle name="常规 7 2" xfId="18238"/>
    <cellStyle name="常规 7 2 2" xfId="26966"/>
    <cellStyle name="常规 7 2 2 2" xfId="26967"/>
    <cellStyle name="常规 7 2 2 2 2" xfId="26968"/>
    <cellStyle name="常规 7 2 2 2 2 2" xfId="26969"/>
    <cellStyle name="常规 7 2 2 2 2 2 2" xfId="21595"/>
    <cellStyle name="常规 7 2 2 2 2 2 3" xfId="21599"/>
    <cellStyle name="常规 7 2 2 2 2 3" xfId="26970"/>
    <cellStyle name="常规 7 2 2 2 3" xfId="3490"/>
    <cellStyle name="常规 7 2 2 2 3 2" xfId="3495"/>
    <cellStyle name="常规 7 2 2 2 3 3" xfId="3513"/>
    <cellStyle name="常规 7 2 2 2 4" xfId="638"/>
    <cellStyle name="常规 7 2 2 3" xfId="26971"/>
    <cellStyle name="常规 7 2 2 3 2" xfId="26972"/>
    <cellStyle name="常规 7 2 2 3 2 2" xfId="17150"/>
    <cellStyle name="常规 7 2 2 3 2 3" xfId="17153"/>
    <cellStyle name="常规 7 2 2 3 3" xfId="3688"/>
    <cellStyle name="常规 7 2 2 4" xfId="26566"/>
    <cellStyle name="常规 7 2 2 4 2" xfId="26973"/>
    <cellStyle name="常规 7 2 2 4 3" xfId="3778"/>
    <cellStyle name="常规 7 2 2 5" xfId="26568"/>
    <cellStyle name="常规 7 2 3" xfId="26974"/>
    <cellStyle name="常规 7 2 3 2" xfId="26975"/>
    <cellStyle name="常规 7 2 3 2 2" xfId="26976"/>
    <cellStyle name="常规 7 2 3 2 2 2" xfId="13517"/>
    <cellStyle name="常规 7 2 3 2 2 3" xfId="13522"/>
    <cellStyle name="常规 7 2 3 2 3" xfId="26978"/>
    <cellStyle name="常规 7 2 3 3" xfId="26980"/>
    <cellStyle name="常规 7 2 3 3 2" xfId="26982"/>
    <cellStyle name="常规 7 2 3 3 3" xfId="26985"/>
    <cellStyle name="常规 7 2 3 4" xfId="26987"/>
    <cellStyle name="常规 7 2 4" xfId="26988"/>
    <cellStyle name="常规 7 2 4 2" xfId="26989"/>
    <cellStyle name="常规 7 2 4 2 2" xfId="26990"/>
    <cellStyle name="常规 7 2 4 2 2 2" xfId="26991"/>
    <cellStyle name="常规 7 2 4 2 2 3" xfId="26992"/>
    <cellStyle name="常规 7 2 4 2 3" xfId="26994"/>
    <cellStyle name="常规 7 2 4 3" xfId="26996"/>
    <cellStyle name="常规 7 2 4 3 2" xfId="26998"/>
    <cellStyle name="常规 7 2 4 3 3" xfId="27000"/>
    <cellStyle name="常规 7 2 4 4" xfId="27002"/>
    <cellStyle name="常规 7 2 5" xfId="27004"/>
    <cellStyle name="常规 7 2 5 2" xfId="27005"/>
    <cellStyle name="常规 7 2 5 2 2" xfId="27006"/>
    <cellStyle name="常规 7 2 5 2 3" xfId="27008"/>
    <cellStyle name="常规 7 2 5 3" xfId="27010"/>
    <cellStyle name="常规 7 2 6" xfId="27012"/>
    <cellStyle name="常规 7 2 6 2" xfId="17793"/>
    <cellStyle name="常规 7 2 6 3" xfId="17799"/>
    <cellStyle name="常规 7 2 7" xfId="27013"/>
    <cellStyle name="常规 7 3" xfId="18242"/>
    <cellStyle name="常规 7 3 2" xfId="8075"/>
    <cellStyle name="常规 7 3 2 2" xfId="27014"/>
    <cellStyle name="常规 7 3 2 2 2" xfId="19294"/>
    <cellStyle name="常规 7 3 2 2 2 2" xfId="27015"/>
    <cellStyle name="常规 7 3 2 2 2 2 2" xfId="25806"/>
    <cellStyle name="常规 7 3 2 2 2 2 3" xfId="25815"/>
    <cellStyle name="常规 7 3 2 2 2 3" xfId="27016"/>
    <cellStyle name="常规 7 3 2 2 3" xfId="4308"/>
    <cellStyle name="常规 7 3 2 2 3 2" xfId="4320"/>
    <cellStyle name="常规 7 3 2 2 3 3" xfId="4394"/>
    <cellStyle name="常规 7 3 2 2 4" xfId="65"/>
    <cellStyle name="常规 7 3 2 3" xfId="13850"/>
    <cellStyle name="常规 7 3 2 3 2" xfId="19298"/>
    <cellStyle name="常规 7 3 2 3 2 2" xfId="18649"/>
    <cellStyle name="常规 7 3 2 3 2 3" xfId="18676"/>
    <cellStyle name="常规 7 3 2 3 3" xfId="2420"/>
    <cellStyle name="常规 7 3 2 4" xfId="13855"/>
    <cellStyle name="常规 7 3 2 4 2" xfId="19302"/>
    <cellStyle name="常规 7 3 2 4 3" xfId="2537"/>
    <cellStyle name="常规 7 3 2 5" xfId="13863"/>
    <cellStyle name="常规 7 3 3" xfId="27017"/>
    <cellStyle name="常规 7 3 3 2" xfId="27018"/>
    <cellStyle name="常规 7 3 3 2 2" xfId="27019"/>
    <cellStyle name="常规 7 3 3 2 2 2" xfId="27020"/>
    <cellStyle name="常规 7 3 3 2 2 3" xfId="27021"/>
    <cellStyle name="常规 7 3 3 2 3" xfId="27023"/>
    <cellStyle name="常规 7 3 3 3" xfId="13881"/>
    <cellStyle name="常规 7 3 3 3 2" xfId="27025"/>
    <cellStyle name="常规 7 3 3 3 3" xfId="27027"/>
    <cellStyle name="常规 7 3 3 4" xfId="13887"/>
    <cellStyle name="常规 7 3 4" xfId="27028"/>
    <cellStyle name="常规 7 3 4 2" xfId="27029"/>
    <cellStyle name="常规 7 3 4 2 2" xfId="27030"/>
    <cellStyle name="常规 7 3 4 2 2 2" xfId="27031"/>
    <cellStyle name="常规 7 3 4 2 2 3" xfId="27032"/>
    <cellStyle name="常规 7 3 4 2 3" xfId="27033"/>
    <cellStyle name="常规 7 3 4 3" xfId="13899"/>
    <cellStyle name="常规 7 3 4 3 2" xfId="27034"/>
    <cellStyle name="常规 7 3 4 3 3" xfId="27036"/>
    <cellStyle name="常规 7 3 4 4" xfId="13905"/>
    <cellStyle name="常规 7 3 5" xfId="27037"/>
    <cellStyle name="常规 7 3 5 2" xfId="27038"/>
    <cellStyle name="常规 7 3 5 2 2" xfId="27039"/>
    <cellStyle name="常规 7 3 5 2 3" xfId="27040"/>
    <cellStyle name="常规 7 3 5 3" xfId="13930"/>
    <cellStyle name="常规 7 3 6" xfId="27042"/>
    <cellStyle name="常规 7 3 6 2" xfId="27043"/>
    <cellStyle name="常规 7 3 6 3" xfId="13952"/>
    <cellStyle name="常规 7 3 7" xfId="27045"/>
    <cellStyle name="常规 7 4" xfId="7294"/>
    <cellStyle name="常规 7 4 2" xfId="18299"/>
    <cellStyle name="常规 7 4 2 2" xfId="27046"/>
    <cellStyle name="常规 7 4 2 2 2" xfId="14599"/>
    <cellStyle name="常规 7 4 2 2 2 2" xfId="15165"/>
    <cellStyle name="常规 7 4 2 2 2 2 2" xfId="12776"/>
    <cellStyle name="常规 7 4 2 2 2 2 3" xfId="15957"/>
    <cellStyle name="常规 7 4 2 2 2 3" xfId="13310"/>
    <cellStyle name="常规 7 4 2 2 3" xfId="4940"/>
    <cellStyle name="常规 7 4 2 2 3 2" xfId="4946"/>
    <cellStyle name="常规 7 4 2 2 3 3" xfId="4966"/>
    <cellStyle name="常规 7 4 2 2 4" xfId="1422"/>
    <cellStyle name="常规 7 4 2 3" xfId="14120"/>
    <cellStyle name="常规 7 4 2 3 2" xfId="5394"/>
    <cellStyle name="常规 7 4 2 3 2 2" xfId="27049"/>
    <cellStyle name="常规 7 4 2 3 2 3" xfId="27052"/>
    <cellStyle name="常规 7 4 2 3 3" xfId="5168"/>
    <cellStyle name="常规 7 4 2 4" xfId="14126"/>
    <cellStyle name="常规 7 4 2 4 2" xfId="26016"/>
    <cellStyle name="常规 7 4 2 4 3" xfId="5193"/>
    <cellStyle name="常规 7 4 2 5" xfId="14132"/>
    <cellStyle name="常规 7 4 3" xfId="18309"/>
    <cellStyle name="常规 7 4 3 2" xfId="25044"/>
    <cellStyle name="常规 7 4 3 2 2" xfId="27053"/>
    <cellStyle name="常规 7 4 3 2 2 2" xfId="27054"/>
    <cellStyle name="常规 7 4 3 2 2 3" xfId="27055"/>
    <cellStyle name="常规 7 4 3 2 3" xfId="27056"/>
    <cellStyle name="常规 7 4 3 3" xfId="14149"/>
    <cellStyle name="常规 7 4 3 3 2" xfId="27058"/>
    <cellStyle name="常规 7 4 3 3 3" xfId="27061"/>
    <cellStyle name="常规 7 4 3 4" xfId="14155"/>
    <cellStyle name="常规 7 4 4" xfId="18317"/>
    <cellStyle name="常规 7 4 4 2" xfId="25052"/>
    <cellStyle name="常规 7 4 4 2 2" xfId="27062"/>
    <cellStyle name="常规 7 4 4 2 2 2" xfId="27063"/>
    <cellStyle name="常规 7 4 4 2 2 3" xfId="27064"/>
    <cellStyle name="常规 7 4 4 2 3" xfId="27065"/>
    <cellStyle name="常规 7 4 4 3" xfId="14180"/>
    <cellStyle name="常规 7 4 4 3 2" xfId="27066"/>
    <cellStyle name="常规 7 4 4 3 3" xfId="27067"/>
    <cellStyle name="常规 7 4 4 4" xfId="14186"/>
    <cellStyle name="常规 7 4 5" xfId="18325"/>
    <cellStyle name="常规 7 4 5 2" xfId="12209"/>
    <cellStyle name="常规 7 4 5 2 2" xfId="8249"/>
    <cellStyle name="常规 7 4 5 2 3" xfId="20885"/>
    <cellStyle name="常规 7 4 5 3" xfId="14205"/>
    <cellStyle name="常规 7 4 6" xfId="18333"/>
    <cellStyle name="常规 7 4 6 2" xfId="14224"/>
    <cellStyle name="常规 7 4 6 3" xfId="14230"/>
    <cellStyle name="常规 7 4 7" xfId="20826"/>
    <cellStyle name="常规 7 5" xfId="6474"/>
    <cellStyle name="常规 7 5 2" xfId="27068"/>
    <cellStyle name="常规 7 5 2 2" xfId="25060"/>
    <cellStyle name="常规 7 5 2 2 2" xfId="27069"/>
    <cellStyle name="常规 7 5 2 2 2 2" xfId="27070"/>
    <cellStyle name="常规 7 5 2 2 2 3" xfId="27071"/>
    <cellStyle name="常规 7 5 2 2 3" xfId="3316"/>
    <cellStyle name="常规 7 5 2 3" xfId="27072"/>
    <cellStyle name="常规 7 5 2 3 2" xfId="27073"/>
    <cellStyle name="常规 7 5 2 3 3" xfId="3394"/>
    <cellStyle name="常规 7 5 2 4" xfId="26020"/>
    <cellStyle name="常规 7 5 3" xfId="27074"/>
    <cellStyle name="常规 7 5 3 2" xfId="25069"/>
    <cellStyle name="常规 7 5 3 2 2" xfId="27075"/>
    <cellStyle name="常规 7 5 3 2 3" xfId="27076"/>
    <cellStyle name="常规 7 5 3 3" xfId="27078"/>
    <cellStyle name="常规 7 5 4" xfId="27079"/>
    <cellStyle name="常规 7 5 4 2" xfId="14533"/>
    <cellStyle name="常规 7 5 4 3" xfId="684"/>
    <cellStyle name="常规 7 5 5" xfId="27080"/>
    <cellStyle name="常规 7 6" xfId="18246"/>
    <cellStyle name="常规 7 6 2" xfId="27081"/>
    <cellStyle name="常规 7 6 2 2" xfId="27082"/>
    <cellStyle name="常规 7 6 2 2 2" xfId="27083"/>
    <cellStyle name="常规 7 6 2 2 3" xfId="27084"/>
    <cellStyle name="常规 7 6 2 3" xfId="27085"/>
    <cellStyle name="常规 7 6 3" xfId="27086"/>
    <cellStyle name="常规 7 6 3 2" xfId="25076"/>
    <cellStyle name="常规 7 6 3 3" xfId="27087"/>
    <cellStyle name="常规 7 6 4" xfId="27088"/>
    <cellStyle name="常规 7 7" xfId="18251"/>
    <cellStyle name="常规 7 7 2" xfId="27090"/>
    <cellStyle name="常规 7 7 2 2" xfId="27091"/>
    <cellStyle name="常规 7 7 2 2 2" xfId="27092"/>
    <cellStyle name="常规 7 7 2 2 3" xfId="27093"/>
    <cellStyle name="常规 7 7 2 3" xfId="27094"/>
    <cellStyle name="常规 7 7 3" xfId="27095"/>
    <cellStyle name="常规 7 7 3 2" xfId="27096"/>
    <cellStyle name="常规 7 7 3 3" xfId="20540"/>
    <cellStyle name="常规 7 7 4" xfId="27097"/>
    <cellStyle name="常规 7 8" xfId="27098"/>
    <cellStyle name="常规 7 8 2" xfId="27099"/>
    <cellStyle name="常规 7 8 2 2" xfId="27100"/>
    <cellStyle name="常规 7 8 2 3" xfId="27101"/>
    <cellStyle name="常规 7 8 3" xfId="27102"/>
    <cellStyle name="常规 7 9" xfId="27103"/>
    <cellStyle name="常规 7 9 2" xfId="4477"/>
    <cellStyle name="常规 7 9 3" xfId="20893"/>
    <cellStyle name="常规 8" xfId="20484"/>
    <cellStyle name="常规 8 10" xfId="13600"/>
    <cellStyle name="常规 8 2" xfId="18621"/>
    <cellStyle name="常规 8 2 2" xfId="18625"/>
    <cellStyle name="常规 8 2 2 2" xfId="27104"/>
    <cellStyle name="常规 8 2 2 2 2" xfId="4609"/>
    <cellStyle name="常规 8 2 2 2 2 2" xfId="15937"/>
    <cellStyle name="常规 8 2 2 2 2 2 2" xfId="27105"/>
    <cellStyle name="常规 8 2 2 2 2 2 3" xfId="27106"/>
    <cellStyle name="常规 8 2 2 2 2 3" xfId="11670"/>
    <cellStyle name="常规 8 2 2 2 3" xfId="11748"/>
    <cellStyle name="常规 8 2 2 2 3 2" xfId="11752"/>
    <cellStyle name="常规 8 2 2 2 3 3" xfId="11697"/>
    <cellStyle name="常规 8 2 2 2 4" xfId="19497"/>
    <cellStyle name="常规 8 2 2 3" xfId="27107"/>
    <cellStyle name="常规 8 2 2 3 2" xfId="27108"/>
    <cellStyle name="常规 8 2 2 3 2 2" xfId="16067"/>
    <cellStyle name="常规 8 2 2 3 2 3" xfId="16069"/>
    <cellStyle name="常规 8 2 2 3 3" xfId="27109"/>
    <cellStyle name="常规 8 2 2 4" xfId="27110"/>
    <cellStyle name="常规 8 2 2 4 2" xfId="27111"/>
    <cellStyle name="常规 8 2 2 4 3" xfId="27112"/>
    <cellStyle name="常规 8 2 2 5" xfId="27113"/>
    <cellStyle name="常规 8 2 3" xfId="18629"/>
    <cellStyle name="常规 8 2 3 2" xfId="27114"/>
    <cellStyle name="常规 8 2 3 2 2" xfId="27115"/>
    <cellStyle name="常规 8 2 3 2 2 2" xfId="16934"/>
    <cellStyle name="常规 8 2 3 2 2 3" xfId="16936"/>
    <cellStyle name="常规 8 2 3 2 3" xfId="27116"/>
    <cellStyle name="常规 8 2 3 3" xfId="27118"/>
    <cellStyle name="常规 8 2 3 3 2" xfId="27120"/>
    <cellStyle name="常规 8 2 3 3 3" xfId="27122"/>
    <cellStyle name="常规 8 2 3 4" xfId="27124"/>
    <cellStyle name="常规 8 2 4" xfId="18633"/>
    <cellStyle name="常规 8 2 4 2" xfId="27125"/>
    <cellStyle name="常规 8 2 4 2 2" xfId="27127"/>
    <cellStyle name="常规 8 2 4 2 2 2" xfId="17619"/>
    <cellStyle name="常规 8 2 4 2 2 3" xfId="17621"/>
    <cellStyle name="常规 8 2 4 2 3" xfId="27128"/>
    <cellStyle name="常规 8 2 4 3" xfId="27130"/>
    <cellStyle name="常规 8 2 4 3 2" xfId="27132"/>
    <cellStyle name="常规 8 2 4 3 3" xfId="27134"/>
    <cellStyle name="常规 8 2 4 4" xfId="24766"/>
    <cellStyle name="常规 8 2 5" xfId="18639"/>
    <cellStyle name="常规 8 2 5 2" xfId="27135"/>
    <cellStyle name="常规 8 2 5 2 2" xfId="27136"/>
    <cellStyle name="常规 8 2 5 2 3" xfId="27137"/>
    <cellStyle name="常规 8 2 5 3" xfId="9858"/>
    <cellStyle name="常规 8 2 6" xfId="18645"/>
    <cellStyle name="常规 8 2 6 2" xfId="27138"/>
    <cellStyle name="常规 8 2 6 3" xfId="2468"/>
    <cellStyle name="常规 8 2 7" xfId="16006"/>
    <cellStyle name="常规 8 3" xfId="18648"/>
    <cellStyle name="常规 8 3 2" xfId="18653"/>
    <cellStyle name="常规 8 3 2 2" xfId="25831"/>
    <cellStyle name="常规 8 3 2 2 2" xfId="27139"/>
    <cellStyle name="常规 8 3 2 2 2 2" xfId="19208"/>
    <cellStyle name="常规 8 3 2 2 2 2 2" xfId="27140"/>
    <cellStyle name="常规 8 3 2 2 2 2 3" xfId="27141"/>
    <cellStyle name="常规 8 3 2 2 2 3" xfId="19212"/>
    <cellStyle name="常规 8 3 2 2 3" xfId="27142"/>
    <cellStyle name="常规 8 3 2 2 3 2" xfId="19230"/>
    <cellStyle name="常规 8 3 2 2 3 3" xfId="2617"/>
    <cellStyle name="常规 8 3 2 2 4" xfId="7900"/>
    <cellStyle name="常规 8 3 2 3" xfId="14889"/>
    <cellStyle name="常规 8 3 2 3 2" xfId="27143"/>
    <cellStyle name="常规 8 3 2 3 2 2" xfId="20292"/>
    <cellStyle name="常规 8 3 2 3 2 3" xfId="20295"/>
    <cellStyle name="常规 8 3 2 3 3" xfId="27144"/>
    <cellStyle name="常规 8 3 2 4" xfId="14894"/>
    <cellStyle name="常规 8 3 2 4 2" xfId="27145"/>
    <cellStyle name="常规 8 3 2 4 3" xfId="9891"/>
    <cellStyle name="常规 8 3 2 5" xfId="14373"/>
    <cellStyle name="常规 8 3 3" xfId="18658"/>
    <cellStyle name="常规 8 3 3 2" xfId="27146"/>
    <cellStyle name="常规 8 3 3 2 2" xfId="27147"/>
    <cellStyle name="常规 8 3 3 2 2 2" xfId="20818"/>
    <cellStyle name="常规 8 3 3 2 2 3" xfId="5817"/>
    <cellStyle name="常规 8 3 3 2 3" xfId="27148"/>
    <cellStyle name="常规 8 3 3 3" xfId="6820"/>
    <cellStyle name="常规 8 3 3 3 2" xfId="27150"/>
    <cellStyle name="常规 8 3 3 3 3" xfId="27152"/>
    <cellStyle name="常规 8 3 3 4" xfId="6827"/>
    <cellStyle name="常规 8 3 4" xfId="18663"/>
    <cellStyle name="常规 8 3 4 2" xfId="14906"/>
    <cellStyle name="常规 8 3 4 2 2" xfId="9445"/>
    <cellStyle name="常规 8 3 4 2 2 2" xfId="21173"/>
    <cellStyle name="常规 8 3 4 2 2 3" xfId="21176"/>
    <cellStyle name="常规 8 3 4 2 3" xfId="12523"/>
    <cellStyle name="常规 8 3 4 3" xfId="14912"/>
    <cellStyle name="常规 8 3 4 3 2" xfId="20105"/>
    <cellStyle name="常规 8 3 4 3 3" xfId="20107"/>
    <cellStyle name="常规 8 3 4 4" xfId="14919"/>
    <cellStyle name="常规 8 3 5" xfId="18667"/>
    <cellStyle name="常规 8 3 5 2" xfId="14929"/>
    <cellStyle name="常规 8 3 5 2 2" xfId="27153"/>
    <cellStyle name="常规 8 3 5 2 3" xfId="27154"/>
    <cellStyle name="常规 8 3 5 3" xfId="7085"/>
    <cellStyle name="常规 8 3 6" xfId="18671"/>
    <cellStyle name="常规 8 3 6 2" xfId="767"/>
    <cellStyle name="常规 8 3 6 3" xfId="2555"/>
    <cellStyle name="常规 8 3 7" xfId="16013"/>
    <cellStyle name="常规 8 4" xfId="18675"/>
    <cellStyle name="常规 8 4 2" xfId="10112"/>
    <cellStyle name="常规 8 4 2 2" xfId="25091"/>
    <cellStyle name="常规 8 4 2 2 2" xfId="27155"/>
    <cellStyle name="常规 8 4 2 2 2 2" xfId="10549"/>
    <cellStyle name="常规 8 4 2 2 2 2 2" xfId="27156"/>
    <cellStyle name="常规 8 4 2 2 2 2 3" xfId="27157"/>
    <cellStyle name="常规 8 4 2 2 2 3" xfId="10558"/>
    <cellStyle name="常规 8 4 2 2 3" xfId="27158"/>
    <cellStyle name="常规 8 4 2 2 3 2" xfId="14395"/>
    <cellStyle name="常规 8 4 2 2 3 3" xfId="14403"/>
    <cellStyle name="常规 8 4 2 2 4" xfId="27159"/>
    <cellStyle name="常规 8 4 2 3" xfId="27160"/>
    <cellStyle name="常规 8 4 2 3 2" xfId="27161"/>
    <cellStyle name="常规 8 4 2 3 2 2" xfId="8689"/>
    <cellStyle name="常规 8 4 2 3 2 3" xfId="21658"/>
    <cellStyle name="常规 8 4 2 3 3" xfId="27162"/>
    <cellStyle name="常规 8 4 2 4" xfId="26037"/>
    <cellStyle name="常规 8 4 2 4 2" xfId="26039"/>
    <cellStyle name="常规 8 4 2 4 3" xfId="26041"/>
    <cellStyle name="常规 8 4 2 5" xfId="26043"/>
    <cellStyle name="常规 8 4 3" xfId="27163"/>
    <cellStyle name="常规 8 4 3 2" xfId="27164"/>
    <cellStyle name="常规 8 4 3 2 2" xfId="27165"/>
    <cellStyle name="常规 8 4 3 2 2 2" xfId="13316"/>
    <cellStyle name="常规 8 4 3 2 2 3" xfId="991"/>
    <cellStyle name="常规 8 4 3 2 3" xfId="27166"/>
    <cellStyle name="常规 8 4 3 3" xfId="24261"/>
    <cellStyle name="常规 8 4 3 3 2" xfId="24264"/>
    <cellStyle name="常规 8 4 3 3 3" xfId="24273"/>
    <cellStyle name="常规 8 4 3 4" xfId="24294"/>
    <cellStyle name="常规 8 4 4" xfId="12573"/>
    <cellStyle name="常规 8 4 4 2" xfId="27167"/>
    <cellStyle name="常规 8 4 4 2 2" xfId="27168"/>
    <cellStyle name="常规 8 4 4 2 2 2" xfId="12896"/>
    <cellStyle name="常规 8 4 4 2 2 3" xfId="27169"/>
    <cellStyle name="常规 8 4 4 2 3" xfId="27170"/>
    <cellStyle name="常规 8 4 4 3" xfId="24342"/>
    <cellStyle name="常规 8 4 4 3 2" xfId="24344"/>
    <cellStyle name="常规 8 4 4 3 3" xfId="24348"/>
    <cellStyle name="常规 8 4 4 4" xfId="24351"/>
    <cellStyle name="常规 8 4 5" xfId="12580"/>
    <cellStyle name="常规 8 4 5 2" xfId="27171"/>
    <cellStyle name="常规 8 4 5 2 2" xfId="27172"/>
    <cellStyle name="常规 8 4 5 2 3" xfId="27173"/>
    <cellStyle name="常规 8 4 5 3" xfId="1071"/>
    <cellStyle name="常规 8 4 6" xfId="27175"/>
    <cellStyle name="常规 8 4 6 2" xfId="27176"/>
    <cellStyle name="常规 8 4 6 3" xfId="24375"/>
    <cellStyle name="常规 8 4 7" xfId="27177"/>
    <cellStyle name="常规 8 5" xfId="18680"/>
    <cellStyle name="常规 8 5 2" xfId="27179"/>
    <cellStyle name="常规 8 5 2 2" xfId="27181"/>
    <cellStyle name="常规 8 5 2 2 2" xfId="27182"/>
    <cellStyle name="常规 8 5 2 2 2 2" xfId="10818"/>
    <cellStyle name="常规 8 5 2 2 2 3" xfId="27183"/>
    <cellStyle name="常规 8 5 2 2 3" xfId="27185"/>
    <cellStyle name="常规 8 5 2 3" xfId="27187"/>
    <cellStyle name="常规 8 5 2 3 2" xfId="27188"/>
    <cellStyle name="常规 8 5 2 3 3" xfId="27189"/>
    <cellStyle name="常规 8 5 2 4" xfId="26048"/>
    <cellStyle name="常规 8 5 3" xfId="27191"/>
    <cellStyle name="常规 8 5 3 2" xfId="25106"/>
    <cellStyle name="常规 8 5 3 2 2" xfId="27192"/>
    <cellStyle name="常规 8 5 3 2 3" xfId="27193"/>
    <cellStyle name="常规 8 5 3 3" xfId="1119"/>
    <cellStyle name="常规 8 5 4" xfId="12589"/>
    <cellStyle name="常规 8 5 4 2" xfId="12593"/>
    <cellStyle name="常规 8 5 4 3" xfId="1140"/>
    <cellStyle name="常规 8 5 5" xfId="12601"/>
    <cellStyle name="常规 8 6" xfId="18685"/>
    <cellStyle name="常规 8 6 2" xfId="27194"/>
    <cellStyle name="常规 8 6 2 2" xfId="27196"/>
    <cellStyle name="常规 8 6 2 2 2" xfId="27198"/>
    <cellStyle name="常规 8 6 2 2 3" xfId="27200"/>
    <cellStyle name="常规 8 6 2 3" xfId="27202"/>
    <cellStyle name="常规 8 6 3" xfId="27203"/>
    <cellStyle name="常规 8 6 3 2" xfId="27204"/>
    <cellStyle name="常规 8 6 3 3" xfId="24418"/>
    <cellStyle name="常规 8 6 4" xfId="24298"/>
    <cellStyle name="常规 8 7" xfId="18688"/>
    <cellStyle name="常规 8 7 2" xfId="27205"/>
    <cellStyle name="常规 8 7 2 2" xfId="27207"/>
    <cellStyle name="常规 8 7 2 2 2" xfId="6355"/>
    <cellStyle name="常规 8 7 2 2 3" xfId="17025"/>
    <cellStyle name="常规 8 7 2 3" xfId="27209"/>
    <cellStyle name="常规 8 7 3" xfId="27210"/>
    <cellStyle name="常规 8 7 3 2" xfId="27211"/>
    <cellStyle name="常规 8 7 3 3" xfId="24460"/>
    <cellStyle name="常规 8 7 4" xfId="27212"/>
    <cellStyle name="常规 8 8" xfId="18691"/>
    <cellStyle name="常规 8 8 2" xfId="27213"/>
    <cellStyle name="常规 8 8 2 2" xfId="27215"/>
    <cellStyle name="常规 8 8 2 3" xfId="27217"/>
    <cellStyle name="常规 8 8 3" xfId="27218"/>
    <cellStyle name="常规 8 9" xfId="18693"/>
    <cellStyle name="常规 8 9 2" xfId="27219"/>
    <cellStyle name="常规 8 9 3" xfId="27220"/>
    <cellStyle name="常规 9" xfId="20486"/>
    <cellStyle name="常规 9 10" xfId="18183"/>
    <cellStyle name="常规 9 2" xfId="27221"/>
    <cellStyle name="常规 9 2 2" xfId="27222"/>
    <cellStyle name="常规 9 2 2 2" xfId="27224"/>
    <cellStyle name="常规 9 2 2 2 2" xfId="27226"/>
    <cellStyle name="常规 9 2 2 2 2 2" xfId="27228"/>
    <cellStyle name="常规 9 2 2 2 2 2 2" xfId="27229"/>
    <cellStyle name="常规 9 2 2 2 2 2 2 2" xfId="27230"/>
    <cellStyle name="常规 9 2 2 2 2 2 2 3" xfId="27231"/>
    <cellStyle name="常规 9 2 2 2 2 2 2 3 2" xfId="27232"/>
    <cellStyle name="常规 9 2 2 2 2 2 3" xfId="27233"/>
    <cellStyle name="常规 9 2 2 2 2 2 4" xfId="24451"/>
    <cellStyle name="常规 9 2 2 2 2 3" xfId="27236"/>
    <cellStyle name="常规 9 2 2 2 3" xfId="27238"/>
    <cellStyle name="常规 9 2 2 2 3 2" xfId="27239"/>
    <cellStyle name="常规 9 2 2 2 3 2 2" xfId="19218"/>
    <cellStyle name="常规 9 2 2 2 3 2 3" xfId="19221"/>
    <cellStyle name="常规 9 2 2 2 3 3" xfId="27240"/>
    <cellStyle name="常规 9 2 2 2 3 3 2" xfId="2853"/>
    <cellStyle name="常规 9 2 2 2 3 3 2 2" xfId="2859"/>
    <cellStyle name="常规 9 2 2 2 3 3 2 3" xfId="2864"/>
    <cellStyle name="常规 9 2 2 2 3 3 2 3 2" xfId="27241"/>
    <cellStyle name="常规 9 2 2 2 3 3 3" xfId="2869"/>
    <cellStyle name="常规 9 2 2 2 3 3 4" xfId="2901"/>
    <cellStyle name="常规 9 2 2 2 3 4" xfId="27242"/>
    <cellStyle name="常规 9 2 2 2 4" xfId="27243"/>
    <cellStyle name="常规 9 2 2 2 4 2" xfId="19284"/>
    <cellStyle name="常规 9 2 2 2 4 2 2" xfId="27245"/>
    <cellStyle name="常规 9 2 2 2 4 2 3" xfId="27246"/>
    <cellStyle name="常规 9 2 2 2 4 2 3 2" xfId="27247"/>
    <cellStyle name="常规 9 2 2 2 4 3" xfId="2759"/>
    <cellStyle name="常规 9 2 2 2 4 4" xfId="27248"/>
    <cellStyle name="常规 9 2 2 2 5" xfId="27249"/>
    <cellStyle name="常规 9 2 2 3" xfId="27251"/>
    <cellStyle name="常规 9 2 2 3 2" xfId="27253"/>
    <cellStyle name="常规 9 2 2 3 2 2" xfId="12246"/>
    <cellStyle name="常规 9 2 2 3 2 2 2" xfId="27254"/>
    <cellStyle name="常规 9 2 2 3 2 2 3" xfId="27255"/>
    <cellStyle name="常规 9 2 2 3 2 3" xfId="27256"/>
    <cellStyle name="常规 9 2 2 3 2 3 2" xfId="27257"/>
    <cellStyle name="常规 9 2 2 3 2 3 2 2" xfId="27258"/>
    <cellStyle name="常规 9 2 2 3 2 3 2 3" xfId="27259"/>
    <cellStyle name="常规 9 2 2 3 2 3 2 3 2" xfId="27260"/>
    <cellStyle name="常规 9 2 2 3 2 3 3" xfId="27261"/>
    <cellStyle name="常规 9 2 2 3 2 3 4" xfId="27262"/>
    <cellStyle name="常规 9 2 2 3 2 4" xfId="27263"/>
    <cellStyle name="常规 9 2 2 3 3" xfId="27265"/>
    <cellStyle name="常规 9 2 2 3 3 2" xfId="12255"/>
    <cellStyle name="常规 9 2 2 3 3 2 2" xfId="27267"/>
    <cellStyle name="常规 9 2 2 3 3 2 3" xfId="27269"/>
    <cellStyle name="常规 9 2 2 3 3 2 3 2" xfId="1046"/>
    <cellStyle name="常规 9 2 2 3 3 3" xfId="27270"/>
    <cellStyle name="常规 9 2 2 3 3 4" xfId="27271"/>
    <cellStyle name="常规 9 2 2 3 4" xfId="27272"/>
    <cellStyle name="常规 9 2 2 4" xfId="27274"/>
    <cellStyle name="常规 9 2 2 4 2" xfId="27275"/>
    <cellStyle name="常规 9 2 2 4 2 2" xfId="27276"/>
    <cellStyle name="常规 9 2 2 4 2 3" xfId="27277"/>
    <cellStyle name="常规 9 2 2 4 3" xfId="27278"/>
    <cellStyle name="常规 9 2 2 4 3 2" xfId="27279"/>
    <cellStyle name="常规 9 2 2 4 3 2 2" xfId="27281"/>
    <cellStyle name="常规 9 2 2 4 3 2 3" xfId="10324"/>
    <cellStyle name="常规 9 2 2 4 3 2 3 2" xfId="1812"/>
    <cellStyle name="常规 9 2 2 4 3 3" xfId="27282"/>
    <cellStyle name="常规 9 2 2 4 3 4" xfId="27283"/>
    <cellStyle name="常规 9 2 2 4 4" xfId="27284"/>
    <cellStyle name="常规 9 2 2 5" xfId="27285"/>
    <cellStyle name="常规 9 2 2 5 2" xfId="21019"/>
    <cellStyle name="常规 9 2 2 5 2 2" xfId="16323"/>
    <cellStyle name="常规 9 2 2 5 2 3" xfId="16333"/>
    <cellStyle name="常规 9 2 2 5 2 3 2" xfId="16335"/>
    <cellStyle name="常规 9 2 2 5 3" xfId="21023"/>
    <cellStyle name="常规 9 2 2 5 4" xfId="21025"/>
    <cellStyle name="常规 9 2 2 6" xfId="27286"/>
    <cellStyle name="常规 9 2 3" xfId="27287"/>
    <cellStyle name="常规 9 2 3 2" xfId="27289"/>
    <cellStyle name="常规 9 2 3 2 2" xfId="27291"/>
    <cellStyle name="常规 9 2 3 2 2 2" xfId="27292"/>
    <cellStyle name="常规 9 2 3 2 2 2 2" xfId="27293"/>
    <cellStyle name="常规 9 2 3 2 2 2 3" xfId="27294"/>
    <cellStyle name="常规 9 2 3 2 2 2 3 2" xfId="27295"/>
    <cellStyle name="常规 9 2 3 2 2 3" xfId="27296"/>
    <cellStyle name="常规 9 2 3 2 2 4" xfId="27297"/>
    <cellStyle name="常规 9 2 3 2 3" xfId="27299"/>
    <cellStyle name="常规 9 2 3 3" xfId="27302"/>
    <cellStyle name="常规 9 2 3 3 2" xfId="27304"/>
    <cellStyle name="常规 9 2 3 3 2 2" xfId="27306"/>
    <cellStyle name="常规 9 2 3 3 2 3" xfId="27308"/>
    <cellStyle name="常规 9 2 3 3 3" xfId="27310"/>
    <cellStyle name="常规 9 2 3 3 3 2" xfId="27312"/>
    <cellStyle name="常规 9 2 3 3 3 2 2" xfId="27314"/>
    <cellStyle name="常规 9 2 3 3 3 2 3" xfId="27316"/>
    <cellStyle name="常规 9 2 3 3 3 2 3 2" xfId="15835"/>
    <cellStyle name="常规 9 2 3 3 3 3" xfId="27318"/>
    <cellStyle name="常规 9 2 3 3 3 4" xfId="27319"/>
    <cellStyle name="常规 9 2 3 3 4" xfId="27321"/>
    <cellStyle name="常规 9 2 3 4" xfId="27323"/>
    <cellStyle name="常规 9 2 3 4 2" xfId="27325"/>
    <cellStyle name="常规 9 2 3 4 2 2" xfId="27326"/>
    <cellStyle name="常规 9 2 3 4 2 3" xfId="27327"/>
    <cellStyle name="常规 9 2 3 4 2 3 2" xfId="27328"/>
    <cellStyle name="常规 9 2 3 4 3" xfId="27330"/>
    <cellStyle name="常规 9 2 3 4 4" xfId="27331"/>
    <cellStyle name="常规 9 2 3 5" xfId="4805"/>
    <cellStyle name="常规 9 2 4" xfId="27332"/>
    <cellStyle name="常规 9 2 4 2" xfId="27334"/>
    <cellStyle name="常规 9 2 4 2 2" xfId="27337"/>
    <cellStyle name="常规 9 2 4 2 2 2" xfId="27338"/>
    <cellStyle name="常规 9 2 4 2 2 2 2" xfId="21900"/>
    <cellStyle name="常规 9 2 4 2 2 2 3" xfId="21902"/>
    <cellStyle name="常规 9 2 4 2 2 2 3 2" xfId="21812"/>
    <cellStyle name="常规 9 2 4 2 2 3" xfId="27339"/>
    <cellStyle name="常规 9 2 4 2 2 4" xfId="27340"/>
    <cellStyle name="常规 9 2 4 2 3" xfId="27342"/>
    <cellStyle name="常规 9 2 4 3" xfId="27345"/>
    <cellStyle name="常规 9 2 4 3 2" xfId="27347"/>
    <cellStyle name="常规 9 2 4 3 2 2" xfId="20420"/>
    <cellStyle name="常规 9 2 4 3 2 3" xfId="20432"/>
    <cellStyle name="常规 9 2 4 3 3" xfId="27349"/>
    <cellStyle name="常规 9 2 4 3 3 2" xfId="27350"/>
    <cellStyle name="常规 9 2 4 3 3 2 2" xfId="22930"/>
    <cellStyle name="常规 9 2 4 3 3 2 3" xfId="22932"/>
    <cellStyle name="常规 9 2 4 3 3 2 3 2" xfId="27351"/>
    <cellStyle name="常规 9 2 4 3 3 3" xfId="27352"/>
    <cellStyle name="常规 9 2 4 3 3 4" xfId="27353"/>
    <cellStyle name="常规 9 2 4 3 4" xfId="27354"/>
    <cellStyle name="常规 9 2 4 4" xfId="24778"/>
    <cellStyle name="常规 9 2 4 4 2" xfId="27356"/>
    <cellStyle name="常规 9 2 4 4 2 2" xfId="7455"/>
    <cellStyle name="常规 9 2 4 4 2 3" xfId="21681"/>
    <cellStyle name="常规 9 2 4 4 2 3 2" xfId="23355"/>
    <cellStyle name="常规 9 2 4 4 3" xfId="27358"/>
    <cellStyle name="常规 9 2 4 4 4" xfId="27359"/>
    <cellStyle name="常规 9 2 4 5" xfId="4870"/>
    <cellStyle name="常规 9 2 5" xfId="27360"/>
    <cellStyle name="常规 9 2 5 2" xfId="27362"/>
    <cellStyle name="常规 9 2 5 2 2" xfId="27363"/>
    <cellStyle name="常规 9 2 5 2 2 2" xfId="27364"/>
    <cellStyle name="常规 9 2 5 2 2 2 2" xfId="27365"/>
    <cellStyle name="常规 9 2 5 2 2 2 3" xfId="27366"/>
    <cellStyle name="常规 9 2 5 2 2 2 3 2" xfId="27367"/>
    <cellStyle name="常规 9 2 5 2 2 3" xfId="27368"/>
    <cellStyle name="常规 9 2 5 2 2 4" xfId="27369"/>
    <cellStyle name="常规 9 2 5 2 3" xfId="27370"/>
    <cellStyle name="常规 9 2 5 3" xfId="27372"/>
    <cellStyle name="常规 9 2 5 3 2" xfId="27374"/>
    <cellStyle name="常规 9 2 5 3 2 2" xfId="27375"/>
    <cellStyle name="常规 9 2 5 3 2 3" xfId="27376"/>
    <cellStyle name="常规 9 2 5 3 3" xfId="27377"/>
    <cellStyle name="常规 9 2 5 3 3 2" xfId="27378"/>
    <cellStyle name="常规 9 2 5 3 3 2 2" xfId="27379"/>
    <cellStyle name="常规 9 2 5 3 3 2 3" xfId="27380"/>
    <cellStyle name="常规 9 2 5 3 3 2 3 2" xfId="16948"/>
    <cellStyle name="常规 9 2 5 3 3 3" xfId="27381"/>
    <cellStyle name="常规 9 2 5 3 3 4" xfId="27382"/>
    <cellStyle name="常规 9 2 5 3 4" xfId="27383"/>
    <cellStyle name="常规 9 2 5 4" xfId="24782"/>
    <cellStyle name="常规 9 2 5 4 2" xfId="24784"/>
    <cellStyle name="常规 9 2 5 4 2 2" xfId="27384"/>
    <cellStyle name="常规 9 2 5 4 2 3" xfId="27385"/>
    <cellStyle name="常规 9 2 5 4 2 3 2" xfId="27386"/>
    <cellStyle name="常规 9 2 5 4 3" xfId="24786"/>
    <cellStyle name="常规 9 2 5 4 4" xfId="27388"/>
    <cellStyle name="常规 9 2 5 5" xfId="1596"/>
    <cellStyle name="常规 9 2 6" xfId="27389"/>
    <cellStyle name="常规 9 2 6 2" xfId="27390"/>
    <cellStyle name="常规 9 2 6 2 2" xfId="27391"/>
    <cellStyle name="常规 9 2 6 2 3" xfId="27392"/>
    <cellStyle name="常规 9 2 6 3" xfId="27394"/>
    <cellStyle name="常规 9 2 6 3 2" xfId="13438"/>
    <cellStyle name="常规 9 2 6 3 2 2" xfId="13440"/>
    <cellStyle name="常规 9 2 6 3 2 3" xfId="13442"/>
    <cellStyle name="常规 9 2 6 3 2 3 2" xfId="27395"/>
    <cellStyle name="常规 9 2 6 3 3" xfId="13449"/>
    <cellStyle name="常规 9 2 6 3 4" xfId="12439"/>
    <cellStyle name="常规 9 2 6 4" xfId="27397"/>
    <cellStyle name="常规 9 2 7" xfId="27398"/>
    <cellStyle name="常规 9 2 7 2" xfId="27399"/>
    <cellStyle name="常规 9 2 7 2 2" xfId="13196"/>
    <cellStyle name="常规 9 2 7 2 3" xfId="13198"/>
    <cellStyle name="常规 9 2 7 2 3 2" xfId="27400"/>
    <cellStyle name="常规 9 2 7 3" xfId="27401"/>
    <cellStyle name="常规 9 2 7 4" xfId="27402"/>
    <cellStyle name="常规 9 2 8" xfId="27403"/>
    <cellStyle name="常规 9 3" xfId="2430"/>
    <cellStyle name="常规 9 3 2" xfId="3510"/>
    <cellStyle name="常规 9 3 2 2" xfId="3380"/>
    <cellStyle name="常规 9 3 2 2 2" xfId="27404"/>
    <cellStyle name="常规 9 3 2 2 2 2" xfId="19059"/>
    <cellStyle name="常规 9 3 2 2 2 2 2" xfId="14650"/>
    <cellStyle name="常规 9 3 2 2 2 2 2 2" xfId="27405"/>
    <cellStyle name="常规 9 3 2 2 2 2 2 3" xfId="27406"/>
    <cellStyle name="常规 9 3 2 2 2 2 2 3 2" xfId="21887"/>
    <cellStyle name="常规 9 3 2 2 2 2 3" xfId="14653"/>
    <cellStyle name="常规 9 3 2 2 2 2 4" xfId="14656"/>
    <cellStyle name="常规 9 3 2 2 2 3" xfId="19061"/>
    <cellStyle name="常规 9 3 2 2 3" xfId="27407"/>
    <cellStyle name="常规 9 3 2 2 3 2" xfId="8330"/>
    <cellStyle name="常规 9 3 2 2 3 2 2" xfId="8334"/>
    <cellStyle name="常规 9 3 2 2 3 2 3" xfId="6658"/>
    <cellStyle name="常规 9 3 2 2 3 3" xfId="8336"/>
    <cellStyle name="常规 9 3 2 2 3 3 2" xfId="8758"/>
    <cellStyle name="常规 9 3 2 2 3 3 2 2" xfId="8769"/>
    <cellStyle name="常规 9 3 2 2 3 3 2 3" xfId="8771"/>
    <cellStyle name="常规 9 3 2 2 3 3 2 3 2" xfId="25778"/>
    <cellStyle name="常规 9 3 2 2 3 3 3" xfId="8778"/>
    <cellStyle name="常规 9 3 2 2 3 3 4" xfId="9219"/>
    <cellStyle name="常规 9 3 2 2 3 4" xfId="8783"/>
    <cellStyle name="常规 9 3 2 2 4" xfId="6158"/>
    <cellStyle name="常规 9 3 2 2 4 2" xfId="6161"/>
    <cellStyle name="常规 9 3 2 2 4 2 2" xfId="27408"/>
    <cellStyle name="常规 9 3 2 2 4 2 3" xfId="27410"/>
    <cellStyle name="常规 9 3 2 2 4 2 3 2" xfId="13235"/>
    <cellStyle name="常规 9 3 2 2 4 3" xfId="6165"/>
    <cellStyle name="常规 9 3 2 2 4 4" xfId="8807"/>
    <cellStyle name="常规 9 3 2 2 5" xfId="6170"/>
    <cellStyle name="常规 9 3 2 3" xfId="859"/>
    <cellStyle name="常规 9 3 2 3 2" xfId="27411"/>
    <cellStyle name="常规 9 3 2 3 2 2" xfId="27412"/>
    <cellStyle name="常规 9 3 2 3 2 2 2" xfId="7370"/>
    <cellStyle name="常规 9 3 2 3 2 2 3" xfId="7376"/>
    <cellStyle name="常规 9 3 2 3 2 3" xfId="27413"/>
    <cellStyle name="常规 9 3 2 3 2 3 2" xfId="1878"/>
    <cellStyle name="常规 9 3 2 3 2 3 2 2" xfId="27414"/>
    <cellStyle name="常规 9 3 2 3 2 3 2 3" xfId="27416"/>
    <cellStyle name="常规 9 3 2 3 2 3 2 3 2" xfId="25844"/>
    <cellStyle name="常规 9 3 2 3 2 3 3" xfId="1923"/>
    <cellStyle name="常规 9 3 2 3 2 3 4" xfId="13188"/>
    <cellStyle name="常规 9 3 2 3 2 4" xfId="27417"/>
    <cellStyle name="常规 9 3 2 3 3" xfId="27418"/>
    <cellStyle name="常规 9 3 2 3 3 2" xfId="5950"/>
    <cellStyle name="常规 9 3 2 3 3 2 2" xfId="27420"/>
    <cellStyle name="常规 9 3 2 3 3 2 3" xfId="27421"/>
    <cellStyle name="常规 9 3 2 3 3 2 3 2" xfId="7435"/>
    <cellStyle name="常规 9 3 2 3 3 3" xfId="27422"/>
    <cellStyle name="常规 9 3 2 3 3 4" xfId="26679"/>
    <cellStyle name="常规 9 3 2 3 4" xfId="2205"/>
    <cellStyle name="常规 9 3 2 4" xfId="15160"/>
    <cellStyle name="常规 9 3 2 4 2" xfId="12762"/>
    <cellStyle name="常规 9 3 2 4 2 2" xfId="15789"/>
    <cellStyle name="常规 9 3 2 4 2 3" xfId="15791"/>
    <cellStyle name="常规 9 3 2 4 3" xfId="9976"/>
    <cellStyle name="常规 9 3 2 4 3 2" xfId="8374"/>
    <cellStyle name="常规 9 3 2 4 3 2 2" xfId="27424"/>
    <cellStyle name="常规 9 3 2 4 3 2 3" xfId="27425"/>
    <cellStyle name="常规 9 3 2 4 3 2 3 2" xfId="27426"/>
    <cellStyle name="常规 9 3 2 4 3 3" xfId="8847"/>
    <cellStyle name="常规 9 3 2 4 3 4" xfId="8855"/>
    <cellStyle name="常规 9 3 2 4 4" xfId="9979"/>
    <cellStyle name="常规 9 3 2 5" xfId="15164"/>
    <cellStyle name="常规 9 3 2 5 2" xfId="12775"/>
    <cellStyle name="常规 9 3 2 5 2 2" xfId="15946"/>
    <cellStyle name="常规 9 3 2 5 2 3" xfId="15949"/>
    <cellStyle name="常规 9 3 2 5 2 3 2" xfId="27427"/>
    <cellStyle name="常规 9 3 2 5 3" xfId="15956"/>
    <cellStyle name="常规 9 3 2 5 4" xfId="15960"/>
    <cellStyle name="常规 9 3 2 6" xfId="13309"/>
    <cellStyle name="常规 9 3 3" xfId="4514"/>
    <cellStyle name="常规 9 3 3 2" xfId="6668"/>
    <cellStyle name="常规 9 3 3 2 2" xfId="27428"/>
    <cellStyle name="常规 9 3 3 2 2 2" xfId="19215"/>
    <cellStyle name="常规 9 3 3 2 2 2 2" xfId="27429"/>
    <cellStyle name="常规 9 3 3 2 2 2 3" xfId="27430"/>
    <cellStyle name="常规 9 3 3 2 2 2 3 2" xfId="16894"/>
    <cellStyle name="常规 9 3 3 2 2 3" xfId="19217"/>
    <cellStyle name="常规 9 3 3 2 2 4" xfId="19220"/>
    <cellStyle name="常规 9 3 3 2 3" xfId="19729"/>
    <cellStyle name="常规 9 3 3 3" xfId="15170"/>
    <cellStyle name="常规 9 3 3 3 2" xfId="20005"/>
    <cellStyle name="常规 9 3 3 3 2 2" xfId="27431"/>
    <cellStyle name="常规 9 3 3 3 2 3" xfId="27244"/>
    <cellStyle name="常规 9 3 3 3 3" xfId="20008"/>
    <cellStyle name="常规 9 3 3 3 3 2" xfId="3677"/>
    <cellStyle name="常规 9 3 3 3 3 2 2" xfId="27432"/>
    <cellStyle name="常规 9 3 3 3 3 2 3" xfId="27433"/>
    <cellStyle name="常规 9 3 3 3 3 2 3 2" xfId="114"/>
    <cellStyle name="常规 9 3 3 3 3 3" xfId="27434"/>
    <cellStyle name="常规 9 3 3 3 3 4" xfId="27435"/>
    <cellStyle name="常规 9 3 3 3 4" xfId="20010"/>
    <cellStyle name="常规 9 3 3 4" xfId="15174"/>
    <cellStyle name="常规 9 3 3 4 2" xfId="16713"/>
    <cellStyle name="常规 9 3 3 4 2 2" xfId="16715"/>
    <cellStyle name="常规 9 3 3 4 2 3" xfId="16717"/>
    <cellStyle name="常规 9 3 3 4 2 3 2" xfId="27436"/>
    <cellStyle name="常规 9 3 3 4 3" xfId="16721"/>
    <cellStyle name="常规 9 3 3 4 4" xfId="16723"/>
    <cellStyle name="常规 9 3 3 5" xfId="4945"/>
    <cellStyle name="常规 9 3 4" xfId="27437"/>
    <cellStyle name="常规 9 3 4 2" xfId="27438"/>
    <cellStyle name="常规 9 3 4 2 2" xfId="27439"/>
    <cellStyle name="常规 9 3 4 2 2 2" xfId="5821"/>
    <cellStyle name="常规 9 3 4 2 2 2 2" xfId="27440"/>
    <cellStyle name="常规 9 3 4 2 2 2 3" xfId="27441"/>
    <cellStyle name="常规 9 3 4 2 2 2 3 2" xfId="27442"/>
    <cellStyle name="常规 9 3 4 2 2 3" xfId="27266"/>
    <cellStyle name="常规 9 3 4 2 2 4" xfId="27268"/>
    <cellStyle name="常规 9 3 4 2 3" xfId="27443"/>
    <cellStyle name="常规 9 3 4 3" xfId="15180"/>
    <cellStyle name="常规 9 3 4 3 2" xfId="27445"/>
    <cellStyle name="常规 9 3 4 3 2 2" xfId="18687"/>
    <cellStyle name="常规 9 3 4 3 2 3" xfId="18690"/>
    <cellStyle name="常规 9 3 4 3 3" xfId="27446"/>
    <cellStyle name="常规 9 3 4 3 3 2" xfId="8293"/>
    <cellStyle name="常规 9 3 4 3 3 2 2" xfId="27448"/>
    <cellStyle name="常规 9 3 4 3 3 2 3" xfId="27450"/>
    <cellStyle name="常规 9 3 4 3 3 2 3 2" xfId="1600"/>
    <cellStyle name="常规 9 3 4 3 3 3" xfId="27452"/>
    <cellStyle name="常规 9 3 4 3 3 4" xfId="27454"/>
    <cellStyle name="常规 9 3 4 3 4" xfId="27455"/>
    <cellStyle name="常规 9 3 4 4" xfId="15184"/>
    <cellStyle name="常规 9 3 4 4 2" xfId="17575"/>
    <cellStyle name="常规 9 3 4 4 2 2" xfId="7951"/>
    <cellStyle name="常规 9 3 4 4 2 3" xfId="17577"/>
    <cellStyle name="常规 9 3 4 4 2 3 2" xfId="27456"/>
    <cellStyle name="常规 9 3 4 4 3" xfId="17581"/>
    <cellStyle name="常规 9 3 4 4 4" xfId="17586"/>
    <cellStyle name="常规 9 3 4 5" xfId="1427"/>
    <cellStyle name="常规 9 3 5" xfId="27458"/>
    <cellStyle name="常规 9 3 5 2" xfId="27459"/>
    <cellStyle name="常规 9 3 5 2 2" xfId="17231"/>
    <cellStyle name="常规 9 3 5 2 2 2" xfId="27460"/>
    <cellStyle name="常规 9 3 5 2 2 2 2" xfId="27461"/>
    <cellStyle name="常规 9 3 5 2 2 2 3" xfId="22318"/>
    <cellStyle name="常规 9 3 5 2 2 2 3 2" xfId="27462"/>
    <cellStyle name="常规 9 3 5 2 2 3" xfId="27280"/>
    <cellStyle name="常规 9 3 5 2 2 4" xfId="10323"/>
    <cellStyle name="常规 9 3 5 2 3" xfId="17233"/>
    <cellStyle name="常规 9 3 5 3" xfId="15192"/>
    <cellStyle name="常规 9 3 5 3 2" xfId="27463"/>
    <cellStyle name="常规 9 3 5 3 2 2" xfId="22654"/>
    <cellStyle name="常规 9 3 5 3 2 3" xfId="22656"/>
    <cellStyle name="常规 9 3 5 3 3" xfId="27464"/>
    <cellStyle name="常规 9 3 5 3 3 2" xfId="8560"/>
    <cellStyle name="常规 9 3 5 3 3 2 2" xfId="27465"/>
    <cellStyle name="常规 9 3 5 3 3 2 3" xfId="27466"/>
    <cellStyle name="常规 9 3 5 3 3 2 3 2" xfId="27467"/>
    <cellStyle name="常规 9 3 5 3 3 3" xfId="22660"/>
    <cellStyle name="常规 9 3 5 3 3 4" xfId="452"/>
    <cellStyle name="常规 9 3 5 3 4" xfId="27468"/>
    <cellStyle name="常规 9 3 5 4" xfId="15196"/>
    <cellStyle name="常规 9 3 5 4 2" xfId="17913"/>
    <cellStyle name="常规 9 3 5 4 2 2" xfId="17916"/>
    <cellStyle name="常规 9 3 5 4 2 3" xfId="17919"/>
    <cellStyle name="常规 9 3 5 4 2 3 2" xfId="27469"/>
    <cellStyle name="常规 9 3 5 4 3" xfId="17922"/>
    <cellStyle name="常规 9 3 5 4 4" xfId="17930"/>
    <cellStyle name="常规 9 3 5 5" xfId="5048"/>
    <cellStyle name="常规 9 3 6" xfId="5692"/>
    <cellStyle name="常规 9 3 6 2" xfId="27470"/>
    <cellStyle name="常规 9 3 6 2 2" xfId="27471"/>
    <cellStyle name="常规 9 3 6 2 3" xfId="27472"/>
    <cellStyle name="常规 9 3 6 3" xfId="15202"/>
    <cellStyle name="常规 9 3 6 3 2" xfId="14018"/>
    <cellStyle name="常规 9 3 6 3 2 2" xfId="27473"/>
    <cellStyle name="常规 9 3 6 3 2 3" xfId="27474"/>
    <cellStyle name="常规 9 3 6 3 2 3 2" xfId="27475"/>
    <cellStyle name="常规 9 3 6 3 3" xfId="14020"/>
    <cellStyle name="常规 9 3 6 3 4" xfId="14023"/>
    <cellStyle name="常规 9 3 6 4" xfId="15205"/>
    <cellStyle name="常规 9 3 7" xfId="5697"/>
    <cellStyle name="常规 9 3 7 2" xfId="27476"/>
    <cellStyle name="常规 9 3 7 2 2" xfId="3501"/>
    <cellStyle name="常规 9 3 7 2 3" xfId="27477"/>
    <cellStyle name="常规 9 3 7 2 3 2" xfId="8623"/>
    <cellStyle name="常规 9 3 7 3" xfId="27479"/>
    <cellStyle name="常规 9 3 7 4" xfId="27481"/>
    <cellStyle name="常规 9 3 8" xfId="27482"/>
    <cellStyle name="常规 9 4" xfId="2440"/>
    <cellStyle name="常规 9 4 2" xfId="4520"/>
    <cellStyle name="常规 9 4 2 2" xfId="25126"/>
    <cellStyle name="常规 9 4 2 2 2" xfId="27483"/>
    <cellStyle name="常规 9 4 2 2 2 2" xfId="14058"/>
    <cellStyle name="常规 9 4 2 2 2 2 2" xfId="19344"/>
    <cellStyle name="常规 9 4 2 2 2 2 3" xfId="19346"/>
    <cellStyle name="常规 9 4 2 2 2 3" xfId="27484"/>
    <cellStyle name="常规 9 4 2 2 2 3 2" xfId="10785"/>
    <cellStyle name="常规 9 4 2 2 2 3 2 2" xfId="27485"/>
    <cellStyle name="常规 9 4 2 2 2 3 2 3" xfId="27486"/>
    <cellStyle name="常规 9 4 2 2 2 3 2 3 2" xfId="27487"/>
    <cellStyle name="常规 9 4 2 2 2 3 3" xfId="27488"/>
    <cellStyle name="常规 9 4 2 2 2 3 4" xfId="27489"/>
    <cellStyle name="常规 9 4 2 2 2 4" xfId="27490"/>
    <cellStyle name="常规 9 4 2 2 3" xfId="27491"/>
    <cellStyle name="常规 9 4 2 2 3 2" xfId="14070"/>
    <cellStyle name="常规 9 4 2 2 3 2 2" xfId="27492"/>
    <cellStyle name="常规 9 4 2 2 3 2 3" xfId="27493"/>
    <cellStyle name="常规 9 4 2 2 3 2 3 2" xfId="6495"/>
    <cellStyle name="常规 9 4 2 2 3 3" xfId="27494"/>
    <cellStyle name="常规 9 4 2 2 3 4" xfId="27495"/>
    <cellStyle name="常规 9 4 2 2 4" xfId="930"/>
    <cellStyle name="常规 9 4 2 3" xfId="27496"/>
    <cellStyle name="常规 9 4 2 3 2" xfId="27497"/>
    <cellStyle name="常规 9 4 2 3 2 2" xfId="19490"/>
    <cellStyle name="常规 9 4 2 3 2 2 2" xfId="27498"/>
    <cellStyle name="常规 9 4 2 3 2 2 2 2" xfId="17613"/>
    <cellStyle name="常规 9 4 2 3 2 2 2 3" xfId="17615"/>
    <cellStyle name="常规 9 4 2 3 2 2 2 3 2" xfId="27499"/>
    <cellStyle name="常规 9 4 2 3 2 2 3" xfId="27500"/>
    <cellStyle name="常规 9 4 2 3 2 2 4" xfId="27126"/>
    <cellStyle name="常规 9 4 2 3 2 3" xfId="27501"/>
    <cellStyle name="常规 9 4 2 3 3" xfId="27502"/>
    <cellStyle name="常规 9 4 2 3 3 2" xfId="19492"/>
    <cellStyle name="常规 9 4 2 3 3 2 2" xfId="27503"/>
    <cellStyle name="常规 9 4 2 3 3 2 3" xfId="27504"/>
    <cellStyle name="常规 9 4 2 3 3 3" xfId="27505"/>
    <cellStyle name="常规 9 4 2 3 3 3 2" xfId="9222"/>
    <cellStyle name="常规 9 4 2 3 3 3 2 2" xfId="9503"/>
    <cellStyle name="常规 9 4 2 3 3 3 2 3" xfId="27506"/>
    <cellStyle name="常规 9 4 2 3 3 3 2 3 2" xfId="27508"/>
    <cellStyle name="常规 9 4 2 3 3 3 3" xfId="27509"/>
    <cellStyle name="常规 9 4 2 3 3 3 4" xfId="9860"/>
    <cellStyle name="常规 9 4 2 3 3 4" xfId="27510"/>
    <cellStyle name="常规 9 4 2 3 4" xfId="1300"/>
    <cellStyle name="常规 9 4 2 3 4 2" xfId="19494"/>
    <cellStyle name="常规 9 4 2 3 4 2 2" xfId="27511"/>
    <cellStyle name="常规 9 4 2 3 4 2 3" xfId="27512"/>
    <cellStyle name="常规 9 4 2 3 4 2 3 2" xfId="1362"/>
    <cellStyle name="常规 9 4 2 3 4 3" xfId="27513"/>
    <cellStyle name="常规 9 4 2 3 4 4" xfId="25335"/>
    <cellStyle name="常规 9 4 2 3 5" xfId="1408"/>
    <cellStyle name="常规 9 4 2 4" xfId="27514"/>
    <cellStyle name="常规 9 4 2 4 2" xfId="20080"/>
    <cellStyle name="常规 9 4 2 4 2 2" xfId="20082"/>
    <cellStyle name="常规 9 4 2 4 2 3" xfId="20084"/>
    <cellStyle name="常规 9 4 2 4 3" xfId="20092"/>
    <cellStyle name="常规 9 4 2 4 3 2" xfId="20094"/>
    <cellStyle name="常规 9 4 2 4 3 2 2" xfId="27515"/>
    <cellStyle name="常规 9 4 2 4 3 2 3" xfId="27516"/>
    <cellStyle name="常规 9 4 2 4 3 2 3 2" xfId="21450"/>
    <cellStyle name="常规 9 4 2 4 3 3" xfId="9519"/>
    <cellStyle name="常规 9 4 2 4 3 4" xfId="9526"/>
    <cellStyle name="常规 9 4 2 4 4" xfId="20098"/>
    <cellStyle name="常规 9 4 2 5" xfId="27048"/>
    <cellStyle name="常规 9 4 2 5 2" xfId="20192"/>
    <cellStyle name="常规 9 4 2 5 2 2" xfId="20196"/>
    <cellStyle name="常规 9 4 2 5 2 3" xfId="20200"/>
    <cellStyle name="常规 9 4 2 5 2 3 2" xfId="27517"/>
    <cellStyle name="常规 9 4 2 5 3" xfId="20204"/>
    <cellStyle name="常规 9 4 2 5 4" xfId="20207"/>
    <cellStyle name="常规 9 4 2 6" xfId="27051"/>
    <cellStyle name="常规 9 4 3" xfId="1313"/>
    <cellStyle name="常规 9 4 3 2" xfId="27518"/>
    <cellStyle name="常规 9 4 3 2 2" xfId="27519"/>
    <cellStyle name="常规 9 4 3 2 2 2" xfId="14380"/>
    <cellStyle name="常规 9 4 3 2 2 2 2" xfId="27520"/>
    <cellStyle name="常规 9 4 3 2 2 2 3" xfId="27521"/>
    <cellStyle name="常规 9 4 3 2 2 3" xfId="27522"/>
    <cellStyle name="常规 9 4 3 2 2 3 2" xfId="23605"/>
    <cellStyle name="常规 9 4 3 2 2 3 2 2" xfId="27523"/>
    <cellStyle name="常规 9 4 3 2 2 3 2 3" xfId="27524"/>
    <cellStyle name="常规 9 4 3 2 2 3 2 3 2" xfId="27525"/>
    <cellStyle name="常规 9 4 3 2 2 3 3" xfId="27526"/>
    <cellStyle name="常规 9 4 3 2 2 3 4" xfId="27527"/>
    <cellStyle name="常规 9 4 3 2 2 4" xfId="27528"/>
    <cellStyle name="常规 9 4 3 2 3" xfId="27529"/>
    <cellStyle name="常规 9 4 3 2 3 2" xfId="14408"/>
    <cellStyle name="常规 9 4 3 2 3 2 2" xfId="26266"/>
    <cellStyle name="常规 9 4 3 2 3 2 3" xfId="27530"/>
    <cellStyle name="常规 9 4 3 2 3 2 3 2" xfId="4710"/>
    <cellStyle name="常规 9 4 3 2 3 3" xfId="27531"/>
    <cellStyle name="常规 9 4 3 2 3 4" xfId="27532"/>
    <cellStyle name="常规 9 4 3 2 4" xfId="25688"/>
    <cellStyle name="常规 9 4 3 3" xfId="24509"/>
    <cellStyle name="常规 9 4 3 3 2" xfId="24512"/>
    <cellStyle name="常规 9 4 3 3 2 2" xfId="24514"/>
    <cellStyle name="常规 9 4 3 3 2 2 2" xfId="24516"/>
    <cellStyle name="常规 9 4 3 3 2 2 2 2" xfId="27533"/>
    <cellStyle name="常规 9 4 3 3 2 2 2 3" xfId="27534"/>
    <cellStyle name="常规 9 4 3 3 2 2 2 3 2" xfId="27535"/>
    <cellStyle name="常规 9 4 3 3 2 2 3" xfId="24518"/>
    <cellStyle name="常规 9 4 3 3 2 2 4" xfId="27336"/>
    <cellStyle name="常规 9 4 3 3 2 3" xfId="24521"/>
    <cellStyle name="常规 9 4 3 3 3" xfId="24525"/>
    <cellStyle name="常规 9 4 3 3 3 2" xfId="27536"/>
    <cellStyle name="常规 9 4 3 3 3 2 2" xfId="27537"/>
    <cellStyle name="常规 9 4 3 3 3 2 3" xfId="27538"/>
    <cellStyle name="常规 9 4 3 3 3 3" xfId="27539"/>
    <cellStyle name="常规 9 4 3 3 3 3 2" xfId="27540"/>
    <cellStyle name="常规 9 4 3 3 3 3 2 2" xfId="17380"/>
    <cellStyle name="常规 9 4 3 3 3 3 2 3" xfId="17382"/>
    <cellStyle name="常规 9 4 3 3 3 3 2 3 2" xfId="29"/>
    <cellStyle name="常规 9 4 3 3 3 3 3" xfId="27541"/>
    <cellStyle name="常规 9 4 3 3 3 3 4" xfId="27373"/>
    <cellStyle name="常规 9 4 3 3 3 4" xfId="26697"/>
    <cellStyle name="常规 9 4 3 3 4" xfId="27542"/>
    <cellStyle name="常规 9 4 3 3 4 2" xfId="27543"/>
    <cellStyle name="常规 9 4 3 3 4 2 2" xfId="27544"/>
    <cellStyle name="常规 9 4 3 3 4 2 3" xfId="27545"/>
    <cellStyle name="常规 9 4 3 3 4 2 3 2" xfId="27546"/>
    <cellStyle name="常规 9 4 3 3 4 3" xfId="13413"/>
    <cellStyle name="常规 9 4 3 3 4 4" xfId="13526"/>
    <cellStyle name="常规 9 4 3 3 5" xfId="27547"/>
    <cellStyle name="常规 9 4 3 4" xfId="24528"/>
    <cellStyle name="常规 9 4 3 4 2" xfId="20757"/>
    <cellStyle name="常规 9 4 3 4 2 2" xfId="20760"/>
    <cellStyle name="常规 9 4 3 4 2 2 2" xfId="27548"/>
    <cellStyle name="常规 9 4 3 4 2 2 3" xfId="27549"/>
    <cellStyle name="常规 9 4 3 4 2 3" xfId="20763"/>
    <cellStyle name="常规 9 4 3 4 2 3 2" xfId="27551"/>
    <cellStyle name="常规 9 4 3 4 2 3 2 2" xfId="26915"/>
    <cellStyle name="常规 9 4 3 4 2 3 2 3" xfId="26949"/>
    <cellStyle name="常规 9 4 3 4 2 3 2 3 2" xfId="26951"/>
    <cellStyle name="常规 9 4 3 4 2 3 3" xfId="27552"/>
    <cellStyle name="常规 9 4 3 4 2 3 4" xfId="27444"/>
    <cellStyle name="常规 9 4 3 4 2 4" xfId="20766"/>
    <cellStyle name="常规 9 4 3 4 3" xfId="20769"/>
    <cellStyle name="常规 9 4 3 4 3 2" xfId="12380"/>
    <cellStyle name="常规 9 4 3 4 3 2 2" xfId="17223"/>
    <cellStyle name="常规 9 4 3 4 3 2 3" xfId="17227"/>
    <cellStyle name="常规 9 4 3 4 3 2 3 2" xfId="24530"/>
    <cellStyle name="常规 9 4 3 4 3 3" xfId="20772"/>
    <cellStyle name="常规 9 4 3 4 3 4" xfId="20775"/>
    <cellStyle name="常规 9 4 3 4 4" xfId="20778"/>
    <cellStyle name="常规 9 4 3 5" xfId="2833"/>
    <cellStyle name="常规 9 4 3 5 2" xfId="4386"/>
    <cellStyle name="常规 9 4 3 5 2 2" xfId="4232"/>
    <cellStyle name="常规 9 4 3 5 2 3" xfId="374"/>
    <cellStyle name="常规 9 4 3 5 3" xfId="2966"/>
    <cellStyle name="常规 9 4 3 5 3 2" xfId="12479"/>
    <cellStyle name="常规 9 4 3 5 3 2 2" xfId="27553"/>
    <cellStyle name="常规 9 4 3 5 3 2 3" xfId="27555"/>
    <cellStyle name="常规 9 4 3 5 3 2 3 2" xfId="27556"/>
    <cellStyle name="常规 9 4 3 5 3 3" xfId="20822"/>
    <cellStyle name="常规 9 4 3 5 3 4" xfId="20824"/>
    <cellStyle name="常规 9 4 3 5 4" xfId="5667"/>
    <cellStyle name="常规 9 4 3 6" xfId="3789"/>
    <cellStyle name="常规 9 4 3 6 2" xfId="15"/>
    <cellStyle name="常规 9 4 3 6 2 2" xfId="20868"/>
    <cellStyle name="常规 9 4 3 6 2 3" xfId="6174"/>
    <cellStyle name="常规 9 4 3 6 2 3 2" xfId="921"/>
    <cellStyle name="常规 9 4 3 6 3" xfId="3046"/>
    <cellStyle name="常规 9 4 3 6 4" xfId="20877"/>
    <cellStyle name="常规 9 4 3 7" xfId="3796"/>
    <cellStyle name="常规 9 4 4" xfId="12612"/>
    <cellStyle name="常规 9 4 4 2" xfId="27557"/>
    <cellStyle name="常规 9 4 4 2 2" xfId="27558"/>
    <cellStyle name="常规 9 4 4 2 2 2" xfId="5925"/>
    <cellStyle name="常规 9 4 4 2 2 2 2" xfId="16207"/>
    <cellStyle name="常规 9 4 4 2 2 2 3" xfId="16209"/>
    <cellStyle name="常规 9 4 4 2 2 2 3 2" xfId="27559"/>
    <cellStyle name="常规 9 4 4 2 2 3" xfId="27313"/>
    <cellStyle name="常规 9 4 4 2 2 4" xfId="27315"/>
    <cellStyle name="常规 9 4 4 2 3" xfId="27560"/>
    <cellStyle name="常规 9 4 4 3" xfId="24534"/>
    <cellStyle name="常规 9 4 4 3 2" xfId="24536"/>
    <cellStyle name="常规 9 4 4 3 2 2" xfId="24538"/>
    <cellStyle name="常规 9 4 4 3 2 3" xfId="24540"/>
    <cellStyle name="常规 9 4 4 3 3" xfId="24542"/>
    <cellStyle name="常规 9 4 4 3 3 2" xfId="24544"/>
    <cellStyle name="常规 9 4 4 3 3 2 2" xfId="20958"/>
    <cellStyle name="常规 9 4 4 3 3 2 3" xfId="20961"/>
    <cellStyle name="常规 9 4 4 3 3 2 3 2" xfId="24546"/>
    <cellStyle name="常规 9 4 4 3 3 3" xfId="24548"/>
    <cellStyle name="常规 9 4 4 3 3 4" xfId="24550"/>
    <cellStyle name="常规 9 4 4 3 4" xfId="24552"/>
    <cellStyle name="常规 9 4 4 4" xfId="24555"/>
    <cellStyle name="常规 9 4 4 4 2" xfId="21116"/>
    <cellStyle name="常规 9 4 4 4 2 2" xfId="21119"/>
    <cellStyle name="常规 9 4 4 4 2 3" xfId="21122"/>
    <cellStyle name="常规 9 4 4 4 2 3 2" xfId="21920"/>
    <cellStyle name="常规 9 4 4 4 3" xfId="21131"/>
    <cellStyle name="常规 9 4 4 4 4" xfId="21141"/>
    <cellStyle name="常规 9 4 4 5" xfId="703"/>
    <cellStyle name="常规 9 4 5" xfId="12617"/>
    <cellStyle name="常规 9 4 5 2" xfId="12332"/>
    <cellStyle name="常规 9 4 5 2 2" xfId="27562"/>
    <cellStyle name="常规 9 4 5 2 3" xfId="27563"/>
    <cellStyle name="常规 9 4 5 3" xfId="24558"/>
    <cellStyle name="常规 9 4 5 3 2" xfId="24560"/>
    <cellStyle name="常规 9 4 5 3 2 2" xfId="27564"/>
    <cellStyle name="常规 9 4 5 3 2 3" xfId="27565"/>
    <cellStyle name="常规 9 4 5 3 2 3 2" xfId="27566"/>
    <cellStyle name="常规 9 4 5 3 3" xfId="24562"/>
    <cellStyle name="常规 9 4 5 3 4" xfId="27568"/>
    <cellStyle name="常规 9 4 5 4" xfId="24565"/>
    <cellStyle name="常规 9 4 6" xfId="27569"/>
    <cellStyle name="常规 9 4 6 2" xfId="27570"/>
    <cellStyle name="常规 9 4 6 2 2" xfId="27571"/>
    <cellStyle name="常规 9 4 6 2 3" xfId="27572"/>
    <cellStyle name="常规 9 4 6 2 3 2" xfId="27573"/>
    <cellStyle name="常规 9 4 6 3" xfId="24570"/>
    <cellStyle name="常规 9 4 6 4" xfId="24574"/>
    <cellStyle name="常规 9 4 7" xfId="27574"/>
    <cellStyle name="常规 9 5" xfId="3550"/>
    <cellStyle name="常规 9 5 2" xfId="27576"/>
    <cellStyle name="常规 9 5 2 2" xfId="27578"/>
    <cellStyle name="常规 9 5 2 2 2" xfId="18604"/>
    <cellStyle name="常规 9 5 2 2 2 2" xfId="20135"/>
    <cellStyle name="常规 9 5 2 2 2 3" xfId="20953"/>
    <cellStyle name="常规 9 5 2 2 3" xfId="18608"/>
    <cellStyle name="常规 9 5 2 2 3 2" xfId="20146"/>
    <cellStyle name="常规 9 5 2 2 3 2 2" xfId="22814"/>
    <cellStyle name="常规 9 5 2 2 3 2 3" xfId="27579"/>
    <cellStyle name="常规 9 5 2 2 3 2 3 2" xfId="27581"/>
    <cellStyle name="常规 9 5 2 2 3 3" xfId="9746"/>
    <cellStyle name="常规 9 5 2 2 3 4" xfId="9770"/>
    <cellStyle name="常规 9 5 2 2 4" xfId="2266"/>
    <cellStyle name="常规 9 5 2 3" xfId="27583"/>
    <cellStyle name="常规 9 5 2 3 2" xfId="18613"/>
    <cellStyle name="常规 9 5 2 3 2 2" xfId="21227"/>
    <cellStyle name="常规 9 5 2 3 2 3" xfId="21229"/>
    <cellStyle name="常规 9 5 2 3 2 3 2" xfId="27584"/>
    <cellStyle name="常规 9 5 2 3 3" xfId="18616"/>
    <cellStyle name="常规 9 5 2 3 4" xfId="2630"/>
    <cellStyle name="常规 9 5 2 4" xfId="26065"/>
    <cellStyle name="常规 9 5 3" xfId="27586"/>
    <cellStyle name="常规 9 5 3 2" xfId="25135"/>
    <cellStyle name="常规 9 5 3 2 2" xfId="22115"/>
    <cellStyle name="常规 9 5 3 2 2 2" xfId="20254"/>
    <cellStyle name="常规 9 5 3 2 2 2 2" xfId="27587"/>
    <cellStyle name="常规 9 5 3 2 2 2 3" xfId="27588"/>
    <cellStyle name="常规 9 5 3 2 2 2 3 2" xfId="27589"/>
    <cellStyle name="常规 9 5 3 2 2 3" xfId="22117"/>
    <cellStyle name="常规 9 5 3 2 2 4" xfId="22119"/>
    <cellStyle name="常规 9 5 3 2 3" xfId="22127"/>
    <cellStyle name="常规 9 5 3 3" xfId="24581"/>
    <cellStyle name="常规 9 5 3 3 2" xfId="5041"/>
    <cellStyle name="常规 9 5 3 3 2 2" xfId="5052"/>
    <cellStyle name="常规 9 5 3 3 2 3" xfId="5078"/>
    <cellStyle name="常规 9 5 3 3 3" xfId="5088"/>
    <cellStyle name="常规 9 5 3 3 3 2" xfId="5099"/>
    <cellStyle name="常规 9 5 3 3 3 2 2" xfId="6065"/>
    <cellStyle name="常规 9 5 3 3 3 2 3" xfId="3069"/>
    <cellStyle name="常规 9 5 3 3 3 2 3 2" xfId="1570"/>
    <cellStyle name="常规 9 5 3 3 3 3" xfId="312"/>
    <cellStyle name="常规 9 5 3 3 3 4" xfId="6077"/>
    <cellStyle name="常规 9 5 3 3 4" xfId="5113"/>
    <cellStyle name="常规 9 5 3 4" xfId="24584"/>
    <cellStyle name="常规 9 5 3 4 2" xfId="22067"/>
    <cellStyle name="常规 9 5 3 4 2 2" xfId="19887"/>
    <cellStyle name="常规 9 5 3 4 2 3" xfId="19891"/>
    <cellStyle name="常规 9 5 3 4 2 3 2" xfId="27590"/>
    <cellStyle name="常规 9 5 3 4 3" xfId="22071"/>
    <cellStyle name="常规 9 5 3 4 4" xfId="22081"/>
    <cellStyle name="常规 9 5 3 5" xfId="1327"/>
    <cellStyle name="常规 9 5 4" xfId="24312"/>
    <cellStyle name="常规 9 5 4 2" xfId="27591"/>
    <cellStyle name="常规 9 5 4 2 2" xfId="22927"/>
    <cellStyle name="常规 9 5 4 2 2 2" xfId="5172"/>
    <cellStyle name="常规 9 5 4 2 2 3" xfId="22929"/>
    <cellStyle name="常规 9 5 4 2 3" xfId="22938"/>
    <cellStyle name="常规 9 5 4 2 3 2" xfId="22941"/>
    <cellStyle name="常规 9 5 4 2 3 2 2" xfId="27592"/>
    <cellStyle name="常规 9 5 4 2 3 2 3" xfId="27593"/>
    <cellStyle name="常规 9 5 4 2 3 2 3 2" xfId="27594"/>
    <cellStyle name="常规 9 5 4 2 3 3" xfId="22943"/>
    <cellStyle name="常规 9 5 4 2 3 4" xfId="22945"/>
    <cellStyle name="常规 9 5 4 2 4" xfId="22951"/>
    <cellStyle name="常规 9 5 4 3" xfId="24587"/>
    <cellStyle name="常规 9 5 4 3 2" xfId="5182"/>
    <cellStyle name="常规 9 5 4 3 2 2" xfId="6415"/>
    <cellStyle name="常规 9 5 4 3 2 3" xfId="6469"/>
    <cellStyle name="常规 9 5 4 3 2 3 2" xfId="6472"/>
    <cellStyle name="常规 9 5 4 3 3" xfId="4718"/>
    <cellStyle name="常规 9 5 4 3 4" xfId="4730"/>
    <cellStyle name="常规 9 5 4 4" xfId="24590"/>
    <cellStyle name="常规 9 5 5" xfId="24314"/>
    <cellStyle name="常规 9 5 5 2" xfId="24316"/>
    <cellStyle name="常规 9 5 5 2 2" xfId="23505"/>
    <cellStyle name="常规 9 5 5 2 3" xfId="23512"/>
    <cellStyle name="常规 9 5 5 3" xfId="24593"/>
    <cellStyle name="常规 9 5 5 3 2" xfId="6623"/>
    <cellStyle name="常规 9 5 5 3 2 2" xfId="6632"/>
    <cellStyle name="常规 9 5 5 3 2 3" xfId="6691"/>
    <cellStyle name="常规 9 5 5 3 2 3 2" xfId="1916"/>
    <cellStyle name="常规 9 5 5 3 3" xfId="6726"/>
    <cellStyle name="常规 9 5 5 3 4" xfId="6766"/>
    <cellStyle name="常规 9 5 5 4" xfId="24595"/>
    <cellStyle name="常规 9 5 6" xfId="27595"/>
    <cellStyle name="常规 9 5 6 2" xfId="27596"/>
    <cellStyle name="常规 9 5 6 2 2" xfId="23819"/>
    <cellStyle name="常规 9 5 6 2 3" xfId="23821"/>
    <cellStyle name="常规 9 5 6 2 3 2" xfId="27597"/>
    <cellStyle name="常规 9 5 6 3" xfId="27599"/>
    <cellStyle name="常规 9 5 6 4" xfId="27601"/>
    <cellStyle name="常规 9 5 7" xfId="27602"/>
    <cellStyle name="常规 9 6" xfId="6530"/>
    <cellStyle name="常规 9 6 2" xfId="8280"/>
    <cellStyle name="常规 9 6 2 2" xfId="27603"/>
    <cellStyle name="常规 9 6 2 2 2" xfId="27604"/>
    <cellStyle name="常规 9 6 2 2 2 2" xfId="20800"/>
    <cellStyle name="常规 9 6 2 2 2 3" xfId="27605"/>
    <cellStyle name="常规 9 6 2 2 2 3 2" xfId="27606"/>
    <cellStyle name="常规 9 6 2 2 3" xfId="27607"/>
    <cellStyle name="常规 9 6 2 2 4" xfId="3179"/>
    <cellStyle name="常规 9 6 2 3" xfId="20829"/>
    <cellStyle name="常规 9 6 3" xfId="1486"/>
    <cellStyle name="常规 9 6 3 2" xfId="27608"/>
    <cellStyle name="常规 9 6 3 2 2" xfId="27609"/>
    <cellStyle name="常规 9 6 3 2 3" xfId="27610"/>
    <cellStyle name="常规 9 6 3 3" xfId="24600"/>
    <cellStyle name="常规 9 6 3 3 2" xfId="24602"/>
    <cellStyle name="常规 9 6 3 3 2 2" xfId="13489"/>
    <cellStyle name="常规 9 6 3 3 2 3" xfId="13496"/>
    <cellStyle name="常规 9 6 3 3 2 3 2" xfId="24604"/>
    <cellStyle name="常规 9 6 3 3 3" xfId="24606"/>
    <cellStyle name="常规 9 6 3 3 4" xfId="24608"/>
    <cellStyle name="常规 9 6 3 4" xfId="24610"/>
    <cellStyle name="常规 9 6 4" xfId="27611"/>
    <cellStyle name="常规 9 6 4 2" xfId="27612"/>
    <cellStyle name="常规 9 6 4 2 2" xfId="27613"/>
    <cellStyle name="常规 9 6 4 2 3" xfId="27614"/>
    <cellStyle name="常规 9 6 4 2 3 2" xfId="27615"/>
    <cellStyle name="常规 9 6 4 3" xfId="24613"/>
    <cellStyle name="常规 9 6 4 4" xfId="24618"/>
    <cellStyle name="常规 9 6 5" xfId="27616"/>
    <cellStyle name="常规 9 7" xfId="8292"/>
    <cellStyle name="常规 9 7 2" xfId="27447"/>
    <cellStyle name="常规 9 7 2 2" xfId="27617"/>
    <cellStyle name="常规 9 7 2 2 2" xfId="27618"/>
    <cellStyle name="常规 9 7 2 2 2 2" xfId="27620"/>
    <cellStyle name="常规 9 7 2 2 2 3" xfId="24857"/>
    <cellStyle name="常规 9 7 2 2 2 3 2" xfId="24860"/>
    <cellStyle name="常规 9 7 2 2 3" xfId="27621"/>
    <cellStyle name="常规 9 7 2 2 4" xfId="3198"/>
    <cellStyle name="常规 9 7 2 3" xfId="27622"/>
    <cellStyle name="常规 9 7 3" xfId="27449"/>
    <cellStyle name="常规 9 7 3 2" xfId="1599"/>
    <cellStyle name="常规 9 7 3 2 2" xfId="27623"/>
    <cellStyle name="常规 9 7 3 2 3" xfId="27624"/>
    <cellStyle name="常规 9 7 3 3" xfId="24638"/>
    <cellStyle name="常规 9 7 3 3 2" xfId="24641"/>
    <cellStyle name="常规 9 7 3 3 2 2" xfId="24644"/>
    <cellStyle name="常规 9 7 3 3 2 3" xfId="24647"/>
    <cellStyle name="常规 9 7 3 3 2 3 2" xfId="24650"/>
    <cellStyle name="常规 9 7 3 3 3" xfId="24653"/>
    <cellStyle name="常规 9 7 3 3 4" xfId="24656"/>
    <cellStyle name="常规 9 7 3 4" xfId="24658"/>
    <cellStyle name="常规 9 7 4" xfId="27625"/>
    <cellStyle name="常规 9 7 4 2" xfId="27626"/>
    <cellStyle name="常规 9 7 4 2 2" xfId="27627"/>
    <cellStyle name="常规 9 7 4 2 3" xfId="27628"/>
    <cellStyle name="常规 9 7 4 2 3 2" xfId="27629"/>
    <cellStyle name="常规 9 7 4 3" xfId="24660"/>
    <cellStyle name="常规 9 7 4 4" xfId="24666"/>
    <cellStyle name="常规 9 7 5" xfId="27630"/>
    <cellStyle name="常规 9 8" xfId="27451"/>
    <cellStyle name="常规 9 8 2" xfId="27631"/>
    <cellStyle name="常规 9 8 2 2" xfId="25923"/>
    <cellStyle name="常规 9 8 2 3" xfId="27632"/>
    <cellStyle name="常规 9 8 3" xfId="27633"/>
    <cellStyle name="常规 9 8 3 2" xfId="26465"/>
    <cellStyle name="常规 9 8 3 2 2" xfId="26467"/>
    <cellStyle name="常规 9 8 3 2 3" xfId="26472"/>
    <cellStyle name="常规 9 8 3 2 3 2" xfId="27634"/>
    <cellStyle name="常规 9 8 3 3" xfId="24686"/>
    <cellStyle name="常规 9 8 3 4" xfId="24689"/>
    <cellStyle name="常规 9 8 4" xfId="27635"/>
    <cellStyle name="常规 9 9" xfId="27453"/>
    <cellStyle name="常规 9 9 2" xfId="27636"/>
    <cellStyle name="常规 9 9 2 2" xfId="11067"/>
    <cellStyle name="常规 9 9 2 3" xfId="17557"/>
    <cellStyle name="常规 9 9 2 3 2" xfId="26852"/>
    <cellStyle name="常规 9 9 3" xfId="27637"/>
    <cellStyle name="常规 9 9 4" xfId="27638"/>
    <cellStyle name="好 2" xfId="27639"/>
    <cellStyle name="好 2 10" xfId="27640"/>
    <cellStyle name="好 2 2" xfId="541"/>
    <cellStyle name="好 2 2 2" xfId="11559"/>
    <cellStyle name="好 2 2 2 2" xfId="27641"/>
    <cellStyle name="好 2 2 2 2 2" xfId="27642"/>
    <cellStyle name="好 2 2 2 2 2 2" xfId="27643"/>
    <cellStyle name="好 2 2 2 2 2 2 2" xfId="27645"/>
    <cellStyle name="好 2 2 2 2 2 2 3" xfId="27646"/>
    <cellStyle name="好 2 2 2 2 2 3" xfId="27647"/>
    <cellStyle name="好 2 2 2 2 3" xfId="27648"/>
    <cellStyle name="好 2 2 2 2 3 2" xfId="27649"/>
    <cellStyle name="好 2 2 2 2 3 3" xfId="22395"/>
    <cellStyle name="好 2 2 2 2 4" xfId="27650"/>
    <cellStyle name="好 2 2 2 3" xfId="7798"/>
    <cellStyle name="好 2 2 2 3 2" xfId="27651"/>
    <cellStyle name="好 2 2 2 3 2 2" xfId="27652"/>
    <cellStyle name="好 2 2 2 3 2 3" xfId="27653"/>
    <cellStyle name="好 2 2 2 3 3" xfId="27654"/>
    <cellStyle name="好 2 2 2 4" xfId="7718"/>
    <cellStyle name="好 2 2 2 4 2" xfId="27655"/>
    <cellStyle name="好 2 2 2 4 3" xfId="27656"/>
    <cellStyle name="好 2 2 2 5" xfId="27657"/>
    <cellStyle name="好 2 2 3" xfId="6388"/>
    <cellStyle name="好 2 2 3 2" xfId="27658"/>
    <cellStyle name="好 2 2 3 2 2" xfId="25966"/>
    <cellStyle name="好 2 2 3 2 2 2" xfId="27659"/>
    <cellStyle name="好 2 2 3 2 2 3" xfId="27661"/>
    <cellStyle name="好 2 2 3 2 3" xfId="25969"/>
    <cellStyle name="好 2 2 3 3" xfId="27662"/>
    <cellStyle name="好 2 2 3 3 2" xfId="27663"/>
    <cellStyle name="好 2 2 3 3 3" xfId="27664"/>
    <cellStyle name="好 2 2 3 4" xfId="27665"/>
    <cellStyle name="好 2 2 4" xfId="6390"/>
    <cellStyle name="好 2 2 4 2" xfId="10247"/>
    <cellStyle name="好 2 2 4 2 2" xfId="27667"/>
    <cellStyle name="好 2 2 4 2 2 2" xfId="15524"/>
    <cellStyle name="好 2 2 4 2 2 3" xfId="15527"/>
    <cellStyle name="好 2 2 4 2 3" xfId="27668"/>
    <cellStyle name="好 2 2 4 3" xfId="27669"/>
    <cellStyle name="好 2 2 4 3 2" xfId="27671"/>
    <cellStyle name="好 2 2 4 3 3" xfId="27672"/>
    <cellStyle name="好 2 2 4 4" xfId="27673"/>
    <cellStyle name="好 2 2 5" xfId="18964"/>
    <cellStyle name="好 2 2 5 2" xfId="10254"/>
    <cellStyle name="好 2 2 5 2 2" xfId="27674"/>
    <cellStyle name="好 2 2 5 2 3" xfId="26083"/>
    <cellStyle name="好 2 2 5 3" xfId="27675"/>
    <cellStyle name="好 2 2 6" xfId="18966"/>
    <cellStyle name="好 2 2 6 2" xfId="27676"/>
    <cellStyle name="好 2 2 6 3" xfId="27677"/>
    <cellStyle name="好 2 2 7" xfId="18968"/>
    <cellStyle name="好 2 3" xfId="7409"/>
    <cellStyle name="好 2 3 2" xfId="7421"/>
    <cellStyle name="好 2 3 2 2" xfId="27678"/>
    <cellStyle name="好 2 3 2 2 2" xfId="27679"/>
    <cellStyle name="好 2 3 2 2 2 2" xfId="23328"/>
    <cellStyle name="好 2 3 2 2 2 2 2" xfId="27681"/>
    <cellStyle name="好 2 3 2 2 2 2 3" xfId="27683"/>
    <cellStyle name="好 2 3 2 2 2 3" xfId="23330"/>
    <cellStyle name="好 2 3 2 2 3" xfId="27684"/>
    <cellStyle name="好 2 3 2 2 3 2" xfId="23336"/>
    <cellStyle name="好 2 3 2 2 3 3" xfId="23338"/>
    <cellStyle name="好 2 3 2 2 4" xfId="27685"/>
    <cellStyle name="好 2 3 2 3" xfId="7458"/>
    <cellStyle name="好 2 3 2 3 2" xfId="3814"/>
    <cellStyle name="好 2 3 2 3 2 2" xfId="23482"/>
    <cellStyle name="好 2 3 2 3 2 3" xfId="23484"/>
    <cellStyle name="好 2 3 2 3 3" xfId="27686"/>
    <cellStyle name="好 2 3 2 4" xfId="7469"/>
    <cellStyle name="好 2 3 2 4 2" xfId="3836"/>
    <cellStyle name="好 2 3 2 4 3" xfId="27687"/>
    <cellStyle name="好 2 3 2 5" xfId="27689"/>
    <cellStyle name="好 2 3 3" xfId="7518"/>
    <cellStyle name="好 2 3 3 2" xfId="27690"/>
    <cellStyle name="好 2 3 3 2 2" xfId="27691"/>
    <cellStyle name="好 2 3 3 2 2 2" xfId="1527"/>
    <cellStyle name="好 2 3 3 2 2 3" xfId="23776"/>
    <cellStyle name="好 2 3 3 2 3" xfId="27693"/>
    <cellStyle name="好 2 3 3 3" xfId="27694"/>
    <cellStyle name="好 2 3 3 3 2" xfId="3876"/>
    <cellStyle name="好 2 3 3 3 3" xfId="27695"/>
    <cellStyle name="好 2 3 3 4" xfId="27696"/>
    <cellStyle name="好 2 3 4" xfId="7685"/>
    <cellStyle name="好 2 3 4 2" xfId="7691"/>
    <cellStyle name="好 2 3 4 2 2" xfId="27697"/>
    <cellStyle name="好 2 3 4 2 2 2" xfId="7168"/>
    <cellStyle name="好 2 3 4 2 2 3" xfId="7712"/>
    <cellStyle name="好 2 3 4 2 3" xfId="27698"/>
    <cellStyle name="好 2 3 4 3" xfId="27699"/>
    <cellStyle name="好 2 3 4 3 2" xfId="3118"/>
    <cellStyle name="好 2 3 4 3 3" xfId="27700"/>
    <cellStyle name="好 2 3 4 4" xfId="27702"/>
    <cellStyle name="好 2 3 5" xfId="7834"/>
    <cellStyle name="好 2 3 5 2" xfId="7839"/>
    <cellStyle name="好 2 3 5 2 2" xfId="27703"/>
    <cellStyle name="好 2 3 5 2 3" xfId="27704"/>
    <cellStyle name="好 2 3 5 3" xfId="27705"/>
    <cellStyle name="好 2 3 6" xfId="7876"/>
    <cellStyle name="好 2 3 6 2" xfId="3260"/>
    <cellStyle name="好 2 3 6 3" xfId="3675"/>
    <cellStyle name="好 2 3 7" xfId="3915"/>
    <cellStyle name="好 2 4" xfId="11561"/>
    <cellStyle name="好 2 4 2" xfId="18974"/>
    <cellStyle name="好 2 4 2 2" xfId="16474"/>
    <cellStyle name="好 2 4 2 2 2" xfId="20246"/>
    <cellStyle name="好 2 4 2 2 2 2" xfId="27706"/>
    <cellStyle name="好 2 4 2 2 2 2 2" xfId="5517"/>
    <cellStyle name="好 2 4 2 2 2 2 3" xfId="27707"/>
    <cellStyle name="好 2 4 2 2 2 3" xfId="27708"/>
    <cellStyle name="好 2 4 2 2 3" xfId="20248"/>
    <cellStyle name="好 2 4 2 2 3 2" xfId="18149"/>
    <cellStyle name="好 2 4 2 2 3 3" xfId="18153"/>
    <cellStyle name="好 2 4 2 2 4" xfId="27709"/>
    <cellStyle name="好 2 4 2 3" xfId="12095"/>
    <cellStyle name="好 2 4 2 3 2" xfId="27710"/>
    <cellStyle name="好 2 4 2 3 2 2" xfId="27711"/>
    <cellStyle name="好 2 4 2 3 2 3" xfId="27712"/>
    <cellStyle name="好 2 4 2 3 3" xfId="27713"/>
    <cellStyle name="好 2 4 2 4" xfId="10989"/>
    <cellStyle name="好 2 4 2 4 2" xfId="27714"/>
    <cellStyle name="好 2 4 2 4 3" xfId="27715"/>
    <cellStyle name="好 2 4 2 5" xfId="20798"/>
    <cellStyle name="好 2 4 3" xfId="7021"/>
    <cellStyle name="好 2 4 3 2" xfId="16490"/>
    <cellStyle name="好 2 4 3 2 2" xfId="27716"/>
    <cellStyle name="好 2 4 3 2 2 2" xfId="13139"/>
    <cellStyle name="好 2 4 3 2 2 3" xfId="20336"/>
    <cellStyle name="好 2 4 3 2 3" xfId="27717"/>
    <cellStyle name="好 2 4 3 3" xfId="16494"/>
    <cellStyle name="好 2 4 3 3 2" xfId="27718"/>
    <cellStyle name="好 2 4 3 3 3" xfId="27719"/>
    <cellStyle name="好 2 4 3 4" xfId="16498"/>
    <cellStyle name="好 2 4 4" xfId="7024"/>
    <cellStyle name="好 2 4 4 2" xfId="10269"/>
    <cellStyle name="好 2 4 4 2 2" xfId="18439"/>
    <cellStyle name="好 2 4 4 2 2 2" xfId="13094"/>
    <cellStyle name="好 2 4 4 2 2 3" xfId="13099"/>
    <cellStyle name="好 2 4 4 2 3" xfId="18442"/>
    <cellStyle name="好 2 4 4 3" xfId="16510"/>
    <cellStyle name="好 2 4 4 3 2" xfId="18454"/>
    <cellStyle name="好 2 4 4 3 3" xfId="18457"/>
    <cellStyle name="好 2 4 4 4" xfId="16514"/>
    <cellStyle name="好 2 4 5" xfId="18976"/>
    <cellStyle name="好 2 4 5 2" xfId="16529"/>
    <cellStyle name="好 2 4 5 2 2" xfId="27721"/>
    <cellStyle name="好 2 4 5 2 3" xfId="27723"/>
    <cellStyle name="好 2 4 5 3" xfId="16533"/>
    <cellStyle name="好 2 4 6" xfId="18978"/>
    <cellStyle name="好 2 4 6 2" xfId="16552"/>
    <cellStyle name="好 2 4 6 3" xfId="16556"/>
    <cellStyle name="好 2 4 7" xfId="8425"/>
    <cellStyle name="好 2 5" xfId="14605"/>
    <cellStyle name="好 2 5 2" xfId="27724"/>
    <cellStyle name="好 2 5 2 2" xfId="26318"/>
    <cellStyle name="好 2 5 2 2 2" xfId="23527"/>
    <cellStyle name="好 2 5 2 2 2 2" xfId="11611"/>
    <cellStyle name="好 2 5 2 2 2 3" xfId="7681"/>
    <cellStyle name="好 2 5 2 2 3" xfId="23529"/>
    <cellStyle name="好 2 5 2 3" xfId="26320"/>
    <cellStyle name="好 2 5 2 3 2" xfId="27725"/>
    <cellStyle name="好 2 5 2 3 3" xfId="27726"/>
    <cellStyle name="好 2 5 2 4" xfId="27727"/>
    <cellStyle name="好 2 5 3" xfId="27728"/>
    <cellStyle name="好 2 5 3 2" xfId="27729"/>
    <cellStyle name="好 2 5 3 2 2" xfId="27730"/>
    <cellStyle name="好 2 5 3 2 3" xfId="27731"/>
    <cellStyle name="好 2 5 3 3" xfId="27732"/>
    <cellStyle name="好 2 5 4" xfId="27733"/>
    <cellStyle name="好 2 5 4 2" xfId="16665"/>
    <cellStyle name="好 2 5 4 3" xfId="16668"/>
    <cellStyle name="好 2 5 5" xfId="27734"/>
    <cellStyle name="好 2 6" xfId="5387"/>
    <cellStyle name="好 2 6 2" xfId="27735"/>
    <cellStyle name="好 2 6 2 2" xfId="15466"/>
    <cellStyle name="好 2 6 2 2 2" xfId="11962"/>
    <cellStyle name="好 2 6 2 2 3" xfId="19508"/>
    <cellStyle name="好 2 6 2 3" xfId="15470"/>
    <cellStyle name="好 2 6 3" xfId="27736"/>
    <cellStyle name="好 2 6 3 2" xfId="19601"/>
    <cellStyle name="好 2 6 3 3" xfId="19604"/>
    <cellStyle name="好 2 6 4" xfId="27737"/>
    <cellStyle name="好 2 7" xfId="5393"/>
    <cellStyle name="好 2 7 2" xfId="27047"/>
    <cellStyle name="好 2 7 2 2" xfId="20191"/>
    <cellStyle name="好 2 7 2 2 2" xfId="20195"/>
    <cellStyle name="好 2 7 2 2 3" xfId="20199"/>
    <cellStyle name="好 2 7 2 3" xfId="20203"/>
    <cellStyle name="好 2 7 3" xfId="27050"/>
    <cellStyle name="好 2 7 3 2" xfId="20309"/>
    <cellStyle name="好 2 7 3 3" xfId="20319"/>
    <cellStyle name="好 2 7 4" xfId="27738"/>
    <cellStyle name="好 2 8" xfId="5167"/>
    <cellStyle name="好 2 8 2" xfId="2832"/>
    <cellStyle name="好 2 8 2 2" xfId="4385"/>
    <cellStyle name="好 2 8 2 3" xfId="2965"/>
    <cellStyle name="好 2 8 3" xfId="3788"/>
    <cellStyle name="好 2 9" xfId="1451"/>
    <cellStyle name="好 2 9 2" xfId="702"/>
    <cellStyle name="汇总 10" xfId="3735"/>
    <cellStyle name="汇总 2" xfId="14338"/>
    <cellStyle name="汇总 2 2" xfId="20055"/>
    <cellStyle name="汇总 2 2 2" xfId="27739"/>
    <cellStyle name="汇总 2 2 2 2" xfId="27741"/>
    <cellStyle name="汇总 2 2 2 2 2" xfId="12053"/>
    <cellStyle name="汇总 2 2 2 2 2 2" xfId="27743"/>
    <cellStyle name="汇总 2 2 2 2 2 3" xfId="1830"/>
    <cellStyle name="汇总 2 2 2 2 3" xfId="27745"/>
    <cellStyle name="汇总 2 2 2 3" xfId="27747"/>
    <cellStyle name="汇总 2 2 2 3 2" xfId="12146"/>
    <cellStyle name="汇总 2 2 2 3 3" xfId="16229"/>
    <cellStyle name="汇总 2 2 2 4" xfId="27748"/>
    <cellStyle name="汇总 2 2 3" xfId="27749"/>
    <cellStyle name="汇总 2 2 3 2" xfId="27750"/>
    <cellStyle name="汇总 2 2 3 2 2" xfId="27751"/>
    <cellStyle name="汇总 2 2 3 2 3" xfId="27752"/>
    <cellStyle name="汇总 2 2 3 3" xfId="27753"/>
    <cellStyle name="汇总 2 2 4" xfId="27754"/>
    <cellStyle name="汇总 2 2 4 2" xfId="17226"/>
    <cellStyle name="汇总 2 2 4 3" xfId="17230"/>
    <cellStyle name="汇总 2 2 5" xfId="27755"/>
    <cellStyle name="汇总 2 3" xfId="20057"/>
    <cellStyle name="汇总 2 3 2" xfId="27756"/>
    <cellStyle name="汇总 2 3 2 2" xfId="27757"/>
    <cellStyle name="汇总 2 3 2 2 2" xfId="27758"/>
    <cellStyle name="汇总 2 3 2 2 3" xfId="27759"/>
    <cellStyle name="汇总 2 3 2 3" xfId="27760"/>
    <cellStyle name="汇总 2 3 3" xfId="27761"/>
    <cellStyle name="汇总 2 3 3 2" xfId="27762"/>
    <cellStyle name="汇总 2 3 3 3" xfId="27763"/>
    <cellStyle name="汇总 2 3 4" xfId="27764"/>
    <cellStyle name="汇总 2 4" xfId="5781"/>
    <cellStyle name="汇总 2 4 2" xfId="5784"/>
    <cellStyle name="汇总 2 4 2 2" xfId="5790"/>
    <cellStyle name="汇总 2 4 2 2 2" xfId="5794"/>
    <cellStyle name="汇总 2 4 2 2 3" xfId="5798"/>
    <cellStyle name="汇总 2 4 2 3" xfId="27765"/>
    <cellStyle name="汇总 2 4 3" xfId="23585"/>
    <cellStyle name="汇总 2 4 3 2" xfId="2197"/>
    <cellStyle name="汇总 2 4 3 3" xfId="27766"/>
    <cellStyle name="汇总 2 4 4" xfId="415"/>
    <cellStyle name="汇总 2 5" xfId="5805"/>
    <cellStyle name="汇总 2 5 2" xfId="5813"/>
    <cellStyle name="汇总 2 5 2 2" xfId="5816"/>
    <cellStyle name="汇总 2 5 2 3" xfId="27767"/>
    <cellStyle name="汇总 2 5 3" xfId="27768"/>
    <cellStyle name="汇总 2 6" xfId="5829"/>
    <cellStyle name="汇总 2 6 2" xfId="27769"/>
    <cellStyle name="汇总 2 6 3" xfId="27770"/>
    <cellStyle name="汇总 2 7" xfId="27771"/>
    <cellStyle name="汇总 3" xfId="14342"/>
    <cellStyle name="汇总 3 2" xfId="27772"/>
    <cellStyle name="汇总 3 2 2" xfId="27773"/>
    <cellStyle name="汇总 3 2 2 2" xfId="27774"/>
    <cellStyle name="汇总 3 2 2 2 2" xfId="12452"/>
    <cellStyle name="汇总 3 2 2 2 2 2" xfId="12455"/>
    <cellStyle name="汇总 3 2 2 2 2 3" xfId="4071"/>
    <cellStyle name="汇总 3 2 2 2 3" xfId="12459"/>
    <cellStyle name="汇总 3 2 2 3" xfId="27775"/>
    <cellStyle name="汇总 3 2 2 3 2" xfId="21937"/>
    <cellStyle name="汇总 3 2 2 3 3" xfId="22150"/>
    <cellStyle name="汇总 3 2 2 4" xfId="27776"/>
    <cellStyle name="汇总 3 2 3" xfId="27777"/>
    <cellStyle name="汇总 3 2 3 2" xfId="27778"/>
    <cellStyle name="汇总 3 2 3 2 2" xfId="27779"/>
    <cellStyle name="汇总 3 2 3 2 3" xfId="27780"/>
    <cellStyle name="汇总 3 2 3 3" xfId="27781"/>
    <cellStyle name="汇总 3 2 4" xfId="27782"/>
    <cellStyle name="汇总 3 2 4 2" xfId="27554"/>
    <cellStyle name="汇总 3 2 4 3" xfId="27561"/>
    <cellStyle name="汇总 3 2 5" xfId="27783"/>
    <cellStyle name="汇总 3 3" xfId="25755"/>
    <cellStyle name="汇总 3 3 2" xfId="27784"/>
    <cellStyle name="汇总 3 3 2 2" xfId="27785"/>
    <cellStyle name="汇总 3 3 2 2 2" xfId="27786"/>
    <cellStyle name="汇总 3 3 2 2 3" xfId="27787"/>
    <cellStyle name="汇总 3 3 2 3" xfId="27788"/>
    <cellStyle name="汇总 3 3 3" xfId="27789"/>
    <cellStyle name="汇总 3 3 3 2" xfId="27790"/>
    <cellStyle name="汇总 3 3 3 3" xfId="27791"/>
    <cellStyle name="汇总 3 3 4" xfId="23252"/>
    <cellStyle name="汇总 3 4" xfId="5841"/>
    <cellStyle name="汇总 3 4 2" xfId="27792"/>
    <cellStyle name="汇总 3 4 2 2" xfId="5851"/>
    <cellStyle name="汇总 3 4 2 2 2" xfId="27793"/>
    <cellStyle name="汇总 3 4 2 2 3" xfId="27794"/>
    <cellStyle name="汇总 3 4 2 3" xfId="1094"/>
    <cellStyle name="汇总 3 4 3" xfId="27795"/>
    <cellStyle name="汇总 3 4 3 2" xfId="17772"/>
    <cellStyle name="汇总 3 4 3 3" xfId="27796"/>
    <cellStyle name="汇总 3 4 4" xfId="1633"/>
    <cellStyle name="汇总 3 5" xfId="5857"/>
    <cellStyle name="汇总 3 5 2" xfId="27797"/>
    <cellStyle name="汇总 3 5 2 2" xfId="21175"/>
    <cellStyle name="汇总 3 5 2 3" xfId="27798"/>
    <cellStyle name="汇总 3 5 3" xfId="27799"/>
    <cellStyle name="汇总 3 6" xfId="449"/>
    <cellStyle name="汇总 3 6 2" xfId="19408"/>
    <cellStyle name="汇总 3 6 3" xfId="27800"/>
    <cellStyle name="汇总 3 7" xfId="20782"/>
    <cellStyle name="汇总 4" xfId="27801"/>
    <cellStyle name="汇总 4 2" xfId="27802"/>
    <cellStyle name="汇总 4 2 2" xfId="18706"/>
    <cellStyle name="汇总 4 2 2 2" xfId="23209"/>
    <cellStyle name="汇总 4 2 2 2 2" xfId="23211"/>
    <cellStyle name="汇总 4 2 2 2 2 2" xfId="27804"/>
    <cellStyle name="汇总 4 2 2 2 2 3" xfId="4330"/>
    <cellStyle name="汇总 4 2 2 2 3" xfId="23213"/>
    <cellStyle name="汇总 4 2 2 3" xfId="23218"/>
    <cellStyle name="汇总 4 2 2 3 2" xfId="23220"/>
    <cellStyle name="汇总 4 2 2 3 3" xfId="23222"/>
    <cellStyle name="汇总 4 2 2 4" xfId="23228"/>
    <cellStyle name="汇总 4 2 3" xfId="9349"/>
    <cellStyle name="汇总 4 2 3 2" xfId="23343"/>
    <cellStyle name="汇总 4 2 3 2 2" xfId="23345"/>
    <cellStyle name="汇总 4 2 3 2 3" xfId="23347"/>
    <cellStyle name="汇总 4 2 3 3" xfId="23351"/>
    <cellStyle name="汇总 4 2 4" xfId="9357"/>
    <cellStyle name="汇总 4 2 4 2" xfId="23498"/>
    <cellStyle name="汇总 4 2 4 3" xfId="23504"/>
    <cellStyle name="汇总 4 2 5" xfId="27806"/>
    <cellStyle name="汇总 4 3" xfId="27807"/>
    <cellStyle name="汇总 4 3 2" xfId="18712"/>
    <cellStyle name="汇总 4 3 2 2" xfId="23715"/>
    <cellStyle name="汇总 4 3 2 2 2" xfId="23717"/>
    <cellStyle name="汇总 4 3 2 2 3" xfId="23719"/>
    <cellStyle name="汇总 4 3 2 3" xfId="23725"/>
    <cellStyle name="汇总 4 3 3" xfId="27808"/>
    <cellStyle name="汇总 4 3 3 2" xfId="23787"/>
    <cellStyle name="汇总 4 3 3 3" xfId="23792"/>
    <cellStyle name="汇总 4 3 4" xfId="27809"/>
    <cellStyle name="汇总 4 4" xfId="27810"/>
    <cellStyle name="汇总 4 4 2" xfId="27811"/>
    <cellStyle name="汇总 4 4 2 2" xfId="5327"/>
    <cellStyle name="汇总 4 4 2 2 2" xfId="23981"/>
    <cellStyle name="汇总 4 4 2 2 3" xfId="23983"/>
    <cellStyle name="汇总 4 4 2 3" xfId="23988"/>
    <cellStyle name="汇总 4 4 3" xfId="27812"/>
    <cellStyle name="汇总 4 4 3 2" xfId="21382"/>
    <cellStyle name="汇总 4 4 3 3" xfId="24040"/>
    <cellStyle name="汇总 4 4 4" xfId="5369"/>
    <cellStyle name="汇总 4 5" xfId="27813"/>
    <cellStyle name="汇总 4 5 2" xfId="27814"/>
    <cellStyle name="汇总 4 5 2 2" xfId="21463"/>
    <cellStyle name="汇总 4 5 2 3" xfId="24194"/>
    <cellStyle name="汇总 4 5 3" xfId="27815"/>
    <cellStyle name="汇总 4 6" xfId="27816"/>
    <cellStyle name="汇总 4 6 2" xfId="27817"/>
    <cellStyle name="汇总 4 6 3" xfId="8596"/>
    <cellStyle name="汇总 4 7" xfId="27818"/>
    <cellStyle name="汇总 5" xfId="25153"/>
    <cellStyle name="汇总 5 2" xfId="25155"/>
    <cellStyle name="汇总 5 2 2" xfId="27819"/>
    <cellStyle name="汇总 5 2 2 2" xfId="27820"/>
    <cellStyle name="汇总 5 2 2 2 2" xfId="23031"/>
    <cellStyle name="汇总 5 2 2 2 3" xfId="23034"/>
    <cellStyle name="汇总 5 2 2 3" xfId="27821"/>
    <cellStyle name="汇总 5 2 3" xfId="27824"/>
    <cellStyle name="汇总 5 2 3 2" xfId="27826"/>
    <cellStyle name="汇总 5 2 3 3" xfId="27828"/>
    <cellStyle name="汇总 5 2 4" xfId="27831"/>
    <cellStyle name="汇总 5 3" xfId="25157"/>
    <cellStyle name="汇总 5 3 2" xfId="27832"/>
    <cellStyle name="汇总 5 3 2 2" xfId="27833"/>
    <cellStyle name="汇总 5 3 2 3" xfId="27834"/>
    <cellStyle name="汇总 5 3 3" xfId="27836"/>
    <cellStyle name="汇总 5 4" xfId="27837"/>
    <cellStyle name="汇总 5 4 2" xfId="27838"/>
    <cellStyle name="汇总 5 4 3" xfId="27840"/>
    <cellStyle name="汇总 5 5" xfId="27841"/>
    <cellStyle name="汇总 6" xfId="25159"/>
    <cellStyle name="汇总 6 2" xfId="3308"/>
    <cellStyle name="汇总 6 2 2" xfId="25161"/>
    <cellStyle name="汇总 6 2 2 2" xfId="27842"/>
    <cellStyle name="汇总 6 2 2 3" xfId="27843"/>
    <cellStyle name="汇总 6 2 3" xfId="25164"/>
    <cellStyle name="汇总 6 3" xfId="25166"/>
    <cellStyle name="汇总 6 3 2" xfId="27844"/>
    <cellStyle name="汇总 6 3 3" xfId="3339"/>
    <cellStyle name="汇总 6 4" xfId="25032"/>
    <cellStyle name="汇总 7" xfId="25168"/>
    <cellStyle name="汇总 7 2" xfId="27845"/>
    <cellStyle name="汇总 7 2 2" xfId="27846"/>
    <cellStyle name="汇总 7 2 2 2" xfId="27847"/>
    <cellStyle name="汇总 7 2 2 3" xfId="27089"/>
    <cellStyle name="汇总 7 2 3" xfId="27848"/>
    <cellStyle name="汇总 7 3" xfId="27849"/>
    <cellStyle name="汇总 7 3 2" xfId="27850"/>
    <cellStyle name="汇总 7 3 3" xfId="27851"/>
    <cellStyle name="汇总 7 4" xfId="27852"/>
    <cellStyle name="汇总 8" xfId="27740"/>
    <cellStyle name="汇总 8 2" xfId="12052"/>
    <cellStyle name="汇总 8 2 2" xfId="27742"/>
    <cellStyle name="汇总 8 2 3" xfId="1829"/>
    <cellStyle name="汇总 8 3" xfId="27744"/>
    <cellStyle name="汇总 9" xfId="27746"/>
    <cellStyle name="汇总 9 2" xfId="12145"/>
    <cellStyle name="计算 2" xfId="27853"/>
    <cellStyle name="计算 2 10" xfId="27854"/>
    <cellStyle name="计算 2 2" xfId="27855"/>
    <cellStyle name="计算 2 2 2" xfId="14429"/>
    <cellStyle name="计算 2 2 2 2" xfId="27856"/>
    <cellStyle name="计算 2 2 2 2 2" xfId="26421"/>
    <cellStyle name="计算 2 2 2 2 2 2" xfId="27857"/>
    <cellStyle name="计算 2 2 2 2 2 2 2" xfId="27858"/>
    <cellStyle name="计算 2 2 2 2 2 2 3" xfId="27859"/>
    <cellStyle name="计算 2 2 2 2 2 3" xfId="27860"/>
    <cellStyle name="计算 2 2 2 2 3" xfId="26423"/>
    <cellStyle name="计算 2 2 2 2 3 2" xfId="27861"/>
    <cellStyle name="计算 2 2 2 2 3 3" xfId="27862"/>
    <cellStyle name="计算 2 2 2 2 4" xfId="27863"/>
    <cellStyle name="计算 2 2 2 3" xfId="27864"/>
    <cellStyle name="计算 2 2 2 3 2" xfId="27865"/>
    <cellStyle name="计算 2 2 2 3 2 2" xfId="21749"/>
    <cellStyle name="计算 2 2 2 3 2 3" xfId="13007"/>
    <cellStyle name="计算 2 2 2 3 3" xfId="22428"/>
    <cellStyle name="计算 2 2 2 4" xfId="27866"/>
    <cellStyle name="计算 2 2 2 4 2" xfId="27867"/>
    <cellStyle name="计算 2 2 2 4 3" xfId="27868"/>
    <cellStyle name="计算 2 2 2 5" xfId="14546"/>
    <cellStyle name="计算 2 2 3" xfId="14434"/>
    <cellStyle name="计算 2 2 3 2" xfId="27869"/>
    <cellStyle name="计算 2 2 3 2 2" xfId="26450"/>
    <cellStyle name="计算 2 2 3 2 2 2" xfId="27871"/>
    <cellStyle name="计算 2 2 3 2 2 3" xfId="27873"/>
    <cellStyle name="计算 2 2 3 2 3" xfId="26452"/>
    <cellStyle name="计算 2 2 3 3" xfId="27874"/>
    <cellStyle name="计算 2 2 3 3 2" xfId="27875"/>
    <cellStyle name="计算 2 2 3 3 3" xfId="27876"/>
    <cellStyle name="计算 2 2 3 4" xfId="27877"/>
    <cellStyle name="计算 2 2 4" xfId="14436"/>
    <cellStyle name="计算 2 2 4 2" xfId="14739"/>
    <cellStyle name="计算 2 2 4 2 2" xfId="6405"/>
    <cellStyle name="计算 2 2 4 2 2 2" xfId="27878"/>
    <cellStyle name="计算 2 2 4 2 2 3" xfId="27879"/>
    <cellStyle name="计算 2 2 4 2 3" xfId="6409"/>
    <cellStyle name="计算 2 2 4 3" xfId="14741"/>
    <cellStyle name="计算 2 2 4 3 2" xfId="27880"/>
    <cellStyle name="计算 2 2 4 3 3" xfId="27881"/>
    <cellStyle name="计算 2 2 4 4" xfId="6106"/>
    <cellStyle name="计算 2 2 5" xfId="27882"/>
    <cellStyle name="计算 2 2 5 2" xfId="27883"/>
    <cellStyle name="计算 2 2 5 2 2" xfId="27884"/>
    <cellStyle name="计算 2 2 5 2 3" xfId="23909"/>
    <cellStyle name="计算 2 2 5 3" xfId="27885"/>
    <cellStyle name="计算 2 2 6" xfId="14441"/>
    <cellStyle name="计算 2 2 6 2" xfId="17823"/>
    <cellStyle name="计算 2 2 6 3" xfId="17831"/>
    <cellStyle name="计算 2 2 7" xfId="17884"/>
    <cellStyle name="计算 2 3" xfId="27886"/>
    <cellStyle name="计算 2 3 2" xfId="6045"/>
    <cellStyle name="计算 2 3 2 2" xfId="18566"/>
    <cellStyle name="计算 2 3 2 2 2" xfId="19320"/>
    <cellStyle name="计算 2 3 2 2 2 2" xfId="27888"/>
    <cellStyle name="计算 2 3 2 2 2 2 2" xfId="27889"/>
    <cellStyle name="计算 2 3 2 2 2 2 3" xfId="27890"/>
    <cellStyle name="计算 2 3 2 2 2 3" xfId="27891"/>
    <cellStyle name="计算 2 3 2 2 3" xfId="19323"/>
    <cellStyle name="计算 2 3 2 2 3 2" xfId="5977"/>
    <cellStyle name="计算 2 3 2 2 3 3" xfId="19848"/>
    <cellStyle name="计算 2 3 2 2 4" xfId="19326"/>
    <cellStyle name="计算 2 3 2 3" xfId="19331"/>
    <cellStyle name="计算 2 3 2 3 2" xfId="19333"/>
    <cellStyle name="计算 2 3 2 3 2 2" xfId="27892"/>
    <cellStyle name="计算 2 3 2 3 2 3" xfId="27893"/>
    <cellStyle name="计算 2 3 2 3 3" xfId="19335"/>
    <cellStyle name="计算 2 3 2 4" xfId="19340"/>
    <cellStyle name="计算 2 3 2 4 2" xfId="12174"/>
    <cellStyle name="计算 2 3 2 4 3" xfId="19342"/>
    <cellStyle name="计算 2 3 2 5" xfId="14645"/>
    <cellStyle name="计算 2 3 3" xfId="260"/>
    <cellStyle name="计算 2 3 3 2" xfId="18583"/>
    <cellStyle name="计算 2 3 3 2 2" xfId="18814"/>
    <cellStyle name="计算 2 3 3 2 2 2" xfId="10069"/>
    <cellStyle name="计算 2 3 3 2 2 3" xfId="18818"/>
    <cellStyle name="计算 2 3 3 2 3" xfId="26946"/>
    <cellStyle name="计算 2 3 3 3" xfId="19351"/>
    <cellStyle name="计算 2 3 3 3 2" xfId="27894"/>
    <cellStyle name="计算 2 3 3 3 3" xfId="27895"/>
    <cellStyle name="计算 2 3 3 4" xfId="27896"/>
    <cellStyle name="计算 2 3 4" xfId="7931"/>
    <cellStyle name="计算 2 3 4 2" xfId="19353"/>
    <cellStyle name="计算 2 3 4 2 2" xfId="24866"/>
    <cellStyle name="计算 2 3 4 2 2 2" xfId="5031"/>
    <cellStyle name="计算 2 3 4 2 2 3" xfId="25564"/>
    <cellStyle name="计算 2 3 4 2 3" xfId="27897"/>
    <cellStyle name="计算 2 3 4 3" xfId="19356"/>
    <cellStyle name="计算 2 3 4 3 2" xfId="27898"/>
    <cellStyle name="计算 2 3 4 3 3" xfId="27899"/>
    <cellStyle name="计算 2 3 4 4" xfId="27900"/>
    <cellStyle name="计算 2 3 5" xfId="27901"/>
    <cellStyle name="计算 2 3 5 2" xfId="19360"/>
    <cellStyle name="计算 2 3 5 2 2" xfId="14612"/>
    <cellStyle name="计算 2 3 5 2 3" xfId="14614"/>
    <cellStyle name="计算 2 3 5 3" xfId="19362"/>
    <cellStyle name="计算 2 3 6" xfId="10151"/>
    <cellStyle name="计算 2 3 6 2" xfId="17980"/>
    <cellStyle name="计算 2 3 6 3" xfId="17984"/>
    <cellStyle name="计算 2 3 7" xfId="1000"/>
    <cellStyle name="计算 2 4" xfId="27902"/>
    <cellStyle name="计算 2 4 2" xfId="6057"/>
    <cellStyle name="计算 2 4 2 2" xfId="19053"/>
    <cellStyle name="计算 2 4 2 2 2" xfId="27903"/>
    <cellStyle name="计算 2 4 2 2 2 2" xfId="27904"/>
    <cellStyle name="计算 2 4 2 2 2 2 2" xfId="27905"/>
    <cellStyle name="计算 2 4 2 2 2 2 3" xfId="27906"/>
    <cellStyle name="计算 2 4 2 2 2 3" xfId="27907"/>
    <cellStyle name="计算 2 4 2 2 3" xfId="27908"/>
    <cellStyle name="计算 2 4 2 2 3 2" xfId="27909"/>
    <cellStyle name="计算 2 4 2 2 3 3" xfId="27910"/>
    <cellStyle name="计算 2 4 2 2 4" xfId="27911"/>
    <cellStyle name="计算 2 4 2 3" xfId="19056"/>
    <cellStyle name="计算 2 4 2 3 2" xfId="14626"/>
    <cellStyle name="计算 2 4 2 3 2 2" xfId="16381"/>
    <cellStyle name="计算 2 4 2 3 2 3" xfId="16383"/>
    <cellStyle name="计算 2 4 2 3 3" xfId="14630"/>
    <cellStyle name="计算 2 4 2 4" xfId="27912"/>
    <cellStyle name="计算 2 4 2 4 2" xfId="27913"/>
    <cellStyle name="计算 2 4 2 4 3" xfId="27914"/>
    <cellStyle name="计算 2 4 2 5" xfId="27915"/>
    <cellStyle name="计算 2 4 3" xfId="19576"/>
    <cellStyle name="计算 2 4 3 2" xfId="19070"/>
    <cellStyle name="计算 2 4 3 2 2" xfId="27916"/>
    <cellStyle name="计算 2 4 3 2 2 2" xfId="27918"/>
    <cellStyle name="计算 2 4 3 2 2 3" xfId="27920"/>
    <cellStyle name="计算 2 4 3 2 3" xfId="27921"/>
    <cellStyle name="计算 2 4 3 3" xfId="8308"/>
    <cellStyle name="计算 2 4 3 3 2" xfId="27922"/>
    <cellStyle name="计算 2 4 3 3 3" xfId="27923"/>
    <cellStyle name="计算 2 4 3 4" xfId="27924"/>
    <cellStyle name="计算 2 4 4" xfId="19578"/>
    <cellStyle name="计算 2 4 4 2" xfId="19077"/>
    <cellStyle name="计算 2 4 4 2 2" xfId="460"/>
    <cellStyle name="计算 2 4 4 2 2 2" xfId="27926"/>
    <cellStyle name="计算 2 4 4 2 2 3" xfId="25648"/>
    <cellStyle name="计算 2 4 4 2 3" xfId="487"/>
    <cellStyle name="计算 2 4 4 3" xfId="8343"/>
    <cellStyle name="计算 2 4 4 3 2" xfId="27927"/>
    <cellStyle name="计算 2 4 4 3 3" xfId="27928"/>
    <cellStyle name="计算 2 4 4 4" xfId="27929"/>
    <cellStyle name="计算 2 4 5" xfId="27930"/>
    <cellStyle name="计算 2 4 5 2" xfId="19086"/>
    <cellStyle name="计算 2 4 5 2 2" xfId="15778"/>
    <cellStyle name="计算 2 4 5 2 3" xfId="15780"/>
    <cellStyle name="计算 2 4 5 3" xfId="8351"/>
    <cellStyle name="计算 2 4 6" xfId="18016"/>
    <cellStyle name="计算 2 4 6 2" xfId="19093"/>
    <cellStyle name="计算 2 4 6 3" xfId="19096"/>
    <cellStyle name="计算 2 4 7" xfId="243"/>
    <cellStyle name="计算 2 5" xfId="14875"/>
    <cellStyle name="计算 2 5 2" xfId="27931"/>
    <cellStyle name="计算 2 5 2 2" xfId="7242"/>
    <cellStyle name="计算 2 5 2 2 2" xfId="24301"/>
    <cellStyle name="计算 2 5 2 2 2 2" xfId="24304"/>
    <cellStyle name="计算 2 5 2 2 2 3" xfId="24431"/>
    <cellStyle name="计算 2 5 2 2 3" xfId="24433"/>
    <cellStyle name="计算 2 5 2 3" xfId="18747"/>
    <cellStyle name="计算 2 5 2 3 2" xfId="24438"/>
    <cellStyle name="计算 2 5 2 3 3" xfId="24448"/>
    <cellStyle name="计算 2 5 2 4" xfId="18751"/>
    <cellStyle name="计算 2 5 3" xfId="27933"/>
    <cellStyle name="计算 2 5 3 2" xfId="7855"/>
    <cellStyle name="计算 2 5 3 2 2" xfId="24473"/>
    <cellStyle name="计算 2 5 3 2 3" xfId="24479"/>
    <cellStyle name="计算 2 5 3 3" xfId="7383"/>
    <cellStyle name="计算 2 5 4" xfId="27934"/>
    <cellStyle name="计算 2 5 4 2" xfId="17429"/>
    <cellStyle name="计算 2 5 4 3" xfId="2958"/>
    <cellStyle name="计算 2 5 5" xfId="27935"/>
    <cellStyle name="计算 2 6" xfId="14880"/>
    <cellStyle name="计算 2 6 2" xfId="27936"/>
    <cellStyle name="计算 2 6 2 2" xfId="19676"/>
    <cellStyle name="计算 2 6 2 2 2" xfId="24612"/>
    <cellStyle name="计算 2 6 2 2 3" xfId="24617"/>
    <cellStyle name="计算 2 6 2 3" xfId="19679"/>
    <cellStyle name="计算 2 6 3" xfId="9873"/>
    <cellStyle name="计算 2 6 3 2" xfId="9878"/>
    <cellStyle name="计算 2 6 3 3" xfId="8366"/>
    <cellStyle name="计算 2 6 4" xfId="9882"/>
    <cellStyle name="计算 2 7" xfId="14351"/>
    <cellStyle name="计算 2 7 2" xfId="26150"/>
    <cellStyle name="计算 2 7 2 2" xfId="19778"/>
    <cellStyle name="计算 2 7 2 2 2" xfId="393"/>
    <cellStyle name="计算 2 7 2 2 3" xfId="24836"/>
    <cellStyle name="计算 2 7 2 3" xfId="19781"/>
    <cellStyle name="计算 2 7 3" xfId="9884"/>
    <cellStyle name="计算 2 7 3 2" xfId="19795"/>
    <cellStyle name="计算 2 7 3 3" xfId="6855"/>
    <cellStyle name="计算 2 7 4" xfId="9886"/>
    <cellStyle name="计算 2 8" xfId="14358"/>
    <cellStyle name="计算 2 8 2" xfId="26154"/>
    <cellStyle name="计算 2 8 2 2" xfId="24924"/>
    <cellStyle name="计算 2 8 2 3" xfId="24931"/>
    <cellStyle name="计算 2 8 3" xfId="26156"/>
    <cellStyle name="计算 2 9" xfId="10523"/>
    <cellStyle name="计算 2 9 2" xfId="27937"/>
    <cellStyle name="检查单元格 2" xfId="27939"/>
    <cellStyle name="检查单元格 2 10" xfId="17213"/>
    <cellStyle name="检查单元格 2 2" xfId="27940"/>
    <cellStyle name="检查单元格 2 2 2" xfId="27941"/>
    <cellStyle name="检查单元格 2 2 2 2" xfId="27943"/>
    <cellStyle name="检查单元格 2 2 2 2 2" xfId="27945"/>
    <cellStyle name="检查单元格 2 2 2 2 2 2" xfId="27946"/>
    <cellStyle name="检查单元格 2 2 2 2 2 2 2" xfId="883"/>
    <cellStyle name="检查单元格 2 2 2 2 2 2 3" xfId="139"/>
    <cellStyle name="检查单元格 2 2 2 2 2 3" xfId="27947"/>
    <cellStyle name="检查单元格 2 2 2 2 3" xfId="27949"/>
    <cellStyle name="检查单元格 2 2 2 2 3 2" xfId="27951"/>
    <cellStyle name="检查单元格 2 2 2 2 3 3" xfId="27953"/>
    <cellStyle name="检查单元格 2 2 2 2 4" xfId="7872"/>
    <cellStyle name="检查单元格 2 2 2 3" xfId="27955"/>
    <cellStyle name="检查单元格 2 2 2 3 2" xfId="27958"/>
    <cellStyle name="检查单元格 2 2 2 3 2 2" xfId="16785"/>
    <cellStyle name="检查单元格 2 2 2 3 2 3" xfId="16789"/>
    <cellStyle name="检查单元格 2 2 2 3 3" xfId="27960"/>
    <cellStyle name="检查单元格 2 2 2 4" xfId="5899"/>
    <cellStyle name="检查单元格 2 2 2 4 2" xfId="27962"/>
    <cellStyle name="检查单元格 2 2 2 4 3" xfId="27963"/>
    <cellStyle name="检查单元格 2 2 2 5" xfId="5905"/>
    <cellStyle name="检查单元格 2 2 3" xfId="27964"/>
    <cellStyle name="检查单元格 2 2 3 2" xfId="27965"/>
    <cellStyle name="检查单元格 2 2 3 2 2" xfId="27967"/>
    <cellStyle name="检查单元格 2 2 3 2 2 2" xfId="27969"/>
    <cellStyle name="检查单元格 2 2 3 2 2 3" xfId="27971"/>
    <cellStyle name="检查单元格 2 2 3 2 3" xfId="27973"/>
    <cellStyle name="检查单元格 2 2 3 3" xfId="27974"/>
    <cellStyle name="检查单元格 2 2 3 3 2" xfId="27976"/>
    <cellStyle name="检查单元格 2 2 3 3 3" xfId="27978"/>
    <cellStyle name="检查单元格 2 2 3 4" xfId="27980"/>
    <cellStyle name="检查单元格 2 2 4" xfId="27981"/>
    <cellStyle name="检查单元格 2 2 4 2" xfId="27982"/>
    <cellStyle name="检查单元格 2 2 4 2 2" xfId="27984"/>
    <cellStyle name="检查单元格 2 2 4 2 2 2" xfId="27986"/>
    <cellStyle name="检查单元格 2 2 4 2 2 3" xfId="27988"/>
    <cellStyle name="检查单元格 2 2 4 2 3" xfId="27990"/>
    <cellStyle name="检查单元格 2 2 4 3" xfId="27992"/>
    <cellStyle name="检查单元格 2 2 4 3 2" xfId="27993"/>
    <cellStyle name="检查单元格 2 2 4 3 3" xfId="27995"/>
    <cellStyle name="检查单元格 2 2 4 4" xfId="27997"/>
    <cellStyle name="检查单元格 2 2 5" xfId="27998"/>
    <cellStyle name="检查单元格 2 2 5 2" xfId="27999"/>
    <cellStyle name="检查单元格 2 2 5 2 2" xfId="17550"/>
    <cellStyle name="检查单元格 2 2 5 2 3" xfId="20338"/>
    <cellStyle name="检查单元格 2 2 5 3" xfId="5254"/>
    <cellStyle name="检查单元格 2 2 6" xfId="28000"/>
    <cellStyle name="检查单元格 2 2 6 2" xfId="28001"/>
    <cellStyle name="检查单元格 2 2 6 3" xfId="28002"/>
    <cellStyle name="检查单元格 2 2 7" xfId="28003"/>
    <cellStyle name="检查单元格 2 3" xfId="2550"/>
    <cellStyle name="检查单元格 2 3 2" xfId="2566"/>
    <cellStyle name="检查单元格 2 3 2 2" xfId="2109"/>
    <cellStyle name="检查单元格 2 3 2 2 2" xfId="28004"/>
    <cellStyle name="检查单元格 2 3 2 2 2 2" xfId="13182"/>
    <cellStyle name="检查单元格 2 3 2 2 2 2 2" xfId="1285"/>
    <cellStyle name="检查单元格 2 3 2 2 2 2 3" xfId="13185"/>
    <cellStyle name="检查单元格 2 3 2 2 2 3" xfId="13190"/>
    <cellStyle name="检查单元格 2 3 2 2 3" xfId="28005"/>
    <cellStyle name="检查单元格 2 3 2 2 3 2" xfId="28007"/>
    <cellStyle name="检查单元格 2 3 2 2 3 3" xfId="28008"/>
    <cellStyle name="检查单元格 2 3 2 2 4" xfId="28009"/>
    <cellStyle name="检查单元格 2 3 2 3" xfId="2183"/>
    <cellStyle name="检查单元格 2 3 2 3 2" xfId="28011"/>
    <cellStyle name="检查单元格 2 3 2 3 2 2" xfId="23584"/>
    <cellStyle name="检查单元格 2 3 2 3 2 3" xfId="414"/>
    <cellStyle name="检查单元格 2 3 2 3 3" xfId="28012"/>
    <cellStyle name="检查单元格 2 3 2 4" xfId="2119"/>
    <cellStyle name="检查单元格 2 3 2 4 2" xfId="28014"/>
    <cellStyle name="检查单元格 2 3 2 4 3" xfId="28015"/>
    <cellStyle name="检查单元格 2 3 2 5" xfId="2137"/>
    <cellStyle name="检查单元格 2 3 3" xfId="1181"/>
    <cellStyle name="检查单元格 2 3 3 2" xfId="28016"/>
    <cellStyle name="检查单元格 2 3 3 2 2" xfId="21282"/>
    <cellStyle name="检查单元格 2 3 3 2 2 2" xfId="28017"/>
    <cellStyle name="检查单元格 2 3 3 2 2 3" xfId="28018"/>
    <cellStyle name="检查单元格 2 3 3 2 3" xfId="21284"/>
    <cellStyle name="检查单元格 2 3 3 3" xfId="28019"/>
    <cellStyle name="检查单元格 2 3 3 3 2" xfId="21291"/>
    <cellStyle name="检查单元格 2 3 3 3 3" xfId="21293"/>
    <cellStyle name="检查单元格 2 3 3 4" xfId="28020"/>
    <cellStyle name="检查单元格 2 3 4" xfId="3628"/>
    <cellStyle name="检查单元格 2 3 4 2" xfId="28021"/>
    <cellStyle name="检查单元格 2 3 4 2 2" xfId="16293"/>
    <cellStyle name="检查单元格 2 3 4 2 2 2" xfId="28022"/>
    <cellStyle name="检查单元格 2 3 4 2 2 3" xfId="28023"/>
    <cellStyle name="检查单元格 2 3 4 2 3" xfId="16295"/>
    <cellStyle name="检查单元格 2 3 4 3" xfId="28025"/>
    <cellStyle name="检查单元格 2 3 4 3 2" xfId="28026"/>
    <cellStyle name="检查单元格 2 3 4 3 3" xfId="27580"/>
    <cellStyle name="检查单元格 2 3 4 4" xfId="28028"/>
    <cellStyle name="检查单元格 2 3 5" xfId="3638"/>
    <cellStyle name="检查单元格 2 3 5 2" xfId="28029"/>
    <cellStyle name="检查单元格 2 3 5 2 2" xfId="28030"/>
    <cellStyle name="检查单元格 2 3 5 2 3" xfId="28031"/>
    <cellStyle name="检查单元格 2 3 5 3" xfId="28033"/>
    <cellStyle name="检查单元格 2 3 6" xfId="28034"/>
    <cellStyle name="检查单元格 2 3 6 2" xfId="26234"/>
    <cellStyle name="检查单元格 2 3 6 3" xfId="26242"/>
    <cellStyle name="检查单元格 2 3 7" xfId="28035"/>
    <cellStyle name="检查单元格 2 4" xfId="2576"/>
    <cellStyle name="检查单元格 2 4 2" xfId="2594"/>
    <cellStyle name="检查单元格 2 4 2 2" xfId="15668"/>
    <cellStyle name="检查单元格 2 4 2 2 2" xfId="9103"/>
    <cellStyle name="检查单元格 2 4 2 2 2 2" xfId="28037"/>
    <cellStyle name="检查单元格 2 4 2 2 2 2 2" xfId="28038"/>
    <cellStyle name="检查单元格 2 4 2 2 2 2 3" xfId="28039"/>
    <cellStyle name="检查单元格 2 4 2 2 2 3" xfId="28040"/>
    <cellStyle name="检查单元格 2 4 2 2 3" xfId="8749"/>
    <cellStyle name="检查单元格 2 4 2 2 3 2" xfId="28042"/>
    <cellStyle name="检查单元格 2 4 2 2 3 3" xfId="28043"/>
    <cellStyle name="检查单元格 2 4 2 2 4" xfId="8827"/>
    <cellStyle name="检查单元格 2 4 2 3" xfId="20157"/>
    <cellStyle name="检查单元格 2 4 2 3 2" xfId="17704"/>
    <cellStyle name="检查单元格 2 4 2 3 2 2" xfId="27235"/>
    <cellStyle name="检查单元格 2 4 2 3 2 3" xfId="28044"/>
    <cellStyle name="检查单元格 2 4 2 3 3" xfId="8882"/>
    <cellStyle name="检查单元格 2 4 2 4" xfId="20160"/>
    <cellStyle name="检查单元格 2 4 2 4 2" xfId="17722"/>
    <cellStyle name="检查单元格 2 4 2 4 3" xfId="2487"/>
    <cellStyle name="检查单元格 2 4 2 5" xfId="28045"/>
    <cellStyle name="检查单元格 2 4 3" xfId="2603"/>
    <cellStyle name="检查单元格 2 4 3 2" xfId="15691"/>
    <cellStyle name="检查单元格 2 4 3 2 2" xfId="28046"/>
    <cellStyle name="检查单元格 2 4 3 2 2 2" xfId="28048"/>
    <cellStyle name="检查单元格 2 4 3 2 2 3" xfId="28049"/>
    <cellStyle name="检查单元格 2 4 3 2 3" xfId="28050"/>
    <cellStyle name="检查单元格 2 4 3 3" xfId="20166"/>
    <cellStyle name="检查单元格 2 4 3 3 2" xfId="28051"/>
    <cellStyle name="检查单元格 2 4 3 3 3" xfId="28052"/>
    <cellStyle name="检查单元格 2 4 3 4" xfId="20171"/>
    <cellStyle name="检查单元格 2 4 4" xfId="28053"/>
    <cellStyle name="检查单元格 2 4 4 2" xfId="28054"/>
    <cellStyle name="检查单元格 2 4 4 2 2" xfId="28055"/>
    <cellStyle name="检查单元格 2 4 4 2 2 2" xfId="28057"/>
    <cellStyle name="检查单元格 2 4 4 2 2 3" xfId="28058"/>
    <cellStyle name="检查单元格 2 4 4 2 3" xfId="28059"/>
    <cellStyle name="检查单元格 2 4 4 3" xfId="28060"/>
    <cellStyle name="检查单元格 2 4 4 3 2" xfId="28061"/>
    <cellStyle name="检查单元格 2 4 4 3 3" xfId="28062"/>
    <cellStyle name="检查单元格 2 4 4 4" xfId="28063"/>
    <cellStyle name="检查单元格 2 4 5" xfId="28064"/>
    <cellStyle name="检查单元格 2 4 5 2" xfId="28065"/>
    <cellStyle name="检查单元格 2 4 5 2 2" xfId="22963"/>
    <cellStyle name="检查单元格 2 4 5 2 3" xfId="28066"/>
    <cellStyle name="检查单元格 2 4 5 3" xfId="28067"/>
    <cellStyle name="检查单元格 2 4 6" xfId="28068"/>
    <cellStyle name="检查单元格 2 4 6 2" xfId="26259"/>
    <cellStyle name="检查单元格 2 4 6 3" xfId="25536"/>
    <cellStyle name="检查单元格 2 4 7" xfId="28069"/>
    <cellStyle name="检查单元格 2 5" xfId="2612"/>
    <cellStyle name="检查单元格 2 5 2" xfId="28070"/>
    <cellStyle name="检查单元格 2 5 2 2" xfId="4569"/>
    <cellStyle name="检查单元格 2 5 2 2 2" xfId="28071"/>
    <cellStyle name="检查单元格 2 5 2 2 2 2" xfId="28072"/>
    <cellStyle name="检查单元格 2 5 2 2 2 3" xfId="28073"/>
    <cellStyle name="检查单元格 2 5 2 2 3" xfId="28036"/>
    <cellStyle name="检查单元格 2 5 2 3" xfId="14273"/>
    <cellStyle name="检查单元格 2 5 2 3 2" xfId="28074"/>
    <cellStyle name="检查单元格 2 5 2 3 3" xfId="28041"/>
    <cellStyle name="检查单元格 2 5 2 4" xfId="357"/>
    <cellStyle name="检查单元格 2 5 3" xfId="27223"/>
    <cellStyle name="检查单元格 2 5 3 2" xfId="27225"/>
    <cellStyle name="检查单元格 2 5 3 2 2" xfId="27227"/>
    <cellStyle name="检查单元格 2 5 3 2 3" xfId="27234"/>
    <cellStyle name="检查单元格 2 5 3 3" xfId="27237"/>
    <cellStyle name="检查单元格 2 5 4" xfId="27250"/>
    <cellStyle name="检查单元格 2 5 4 2" xfId="27252"/>
    <cellStyle name="检查单元格 2 5 4 3" xfId="27264"/>
    <cellStyle name="检查单元格 2 5 5" xfId="27273"/>
    <cellStyle name="检查单元格 2 6" xfId="28075"/>
    <cellStyle name="检查单元格 2 6 2" xfId="28076"/>
    <cellStyle name="检查单元格 2 6 2 2" xfId="28077"/>
    <cellStyle name="检查单元格 2 6 2 2 2" xfId="28078"/>
    <cellStyle name="检查单元格 2 6 2 2 3" xfId="28047"/>
    <cellStyle name="检查单元格 2 6 2 3" xfId="28079"/>
    <cellStyle name="检查单元格 2 6 3" xfId="27288"/>
    <cellStyle name="检查单元格 2 6 3 2" xfId="27290"/>
    <cellStyle name="检查单元格 2 6 3 3" xfId="27298"/>
    <cellStyle name="检查单元格 2 6 4" xfId="27301"/>
    <cellStyle name="检查单元格 2 7" xfId="28080"/>
    <cellStyle name="检查单元格 2 7 2" xfId="28081"/>
    <cellStyle name="检查单元格 2 7 2 2" xfId="28082"/>
    <cellStyle name="检查单元格 2 7 2 2 2" xfId="28083"/>
    <cellStyle name="检查单元格 2 7 2 2 3" xfId="28056"/>
    <cellStyle name="检查单元格 2 7 2 3" xfId="28084"/>
    <cellStyle name="检查单元格 2 7 3" xfId="27333"/>
    <cellStyle name="检查单元格 2 7 3 2" xfId="27335"/>
    <cellStyle name="检查单元格 2 7 3 3" xfId="27341"/>
    <cellStyle name="检查单元格 2 7 4" xfId="27344"/>
    <cellStyle name="检查单元格 2 8" xfId="28085"/>
    <cellStyle name="检查单元格 2 8 2" xfId="28086"/>
    <cellStyle name="检查单元格 2 8 2 2" xfId="28087"/>
    <cellStyle name="检查单元格 2 8 2 3" xfId="28088"/>
    <cellStyle name="检查单元格 2 8 3" xfId="27361"/>
    <cellStyle name="检查单元格 2 9" xfId="28089"/>
    <cellStyle name="检查单元格 2 9 2" xfId="28090"/>
    <cellStyle name="解释性文本 10" xfId="28091"/>
    <cellStyle name="解释性文本 2" xfId="22212"/>
    <cellStyle name="解释性文本 2 2" xfId="28092"/>
    <cellStyle name="解释性文本 2 2 2" xfId="28093"/>
    <cellStyle name="解释性文本 2 2 2 2" xfId="28094"/>
    <cellStyle name="解释性文本 2 2 2 2 2" xfId="9824"/>
    <cellStyle name="解释性文本 2 2 2 2 2 2" xfId="9466"/>
    <cellStyle name="解释性文本 2 2 2 2 2 3" xfId="28095"/>
    <cellStyle name="解释性文本 2 2 2 2 3" xfId="9832"/>
    <cellStyle name="解释性文本 2 2 2 3" xfId="28096"/>
    <cellStyle name="解释性文本 2 2 2 3 2" xfId="74"/>
    <cellStyle name="解释性文本 2 2 2 3 3" xfId="2338"/>
    <cellStyle name="解释性文本 2 2 2 4" xfId="28097"/>
    <cellStyle name="解释性文本 2 2 3" xfId="28098"/>
    <cellStyle name="解释性文本 2 2 3 2" xfId="28099"/>
    <cellStyle name="解释性文本 2 2 3 2 2" xfId="9854"/>
    <cellStyle name="解释性文本 2 2 3 2 3" xfId="9862"/>
    <cellStyle name="解释性文本 2 2 3 3" xfId="28100"/>
    <cellStyle name="解释性文本 2 2 4" xfId="28101"/>
    <cellStyle name="解释性文本 2 2 4 2" xfId="28102"/>
    <cellStyle name="解释性文本 2 2 4 3" xfId="28103"/>
    <cellStyle name="解释性文本 2 2 5" xfId="28104"/>
    <cellStyle name="解释性文本 2 3" xfId="28105"/>
    <cellStyle name="解释性文本 2 3 2" xfId="28106"/>
    <cellStyle name="解释性文本 2 3 2 2" xfId="28107"/>
    <cellStyle name="解释性文本 2 3 2 2 2" xfId="311"/>
    <cellStyle name="解释性文本 2 3 2 2 3" xfId="6076"/>
    <cellStyle name="解释性文本 2 3 2 3" xfId="15549"/>
    <cellStyle name="解释性文本 2 3 3" xfId="28108"/>
    <cellStyle name="解释性文本 2 3 3 2" xfId="28109"/>
    <cellStyle name="解释性文本 2 3 3 3" xfId="7664"/>
    <cellStyle name="解释性文本 2 3 4" xfId="28110"/>
    <cellStyle name="解释性文本 2 4" xfId="28111"/>
    <cellStyle name="解释性文本 2 4 2" xfId="28112"/>
    <cellStyle name="解释性文本 2 4 2 2" xfId="28113"/>
    <cellStyle name="解释性文本 2 4 2 2 2" xfId="6571"/>
    <cellStyle name="解释性文本 2 4 2 2 3" xfId="6580"/>
    <cellStyle name="解释性文本 2 4 2 3" xfId="15841"/>
    <cellStyle name="解释性文本 2 4 3" xfId="28114"/>
    <cellStyle name="解释性文本 2 4 3 2" xfId="28115"/>
    <cellStyle name="解释性文本 2 4 3 3" xfId="15890"/>
    <cellStyle name="解释性文本 2 4 4" xfId="28116"/>
    <cellStyle name="解释性文本 2 5" xfId="28117"/>
    <cellStyle name="解释性文本 2 5 2" xfId="28118"/>
    <cellStyle name="解释性文本 2 5 2 2" xfId="28119"/>
    <cellStyle name="解释性文本 2 5 2 3" xfId="9568"/>
    <cellStyle name="解释性文本 2 5 3" xfId="28120"/>
    <cellStyle name="解释性文本 2 6" xfId="28121"/>
    <cellStyle name="解释性文本 2 6 2" xfId="28123"/>
    <cellStyle name="解释性文本 2 6 3" xfId="28124"/>
    <cellStyle name="解释性文本 2 7" xfId="20611"/>
    <cellStyle name="解释性文本 3" xfId="22214"/>
    <cellStyle name="解释性文本 3 2" xfId="28125"/>
    <cellStyle name="解释性文本 3 2 2" xfId="28126"/>
    <cellStyle name="解释性文本 3 2 2 2" xfId="22482"/>
    <cellStyle name="解释性文本 3 2 2 2 2" xfId="28127"/>
    <cellStyle name="解释性文本 3 2 2 2 2 2" xfId="9765"/>
    <cellStyle name="解释性文本 3 2 2 2 2 3" xfId="27887"/>
    <cellStyle name="解释性文本 3 2 2 2 3" xfId="28128"/>
    <cellStyle name="解释性文本 3 2 2 3" xfId="28129"/>
    <cellStyle name="解释性文本 3 2 2 3 2" xfId="28130"/>
    <cellStyle name="解释性文本 3 2 2 3 3" xfId="28131"/>
    <cellStyle name="解释性文本 3 2 2 4" xfId="28132"/>
    <cellStyle name="解释性文本 3 2 3" xfId="28133"/>
    <cellStyle name="解释性文本 3 2 3 2" xfId="22493"/>
    <cellStyle name="解释性文本 3 2 3 2 2" xfId="22745"/>
    <cellStyle name="解释性文本 3 2 3 2 3" xfId="22748"/>
    <cellStyle name="解释性文本 3 2 3 3" xfId="28135"/>
    <cellStyle name="解释性文本 3 2 4" xfId="28136"/>
    <cellStyle name="解释性文本 3 2 4 2" xfId="22504"/>
    <cellStyle name="解释性文本 3 2 4 3" xfId="28137"/>
    <cellStyle name="解释性文本 3 2 5" xfId="28138"/>
    <cellStyle name="解释性文本 3 3" xfId="28139"/>
    <cellStyle name="解释性文本 3 3 2" xfId="28140"/>
    <cellStyle name="解释性文本 3 3 2 2" xfId="28141"/>
    <cellStyle name="解释性文本 3 3 2 2 2" xfId="28142"/>
    <cellStyle name="解释性文本 3 3 2 2 3" xfId="28143"/>
    <cellStyle name="解释性文本 3 3 2 3" xfId="16349"/>
    <cellStyle name="解释性文本 3 3 3" xfId="28144"/>
    <cellStyle name="解释性文本 3 3 3 2" xfId="28146"/>
    <cellStyle name="解释性文本 3 3 3 3" xfId="16575"/>
    <cellStyle name="解释性文本 3 3 4" xfId="28147"/>
    <cellStyle name="解释性文本 3 4" xfId="28148"/>
    <cellStyle name="解释性文本 3 4 2" xfId="28149"/>
    <cellStyle name="解释性文本 3 4 2 2" xfId="28150"/>
    <cellStyle name="解释性文本 3 4 2 2 2" xfId="23165"/>
    <cellStyle name="解释性文本 3 4 2 2 3" xfId="23167"/>
    <cellStyle name="解释性文本 3 4 2 3" xfId="16774"/>
    <cellStyle name="解释性文本 3 4 3" xfId="28151"/>
    <cellStyle name="解释性文本 3 4 3 2" xfId="28153"/>
    <cellStyle name="解释性文本 3 4 3 3" xfId="1155"/>
    <cellStyle name="解释性文本 3 4 4" xfId="28154"/>
    <cellStyle name="解释性文本 3 5" xfId="28155"/>
    <cellStyle name="解释性文本 3 5 2" xfId="28156"/>
    <cellStyle name="解释性文本 3 5 2 2" xfId="28157"/>
    <cellStyle name="解释性文本 3 5 2 3" xfId="17028"/>
    <cellStyle name="解释性文本 3 5 3" xfId="28158"/>
    <cellStyle name="解释性文本 3 6" xfId="11739"/>
    <cellStyle name="解释性文本 3 6 2" xfId="25903"/>
    <cellStyle name="解释性文本 3 6 3" xfId="25905"/>
    <cellStyle name="解释性文本 3 7" xfId="20620"/>
    <cellStyle name="解释性文本 4" xfId="22216"/>
    <cellStyle name="解释性文本 4 2" xfId="28160"/>
    <cellStyle name="解释性文本 4 2 2" xfId="28162"/>
    <cellStyle name="解释性文本 4 2 2 2" xfId="15627"/>
    <cellStyle name="解释性文本 4 2 2 2 2" xfId="25444"/>
    <cellStyle name="解释性文本 4 2 2 2 2 2" xfId="10030"/>
    <cellStyle name="解释性文本 4 2 2 2 2 3" xfId="25453"/>
    <cellStyle name="解释性文本 4 2 2 2 3" xfId="25455"/>
    <cellStyle name="解释性文本 4 2 2 3" xfId="21244"/>
    <cellStyle name="解释性文本 4 2 2 3 2" xfId="25473"/>
    <cellStyle name="解释性文本 4 2 2 3 3" xfId="25486"/>
    <cellStyle name="解释性文本 4 2 2 4" xfId="25506"/>
    <cellStyle name="解释性文本 4 2 3" xfId="28164"/>
    <cellStyle name="解释性文本 4 2 3 2" xfId="4467"/>
    <cellStyle name="解释性文本 4 2 3 2 2" xfId="23310"/>
    <cellStyle name="解释性文本 4 2 3 2 3" xfId="23313"/>
    <cellStyle name="解释性文本 4 2 3 3" xfId="25894"/>
    <cellStyle name="解释性文本 4 2 4" xfId="28165"/>
    <cellStyle name="解释性文本 4 2 4 2" xfId="26405"/>
    <cellStyle name="解释性文本 4 2 4 3" xfId="26425"/>
    <cellStyle name="解释性文本 4 2 5" xfId="28166"/>
    <cellStyle name="解释性文本 4 3" xfId="26858"/>
    <cellStyle name="解释性文本 4 3 2" xfId="28167"/>
    <cellStyle name="解释性文本 4 3 2 2" xfId="28168"/>
    <cellStyle name="解释性文本 4 3 2 2 2" xfId="28170"/>
    <cellStyle name="解释性文本 4 3 2 2 3" xfId="28171"/>
    <cellStyle name="解释性文本 4 3 2 3" xfId="17434"/>
    <cellStyle name="解释性文本 4 3 3" xfId="28172"/>
    <cellStyle name="解释性文本 4 3 3 2" xfId="28173"/>
    <cellStyle name="解释性文本 4 3 3 3" xfId="17555"/>
    <cellStyle name="解释性文本 4 3 4" xfId="28174"/>
    <cellStyle name="解释性文本 4 4" xfId="26860"/>
    <cellStyle name="解释性文本 4 4 2" xfId="24144"/>
    <cellStyle name="解释性文本 4 4 2 2" xfId="13461"/>
    <cellStyle name="解释性文本 4 4 2 2 2" xfId="28176"/>
    <cellStyle name="解释性文本 4 4 2 2 3" xfId="28177"/>
    <cellStyle name="解释性文本 4 4 2 3" xfId="13463"/>
    <cellStyle name="解释性文本 4 4 3" xfId="24147"/>
    <cellStyle name="解释性文本 4 4 3 2" xfId="13477"/>
    <cellStyle name="解释性文本 4 4 3 3" xfId="1463"/>
    <cellStyle name="解释性文本 4 4 4" xfId="24149"/>
    <cellStyle name="解释性文本 4 5" xfId="28178"/>
    <cellStyle name="解释性文本 4 5 2" xfId="24155"/>
    <cellStyle name="解释性文本 4 5 2 2" xfId="28179"/>
    <cellStyle name="解释性文本 4 5 2 3" xfId="28180"/>
    <cellStyle name="解释性文本 4 5 3" xfId="24157"/>
    <cellStyle name="解释性文本 4 6" xfId="28181"/>
    <cellStyle name="解释性文本 4 6 2" xfId="24165"/>
    <cellStyle name="解释性文本 4 6 3" xfId="24168"/>
    <cellStyle name="解释性文本 4 7" xfId="20632"/>
    <cellStyle name="解释性文本 5" xfId="22218"/>
    <cellStyle name="解释性文本 5 2" xfId="28183"/>
    <cellStyle name="解释性文本 5 2 2" xfId="18089"/>
    <cellStyle name="解释性文本 5 2 2 2" xfId="28184"/>
    <cellStyle name="解释性文本 5 2 2 2 2" xfId="28185"/>
    <cellStyle name="解释性文本 5 2 2 2 3" xfId="28186"/>
    <cellStyle name="解释性文本 5 2 2 3" xfId="28187"/>
    <cellStyle name="解释性文本 5 2 3" xfId="28188"/>
    <cellStyle name="解释性文本 5 2 3 2" xfId="27415"/>
    <cellStyle name="解释性文本 5 2 3 3" xfId="28189"/>
    <cellStyle name="解释性文本 5 2 4" xfId="28190"/>
    <cellStyle name="解释性文本 5 3" xfId="26008"/>
    <cellStyle name="解释性文本 5 3 2" xfId="18110"/>
    <cellStyle name="解释性文本 5 3 2 2" xfId="28191"/>
    <cellStyle name="解释性文本 5 3 2 3" xfId="17822"/>
    <cellStyle name="解释性文本 5 3 3" xfId="28192"/>
    <cellStyle name="解释性文本 5 4" xfId="28193"/>
    <cellStyle name="解释性文本 5 4 2" xfId="24868"/>
    <cellStyle name="解释性文本 5 4 3" xfId="28194"/>
    <cellStyle name="解释性文本 5 5" xfId="28195"/>
    <cellStyle name="解释性文本 6" xfId="22220"/>
    <cellStyle name="解释性文本 6 2" xfId="28197"/>
    <cellStyle name="解释性文本 6 2 2" xfId="28198"/>
    <cellStyle name="解释性文本 6 2 2 2" xfId="2881"/>
    <cellStyle name="解释性文本 6 2 2 3" xfId="28199"/>
    <cellStyle name="解释性文本 6 2 3" xfId="28200"/>
    <cellStyle name="解释性文本 6 3" xfId="28201"/>
    <cellStyle name="解释性文本 6 3 2" xfId="28202"/>
    <cellStyle name="解释性文本 6 3 3" xfId="28203"/>
    <cellStyle name="解释性文本 6 4" xfId="28204"/>
    <cellStyle name="解释性文本 7" xfId="5952"/>
    <cellStyle name="解释性文本 7 2" xfId="28205"/>
    <cellStyle name="解释性文本 7 2 2" xfId="28206"/>
    <cellStyle name="解释性文本 7 2 2 2" xfId="17890"/>
    <cellStyle name="解释性文本 7 2 2 3" xfId="17894"/>
    <cellStyle name="解释性文本 7 2 3" xfId="28207"/>
    <cellStyle name="解释性文本 7 3" xfId="28208"/>
    <cellStyle name="解释性文本 7 3 2" xfId="28209"/>
    <cellStyle name="解释性文本 7 3 3" xfId="28210"/>
    <cellStyle name="解释性文本 7 4" xfId="28211"/>
    <cellStyle name="解释性文本 8" xfId="28212"/>
    <cellStyle name="解释性文本 8 2" xfId="28213"/>
    <cellStyle name="解释性文本 8 2 2" xfId="28214"/>
    <cellStyle name="解释性文本 8 2 3" xfId="26487"/>
    <cellStyle name="解释性文本 8 3" xfId="28215"/>
    <cellStyle name="解释性文本 9" xfId="28216"/>
    <cellStyle name="解释性文本 9 2" xfId="12177"/>
    <cellStyle name="警告文本 10" xfId="10459"/>
    <cellStyle name="警告文本 2" xfId="28218"/>
    <cellStyle name="警告文本 2 2" xfId="2459"/>
    <cellStyle name="警告文本 2 2 2" xfId="25314"/>
    <cellStyle name="警告文本 2 2 2 2" xfId="2471"/>
    <cellStyle name="警告文本 2 2 2 2 2" xfId="612"/>
    <cellStyle name="警告文本 2 2 2 2 2 2" xfId="620"/>
    <cellStyle name="警告文本 2 2 2 2 2 3" xfId="657"/>
    <cellStyle name="警告文本 2 2 2 2 3" xfId="711"/>
    <cellStyle name="警告文本 2 2 2 3" xfId="2492"/>
    <cellStyle name="警告文本 2 2 2 3 2" xfId="1089"/>
    <cellStyle name="警告文本 2 2 2 3 3" xfId="1165"/>
    <cellStyle name="警告文本 2 2 2 4" xfId="3579"/>
    <cellStyle name="警告文本 2 2 3" xfId="28219"/>
    <cellStyle name="警告文本 2 2 3 2" xfId="2517"/>
    <cellStyle name="警告文本 2 2 3 2 2" xfId="17203"/>
    <cellStyle name="警告文本 2 2 3 2 3" xfId="17208"/>
    <cellStyle name="警告文本 2 2 3 3" xfId="28220"/>
    <cellStyle name="警告文本 2 2 4" xfId="26313"/>
    <cellStyle name="警告文本 2 2 4 2" xfId="26315"/>
    <cellStyle name="警告文本 2 2 4 3" xfId="24710"/>
    <cellStyle name="警告文本 2 2 5" xfId="26317"/>
    <cellStyle name="警告文本 2 3" xfId="28221"/>
    <cellStyle name="警告文本 2 3 2" xfId="25322"/>
    <cellStyle name="警告文本 2 3 2 2" xfId="28222"/>
    <cellStyle name="警告文本 2 3 2 2 2" xfId="28223"/>
    <cellStyle name="警告文本 2 3 2 2 3" xfId="28224"/>
    <cellStyle name="警告文本 2 3 2 3" xfId="28225"/>
    <cellStyle name="警告文本 2 3 3" xfId="28226"/>
    <cellStyle name="警告文本 2 3 3 2" xfId="28228"/>
    <cellStyle name="警告文本 2 3 3 3" xfId="28230"/>
    <cellStyle name="警告文本 2 3 4" xfId="28231"/>
    <cellStyle name="警告文本 2 4" xfId="28232"/>
    <cellStyle name="警告文本 2 4 2" xfId="28233"/>
    <cellStyle name="警告文本 2 4 2 2" xfId="26460"/>
    <cellStyle name="警告文本 2 4 2 2 2" xfId="26462"/>
    <cellStyle name="警告文本 2 4 2 2 3" xfId="28234"/>
    <cellStyle name="警告文本 2 4 2 3" xfId="11342"/>
    <cellStyle name="警告文本 2 4 3" xfId="16656"/>
    <cellStyle name="警告文本 2 4 3 2" xfId="28235"/>
    <cellStyle name="警告文本 2 4 3 3" xfId="28236"/>
    <cellStyle name="警告文本 2 4 4" xfId="16661"/>
    <cellStyle name="警告文本 2 5" xfId="28237"/>
    <cellStyle name="警告文本 2 5 2" xfId="28238"/>
    <cellStyle name="警告文本 2 5 2 2" xfId="28239"/>
    <cellStyle name="警告文本 2 5 2 3" xfId="27507"/>
    <cellStyle name="警告文本 2 5 3" xfId="28240"/>
    <cellStyle name="警告文本 2 6" xfId="28241"/>
    <cellStyle name="警告文本 2 6 2" xfId="28242"/>
    <cellStyle name="警告文本 2 6 3" xfId="28243"/>
    <cellStyle name="警告文本 2 7" xfId="28245"/>
    <cellStyle name="警告文本 3" xfId="28247"/>
    <cellStyle name="警告文本 3 2" xfId="28248"/>
    <cellStyle name="警告文本 3 2 2" xfId="19499"/>
    <cellStyle name="警告文本 3 2 2 2" xfId="2687"/>
    <cellStyle name="警告文本 3 2 2 2 2" xfId="2700"/>
    <cellStyle name="警告文本 3 2 2 2 2 2" xfId="1889"/>
    <cellStyle name="警告文本 3 2 2 2 2 3" xfId="1930"/>
    <cellStyle name="警告文本 3 2 2 2 3" xfId="2720"/>
    <cellStyle name="警告文本 3 2 2 3" xfId="2727"/>
    <cellStyle name="警告文本 3 2 2 3 2" xfId="4158"/>
    <cellStyle name="警告文本 3 2 2 3 3" xfId="4506"/>
    <cellStyle name="警告文本 3 2 2 4" xfId="3729"/>
    <cellStyle name="警告文本 3 2 3" xfId="15457"/>
    <cellStyle name="警告文本 3 2 3 2" xfId="2375"/>
    <cellStyle name="警告文本 3 2 3 2 2" xfId="14589"/>
    <cellStyle name="警告文本 3 2 3 2 3" xfId="14594"/>
    <cellStyle name="警告文本 3 2 3 3" xfId="19501"/>
    <cellStyle name="警告文本 3 2 4" xfId="15461"/>
    <cellStyle name="警告文本 3 2 4 2" xfId="19304"/>
    <cellStyle name="警告文本 3 2 4 3" xfId="19505"/>
    <cellStyle name="警告文本 3 2 5" xfId="15465"/>
    <cellStyle name="警告文本 3 3" xfId="28249"/>
    <cellStyle name="警告文本 3 3 2" xfId="19583"/>
    <cellStyle name="警告文本 3 3 2 2" xfId="19586"/>
    <cellStyle name="警告文本 3 3 2 2 2" xfId="24094"/>
    <cellStyle name="警告文本 3 3 2 2 3" xfId="28250"/>
    <cellStyle name="警告文本 3 3 2 3" xfId="19588"/>
    <cellStyle name="警告文本 3 3 3" xfId="19592"/>
    <cellStyle name="警告文本 3 3 3 2" xfId="19594"/>
    <cellStyle name="警告文本 3 3 3 3" xfId="18739"/>
    <cellStyle name="警告文本 3 3 4" xfId="19596"/>
    <cellStyle name="警告文本 3 4" xfId="28251"/>
    <cellStyle name="警告文本 3 4 2" xfId="19652"/>
    <cellStyle name="警告文本 3 4 2 2" xfId="19655"/>
    <cellStyle name="警告文本 3 4 2 2 2" xfId="28252"/>
    <cellStyle name="警告文本 3 4 2 2 3" xfId="28253"/>
    <cellStyle name="警告文本 3 4 2 3" xfId="19657"/>
    <cellStyle name="警告文本 3 4 3" xfId="19664"/>
    <cellStyle name="警告文本 3 4 3 2" xfId="19666"/>
    <cellStyle name="警告文本 3 4 3 3" xfId="19668"/>
    <cellStyle name="警告文本 3 4 4" xfId="19682"/>
    <cellStyle name="警告文本 3 5" xfId="28254"/>
    <cellStyle name="警告文本 3 5 2" xfId="19763"/>
    <cellStyle name="警告文本 3 5 2 2" xfId="18413"/>
    <cellStyle name="警告文本 3 5 2 3" xfId="18416"/>
    <cellStyle name="警告文本 3 5 3" xfId="19773"/>
    <cellStyle name="警告文本 3 6" xfId="28255"/>
    <cellStyle name="警告文本 3 6 2" xfId="19817"/>
    <cellStyle name="警告文本 3 6 3" xfId="19819"/>
    <cellStyle name="警告文本 3 7" xfId="28256"/>
    <cellStyle name="警告文本 4" xfId="28257"/>
    <cellStyle name="警告文本 4 2" xfId="28258"/>
    <cellStyle name="警告文本 4 2 2" xfId="20175"/>
    <cellStyle name="警告文本 4 2 2 2" xfId="1613"/>
    <cellStyle name="警告文本 4 2 2 2 2" xfId="5126"/>
    <cellStyle name="警告文本 4 2 2 2 2 2" xfId="4076"/>
    <cellStyle name="警告文本 4 2 2 2 2 3" xfId="2936"/>
    <cellStyle name="警告文本 4 2 2 2 3" xfId="5130"/>
    <cellStyle name="警告文本 4 2 2 3" xfId="1331"/>
    <cellStyle name="警告文本 4 2 2 3 2" xfId="5137"/>
    <cellStyle name="警告文本 4 2 2 3 3" xfId="5147"/>
    <cellStyle name="警告文本 4 2 2 4" xfId="5158"/>
    <cellStyle name="警告文本 4 2 3" xfId="20177"/>
    <cellStyle name="警告文本 4 2 3 2" xfId="3052"/>
    <cellStyle name="警告文本 4 2 3 2 2" xfId="24576"/>
    <cellStyle name="警告文本 4 2 3 2 3" xfId="28259"/>
    <cellStyle name="警告文本 4 2 3 3" xfId="20179"/>
    <cellStyle name="警告文本 4 2 4" xfId="20182"/>
    <cellStyle name="警告文本 4 2 4 2" xfId="20185"/>
    <cellStyle name="警告文本 4 2 4 3" xfId="20187"/>
    <cellStyle name="警告文本 4 2 5" xfId="20190"/>
    <cellStyle name="警告文本 4 3" xfId="28260"/>
    <cellStyle name="警告文本 4 3 2" xfId="10013"/>
    <cellStyle name="警告文本 4 3 2 2" xfId="10021"/>
    <cellStyle name="警告文本 4 3 2 2 2" xfId="28261"/>
    <cellStyle name="警告文本 4 3 2 2 3" xfId="28262"/>
    <cellStyle name="警告文本 4 3 2 3" xfId="10026"/>
    <cellStyle name="警告文本 4 3 3" xfId="10033"/>
    <cellStyle name="警告文本 4 3 3 2" xfId="20284"/>
    <cellStyle name="警告文本 4 3 3 3" xfId="20286"/>
    <cellStyle name="警告文本 4 3 4" xfId="20298"/>
    <cellStyle name="警告文本 4 4" xfId="28263"/>
    <cellStyle name="警告文本 4 4 2" xfId="5346"/>
    <cellStyle name="警告文本 4 4 2 2" xfId="12864"/>
    <cellStyle name="警告文本 4 4 2 2 2" xfId="28264"/>
    <cellStyle name="警告文本 4 4 2 2 3" xfId="28265"/>
    <cellStyle name="警告文本 4 4 2 3" xfId="12867"/>
    <cellStyle name="警告文本 4 4 3" xfId="5360"/>
    <cellStyle name="警告文本 4 4 3 2" xfId="12880"/>
    <cellStyle name="警告文本 4 4 3 3" xfId="12883"/>
    <cellStyle name="警告文本 4 4 4" xfId="20357"/>
    <cellStyle name="警告文本 4 5" xfId="2156"/>
    <cellStyle name="警告文本 4 5 2" xfId="5401"/>
    <cellStyle name="警告文本 4 5 2 2" xfId="28266"/>
    <cellStyle name="警告文本 4 5 2 3" xfId="28268"/>
    <cellStyle name="警告文本 4 5 3" xfId="5411"/>
    <cellStyle name="警告文本 4 6" xfId="3327"/>
    <cellStyle name="警告文本 4 6 2" xfId="20404"/>
    <cellStyle name="警告文本 4 6 3" xfId="20406"/>
    <cellStyle name="警告文本 4 7" xfId="28270"/>
    <cellStyle name="警告文本 5" xfId="17623"/>
    <cellStyle name="警告文本 5 2" xfId="28271"/>
    <cellStyle name="警告文本 5 2 2" xfId="823"/>
    <cellStyle name="警告文本 5 2 2 2" xfId="977"/>
    <cellStyle name="警告文本 5 2 2 2 2" xfId="4892"/>
    <cellStyle name="警告文本 5 2 2 2 3" xfId="5577"/>
    <cellStyle name="警告文本 5 2 2 3" xfId="3207"/>
    <cellStyle name="警告文本 5 2 3" xfId="2586"/>
    <cellStyle name="警告文本 5 2 3 2" xfId="3111"/>
    <cellStyle name="警告文本 5 2 3 3" xfId="4348"/>
    <cellStyle name="警告文本 5 2 4" xfId="4358"/>
    <cellStyle name="警告文本 5 3" xfId="28272"/>
    <cellStyle name="警告文本 5 3 2" xfId="3241"/>
    <cellStyle name="警告文本 5 3 2 2" xfId="18229"/>
    <cellStyle name="警告文本 5 3 2 3" xfId="18236"/>
    <cellStyle name="警告文本 5 3 3" xfId="4401"/>
    <cellStyle name="警告文本 5 4" xfId="28273"/>
    <cellStyle name="警告文本 5 4 2" xfId="3268"/>
    <cellStyle name="警告文本 5 4 3" xfId="3664"/>
    <cellStyle name="警告文本 5 5" xfId="8613"/>
    <cellStyle name="警告文本 6" xfId="12795"/>
    <cellStyle name="警告文本 6 2" xfId="26482"/>
    <cellStyle name="警告文本 6 2 2" xfId="2886"/>
    <cellStyle name="警告文本 6 2 2 2" xfId="21163"/>
    <cellStyle name="警告文本 6 2 2 3" xfId="21165"/>
    <cellStyle name="警告文本 6 2 3" xfId="2893"/>
    <cellStyle name="警告文本 6 3" xfId="26484"/>
    <cellStyle name="警告文本 6 3 2" xfId="3341"/>
    <cellStyle name="警告文本 6 3 3" xfId="4448"/>
    <cellStyle name="警告文本 6 4" xfId="28274"/>
    <cellStyle name="警告文本 7" xfId="7395"/>
    <cellStyle name="警告文本 7 2" xfId="26486"/>
    <cellStyle name="警告文本 7 2 2" xfId="3388"/>
    <cellStyle name="警告文本 7 2 2 2" xfId="21441"/>
    <cellStyle name="警告文本 7 2 2 3" xfId="21443"/>
    <cellStyle name="警告文本 7 2 3" xfId="4100"/>
    <cellStyle name="警告文本 7 3" xfId="26489"/>
    <cellStyle name="警告文本 7 3 2" xfId="3423"/>
    <cellStyle name="警告文本 7 3 3" xfId="4011"/>
    <cellStyle name="警告文本 7 4" xfId="26491"/>
    <cellStyle name="警告文本 8" xfId="3935"/>
    <cellStyle name="警告文本 8 2" xfId="28275"/>
    <cellStyle name="警告文本 8 2 2" xfId="1834"/>
    <cellStyle name="警告文本 8 2 3" xfId="1883"/>
    <cellStyle name="警告文本 8 3" xfId="28276"/>
    <cellStyle name="警告文本 9" xfId="12802"/>
    <cellStyle name="警告文本 9 2" xfId="28277"/>
    <cellStyle name="链接单元格 10" xfId="28278"/>
    <cellStyle name="链接单元格 2" xfId="28279"/>
    <cellStyle name="链接单元格 2 2" xfId="28280"/>
    <cellStyle name="链接单元格 2 2 2" xfId="28267"/>
    <cellStyle name="链接单元格 2 2 2 2" xfId="28281"/>
    <cellStyle name="链接单元格 2 2 2 2 2" xfId="28282"/>
    <cellStyle name="链接单元格 2 2 2 2 2 2" xfId="28283"/>
    <cellStyle name="链接单元格 2 2 2 2 2 3" xfId="28284"/>
    <cellStyle name="链接单元格 2 2 2 2 3" xfId="28285"/>
    <cellStyle name="链接单元格 2 2 2 3" xfId="28286"/>
    <cellStyle name="链接单元格 2 2 2 3 2" xfId="28287"/>
    <cellStyle name="链接单元格 2 2 2 3 3" xfId="28288"/>
    <cellStyle name="链接单元格 2 2 2 4" xfId="28289"/>
    <cellStyle name="链接单元格 2 2 3" xfId="28290"/>
    <cellStyle name="链接单元格 2 2 3 2" xfId="28291"/>
    <cellStyle name="链接单元格 2 2 3 2 2" xfId="28292"/>
    <cellStyle name="链接单元格 2 2 3 2 3" xfId="28293"/>
    <cellStyle name="链接单元格 2 2 3 3" xfId="28294"/>
    <cellStyle name="链接单元格 2 2 4" xfId="28295"/>
    <cellStyle name="链接单元格 2 2 4 2" xfId="28296"/>
    <cellStyle name="链接单元格 2 2 4 3" xfId="28297"/>
    <cellStyle name="链接单元格 2 2 5" xfId="25331"/>
    <cellStyle name="链接单元格 2 3" xfId="18897"/>
    <cellStyle name="链接单元格 2 3 2" xfId="28298"/>
    <cellStyle name="链接单元格 2 3 2 2" xfId="28299"/>
    <cellStyle name="链接单元格 2 3 2 2 2" xfId="2802"/>
    <cellStyle name="链接单元格 2 3 2 2 3" xfId="6376"/>
    <cellStyle name="链接单元格 2 3 2 3" xfId="2386"/>
    <cellStyle name="链接单元格 2 3 3" xfId="28300"/>
    <cellStyle name="链接单元格 2 3 3 2" xfId="28301"/>
    <cellStyle name="链接单元格 2 3 3 3" xfId="28302"/>
    <cellStyle name="链接单元格 2 3 4" xfId="28303"/>
    <cellStyle name="链接单元格 2 4" xfId="18900"/>
    <cellStyle name="链接单元格 2 4 2" xfId="28304"/>
    <cellStyle name="链接单元格 2 4 2 2" xfId="28305"/>
    <cellStyle name="链接单元格 2 4 2 2 2" xfId="6486"/>
    <cellStyle name="链接单元格 2 4 2 2 3" xfId="725"/>
    <cellStyle name="链接单元格 2 4 2 3" xfId="24624"/>
    <cellStyle name="链接单元格 2 4 3" xfId="28306"/>
    <cellStyle name="链接单元格 2 4 3 2" xfId="28307"/>
    <cellStyle name="链接单元格 2 4 3 3" xfId="28309"/>
    <cellStyle name="链接单元格 2 4 4" xfId="11744"/>
    <cellStyle name="链接单元格 2 5" xfId="18902"/>
    <cellStyle name="链接单元格 2 5 2" xfId="28310"/>
    <cellStyle name="链接单元格 2 5 2 2" xfId="28311"/>
    <cellStyle name="链接单元格 2 5 2 3" xfId="28313"/>
    <cellStyle name="链接单元格 2 5 3" xfId="28314"/>
    <cellStyle name="链接单元格 2 6" xfId="18904"/>
    <cellStyle name="链接单元格 2 6 2" xfId="6738"/>
    <cellStyle name="链接单元格 2 6 3" xfId="6749"/>
    <cellStyle name="链接单元格 2 7" xfId="18906"/>
    <cellStyle name="链接单元格 3" xfId="28315"/>
    <cellStyle name="链接单元格 3 2" xfId="28316"/>
    <cellStyle name="链接单元格 3 2 2" xfId="28317"/>
    <cellStyle name="链接单元格 3 2 2 2" xfId="28318"/>
    <cellStyle name="链接单元格 3 2 2 2 2" xfId="28319"/>
    <cellStyle name="链接单元格 3 2 2 2 2 2" xfId="28320"/>
    <cellStyle name="链接单元格 3 2 2 2 2 3" xfId="28321"/>
    <cellStyle name="链接单元格 3 2 2 2 3" xfId="28322"/>
    <cellStyle name="链接单元格 3 2 2 3" xfId="28323"/>
    <cellStyle name="链接单元格 3 2 2 3 2" xfId="28324"/>
    <cellStyle name="链接单元格 3 2 2 3 3" xfId="28325"/>
    <cellStyle name="链接单元格 3 2 2 4" xfId="28326"/>
    <cellStyle name="链接单元格 3 2 3" xfId="28327"/>
    <cellStyle name="链接单元格 3 2 3 2" xfId="28328"/>
    <cellStyle name="链接单元格 3 2 3 2 2" xfId="28329"/>
    <cellStyle name="链接单元格 3 2 3 2 3" xfId="28330"/>
    <cellStyle name="链接单元格 3 2 3 3" xfId="28331"/>
    <cellStyle name="链接单元格 3 2 4" xfId="28332"/>
    <cellStyle name="链接单元格 3 2 4 2" xfId="28333"/>
    <cellStyle name="链接单元格 3 2 4 3" xfId="28334"/>
    <cellStyle name="链接单元格 3 2 5" xfId="25401"/>
    <cellStyle name="链接单元格 3 3" xfId="18910"/>
    <cellStyle name="链接单元格 3 3 2" xfId="28335"/>
    <cellStyle name="链接单元格 3 3 2 2" xfId="28337"/>
    <cellStyle name="链接单元格 3 3 2 2 2" xfId="8957"/>
    <cellStyle name="链接单元格 3 3 2 2 3" xfId="8681"/>
    <cellStyle name="链接单元格 3 3 2 3" xfId="26823"/>
    <cellStyle name="链接单元格 3 3 3" xfId="28338"/>
    <cellStyle name="链接单元格 3 3 3 2" xfId="28340"/>
    <cellStyle name="链接单元格 3 3 3 3" xfId="28341"/>
    <cellStyle name="链接单元格 3 3 4" xfId="28342"/>
    <cellStyle name="链接单元格 3 4" xfId="18912"/>
    <cellStyle name="链接单元格 3 4 2" xfId="11547"/>
    <cellStyle name="链接单元格 3 4 2 2" xfId="11549"/>
    <cellStyle name="链接单元格 3 4 2 2 2" xfId="28343"/>
    <cellStyle name="链接单元格 3 4 2 2 3" xfId="2186"/>
    <cellStyle name="链接单元格 3 4 2 3" xfId="11551"/>
    <cellStyle name="链接单元格 3 4 3" xfId="281"/>
    <cellStyle name="链接单元格 3 4 3 2" xfId="27938"/>
    <cellStyle name="链接单元格 3 4 3 3" xfId="28344"/>
    <cellStyle name="链接单元格 3 4 4" xfId="11871"/>
    <cellStyle name="链接单元格 3 5" xfId="18914"/>
    <cellStyle name="链接单元格 3 5 2" xfId="11602"/>
    <cellStyle name="链接单元格 3 5 2 2" xfId="11605"/>
    <cellStyle name="链接单元格 3 5 2 3" xfId="11607"/>
    <cellStyle name="链接单元格 3 5 3" xfId="9541"/>
    <cellStyle name="链接单元格 3 6" xfId="18916"/>
    <cellStyle name="链接单元格 3 6 2" xfId="6774"/>
    <cellStyle name="链接单元格 3 6 3" xfId="6792"/>
    <cellStyle name="链接单元格 3 7" xfId="18918"/>
    <cellStyle name="链接单元格 4" xfId="28345"/>
    <cellStyle name="链接单元格 4 2" xfId="28346"/>
    <cellStyle name="链接单元格 4 2 2" xfId="28347"/>
    <cellStyle name="链接单元格 4 2 2 2" xfId="28348"/>
    <cellStyle name="链接单元格 4 2 2 2 2" xfId="1989"/>
    <cellStyle name="链接单元格 4 2 2 2 2 2" xfId="13718"/>
    <cellStyle name="链接单元格 4 2 2 2 2 3" xfId="9668"/>
    <cellStyle name="链接单元格 4 2 2 2 3" xfId="28349"/>
    <cellStyle name="链接单元格 4 2 2 3" xfId="28350"/>
    <cellStyle name="链接单元格 4 2 2 3 2" xfId="2116"/>
    <cellStyle name="链接单元格 4 2 2 3 3" xfId="28351"/>
    <cellStyle name="链接单元格 4 2 2 4" xfId="16464"/>
    <cellStyle name="链接单元格 4 2 3" xfId="5312"/>
    <cellStyle name="链接单元格 4 2 3 2" xfId="5325"/>
    <cellStyle name="链接单元格 4 2 3 2 2" xfId="8720"/>
    <cellStyle name="链接单元格 4 2 3 2 3" xfId="28352"/>
    <cellStyle name="链接单元格 4 2 3 3" xfId="5339"/>
    <cellStyle name="链接单元格 4 2 4" xfId="5344"/>
    <cellStyle name="链接单元格 4 2 4 2" xfId="28353"/>
    <cellStyle name="链接单元格 4 2 4 3" xfId="28354"/>
    <cellStyle name="链接单元格 4 2 5" xfId="25457"/>
    <cellStyle name="链接单元格 4 3" xfId="18920"/>
    <cellStyle name="链接单元格 4 3 2" xfId="9716"/>
    <cellStyle name="链接单元格 4 3 2 2" xfId="10644"/>
    <cellStyle name="链接单元格 4 3 2 2 2" xfId="8833"/>
    <cellStyle name="链接单元格 4 3 2 2 3" xfId="8800"/>
    <cellStyle name="链接单元格 4 3 2 3" xfId="10646"/>
    <cellStyle name="链接单元格 4 3 3" xfId="5380"/>
    <cellStyle name="链接单元格 4 3 3 2" xfId="28355"/>
    <cellStyle name="链接单元格 4 3 3 3" xfId="28356"/>
    <cellStyle name="链接单元格 4 3 4" xfId="5399"/>
    <cellStyle name="链接单元格 4 4" xfId="18922"/>
    <cellStyle name="链接单元格 4 4 2" xfId="10656"/>
    <cellStyle name="链接单元格 4 4 2 2" xfId="28357"/>
    <cellStyle name="链接单元格 4 4 2 2 2" xfId="3844"/>
    <cellStyle name="链接单元格 4 4 2 2 3" xfId="3089"/>
    <cellStyle name="链接单元格 4 4 2 3" xfId="28358"/>
    <cellStyle name="链接单元格 4 4 3" xfId="28359"/>
    <cellStyle name="链接单元格 4 4 3 2" xfId="28360"/>
    <cellStyle name="链接单元格 4 4 3 3" xfId="28361"/>
    <cellStyle name="链接单元格 4 4 4" xfId="11906"/>
    <cellStyle name="链接单元格 4 5" xfId="18924"/>
    <cellStyle name="链接单元格 4 5 2" xfId="10671"/>
    <cellStyle name="链接单元格 4 5 2 2" xfId="28362"/>
    <cellStyle name="链接单元格 4 5 2 3" xfId="28363"/>
    <cellStyle name="链接单元格 4 5 3" xfId="28364"/>
    <cellStyle name="链接单元格 4 6" xfId="1687"/>
    <cellStyle name="链接单元格 4 6 2" xfId="1974"/>
    <cellStyle name="链接单元格 4 6 3" xfId="2021"/>
    <cellStyle name="链接单元格 4 7" xfId="2097"/>
    <cellStyle name="链接单元格 5" xfId="25476"/>
    <cellStyle name="链接单元格 5 2" xfId="25478"/>
    <cellStyle name="链接单元格 5 2 2" xfId="28365"/>
    <cellStyle name="链接单元格 5 2 2 2" xfId="28366"/>
    <cellStyle name="链接单元格 5 2 2 2 2" xfId="13805"/>
    <cellStyle name="链接单元格 5 2 2 2 3" xfId="28367"/>
    <cellStyle name="链接单元格 5 2 2 3" xfId="25692"/>
    <cellStyle name="链接单元格 5 2 3" xfId="1850"/>
    <cellStyle name="链接单元格 5 2 3 2" xfId="28368"/>
    <cellStyle name="链接单元格 5 2 3 3" xfId="28369"/>
    <cellStyle name="链接单元格 5 2 4" xfId="3272"/>
    <cellStyle name="链接单元格 5 3" xfId="18510"/>
    <cellStyle name="链接单元格 5 3 2" xfId="10690"/>
    <cellStyle name="链接单元格 5 3 2 2" xfId="24708"/>
    <cellStyle name="链接单元格 5 3 2 3" xfId="24715"/>
    <cellStyle name="链接单元格 5 3 3" xfId="28370"/>
    <cellStyle name="链接单元格 5 4" xfId="18516"/>
    <cellStyle name="链接单元格 5 4 2" xfId="28371"/>
    <cellStyle name="链接单元格 5 4 3" xfId="28372"/>
    <cellStyle name="链接单元格 5 5" xfId="18518"/>
    <cellStyle name="链接单元格 6" xfId="25481"/>
    <cellStyle name="链接单元格 6 2" xfId="28373"/>
    <cellStyle name="链接单元格 6 2 2" xfId="28375"/>
    <cellStyle name="链接单元格 6 2 2 2" xfId="28376"/>
    <cellStyle name="链接单元格 6 2 2 3" xfId="28377"/>
    <cellStyle name="链接单元格 6 2 3" xfId="8630"/>
    <cellStyle name="链接单元格 6 3" xfId="8648"/>
    <cellStyle name="链接单元格 6 3 2" xfId="28379"/>
    <cellStyle name="链接单元格 6 3 3" xfId="28381"/>
    <cellStyle name="链接单元格 6 4" xfId="8653"/>
    <cellStyle name="链接单元格 7" xfId="25484"/>
    <cellStyle name="链接单元格 7 2" xfId="28382"/>
    <cellStyle name="链接单元格 7 2 2" xfId="21310"/>
    <cellStyle name="链接单元格 7 2 2 2" xfId="4613"/>
    <cellStyle name="链接单元格 7 2 2 3" xfId="28384"/>
    <cellStyle name="链接单元格 7 2 3" xfId="21313"/>
    <cellStyle name="链接单元格 7 3" xfId="18927"/>
    <cellStyle name="链接单元格 7 3 2" xfId="21320"/>
    <cellStyle name="链接单元格 7 3 3" xfId="21322"/>
    <cellStyle name="链接单元格 7 4" xfId="18929"/>
    <cellStyle name="链接单元格 8" xfId="23307"/>
    <cellStyle name="链接单元格 8 2" xfId="28385"/>
    <cellStyle name="链接单元格 8 2 2" xfId="28387"/>
    <cellStyle name="链接单元格 8 2 3" xfId="28389"/>
    <cellStyle name="链接单元格 8 3" xfId="28390"/>
    <cellStyle name="链接单元格 9" xfId="23309"/>
    <cellStyle name="链接单元格 9 2" xfId="25882"/>
    <cellStyle name="强调文字颜色 1 2" xfId="1067"/>
    <cellStyle name="强调文字颜色 1 2 10" xfId="7592"/>
    <cellStyle name="强调文字颜色 1 2 2" xfId="28392"/>
    <cellStyle name="强调文字颜色 1 2 2 2" xfId="28393"/>
    <cellStyle name="强调文字颜色 1 2 2 2 2" xfId="24174"/>
    <cellStyle name="强调文字颜色 1 2 2 2 2 2" xfId="19558"/>
    <cellStyle name="强调文字颜色 1 2 2 2 2 2 2" xfId="28394"/>
    <cellStyle name="强调文字颜色 1 2 2 2 2 2 2 2" xfId="28396"/>
    <cellStyle name="强调文字颜色 1 2 2 2 2 2 2 3" xfId="25394"/>
    <cellStyle name="强调文字颜色 1 2 2 2 2 2 3" xfId="28397"/>
    <cellStyle name="强调文字颜色 1 2 2 2 2 3" xfId="19562"/>
    <cellStyle name="强调文字颜色 1 2 2 2 2 3 2" xfId="28398"/>
    <cellStyle name="强调文字颜色 1 2 2 2 2 3 3" xfId="28399"/>
    <cellStyle name="强调文字颜色 1 2 2 2 2 4" xfId="28400"/>
    <cellStyle name="强调文字颜色 1 2 2 2 3" xfId="24176"/>
    <cellStyle name="强调文字颜色 1 2 2 2 3 2" xfId="21581"/>
    <cellStyle name="强调文字颜色 1 2 2 2 3 2 2" xfId="28401"/>
    <cellStyle name="强调文字颜色 1 2 2 2 3 2 3" xfId="28402"/>
    <cellStyle name="强调文字颜色 1 2 2 2 3 3" xfId="21585"/>
    <cellStyle name="强调文字颜色 1 2 2 2 4" xfId="24179"/>
    <cellStyle name="强调文字颜色 1 2 2 2 4 2" xfId="5045"/>
    <cellStyle name="强调文字颜色 1 2 2 2 4 3" xfId="28403"/>
    <cellStyle name="强调文字颜色 1 2 2 2 5" xfId="24182"/>
    <cellStyle name="强调文字颜色 1 2 2 3" xfId="28404"/>
    <cellStyle name="强调文字颜色 1 2 2 3 2" xfId="24189"/>
    <cellStyle name="强调文字颜色 1 2 2 3 2 2" xfId="28405"/>
    <cellStyle name="强调文字颜色 1 2 2 3 2 2 2" xfId="17370"/>
    <cellStyle name="强调文字颜色 1 2 2 3 2 2 3" xfId="17373"/>
    <cellStyle name="强调文字颜色 1 2 2 3 2 3" xfId="28406"/>
    <cellStyle name="强调文字颜色 1 2 2 3 3" xfId="24191"/>
    <cellStyle name="强调文字颜色 1 2 2 3 3 2" xfId="8745"/>
    <cellStyle name="强调文字颜色 1 2 2 3 3 3" xfId="28407"/>
    <cellStyle name="强调文字颜色 1 2 2 3 4" xfId="1455"/>
    <cellStyle name="强调文字颜色 1 2 2 4" xfId="28408"/>
    <cellStyle name="强调文字颜色 1 2 2 4 2" xfId="24198"/>
    <cellStyle name="强调文字颜色 1 2 2 4 2 2" xfId="28409"/>
    <cellStyle name="强调文字颜色 1 2 2 4 2 2 2" xfId="28410"/>
    <cellStyle name="强调文字颜色 1 2 2 4 2 2 3" xfId="28411"/>
    <cellStyle name="强调文字颜色 1 2 2 4 2 3" xfId="28412"/>
    <cellStyle name="强调文字颜色 1 2 2 4 3" xfId="24200"/>
    <cellStyle name="强调文字颜色 1 2 2 4 3 2" xfId="28413"/>
    <cellStyle name="强调文字颜色 1 2 2 4 3 3" xfId="28414"/>
    <cellStyle name="强调文字颜色 1 2 2 4 4" xfId="24202"/>
    <cellStyle name="强调文字颜色 1 2 2 5" xfId="28415"/>
    <cellStyle name="强调文字颜色 1 2 2 5 2" xfId="24210"/>
    <cellStyle name="强调文字颜色 1 2 2 5 2 2" xfId="28416"/>
    <cellStyle name="强调文字颜色 1 2 2 5 2 3" xfId="28417"/>
    <cellStyle name="强调文字颜色 1 2 2 5 3" xfId="24212"/>
    <cellStyle name="强调文字颜色 1 2 2 6" xfId="28418"/>
    <cellStyle name="强调文字颜色 1 2 2 6 2" xfId="24220"/>
    <cellStyle name="强调文字颜色 1 2 2 6 3" xfId="24222"/>
    <cellStyle name="强调文字颜色 1 2 2 7" xfId="15816"/>
    <cellStyle name="强调文字颜色 1 2 3" xfId="28420"/>
    <cellStyle name="强调文字颜色 1 2 3 2" xfId="28421"/>
    <cellStyle name="强调文字颜色 1 2 3 2 2" xfId="24683"/>
    <cellStyle name="强调文字颜色 1 2 3 2 2 2" xfId="19695"/>
    <cellStyle name="强调文字颜色 1 2 3 2 2 2 2" xfId="24685"/>
    <cellStyle name="强调文字颜色 1 2 3 2 2 2 2 2" xfId="20671"/>
    <cellStyle name="强调文字颜色 1 2 3 2 2 2 2 3" xfId="20673"/>
    <cellStyle name="强调文字颜色 1 2 3 2 2 2 3" xfId="24688"/>
    <cellStyle name="强调文字颜色 1 2 3 2 2 3" xfId="19698"/>
    <cellStyle name="强调文字颜色 1 2 3 2 2 3 2" xfId="24691"/>
    <cellStyle name="强调文字颜色 1 2 3 2 2 3 3" xfId="24695"/>
    <cellStyle name="强调文字颜色 1 2 3 2 2 4" xfId="8381"/>
    <cellStyle name="强调文字颜色 1 2 3 2 3" xfId="24699"/>
    <cellStyle name="强调文字颜色 1 2 3 2 3 2" xfId="19708"/>
    <cellStyle name="强调文字颜色 1 2 3 2 3 2 2" xfId="17562"/>
    <cellStyle name="强调文字颜色 1 2 3 2 3 2 3" xfId="16402"/>
    <cellStyle name="强调文字颜色 1 2 3 2 3 3" xfId="19712"/>
    <cellStyle name="强调文字颜色 1 2 3 2 4" xfId="24702"/>
    <cellStyle name="强调文字颜色 1 2 3 2 4 2" xfId="19722"/>
    <cellStyle name="强调文字颜色 1 2 3 2 4 3" xfId="19724"/>
    <cellStyle name="强调文字颜色 1 2 3 2 5" xfId="28422"/>
    <cellStyle name="强调文字颜色 1 2 3 3" xfId="28423"/>
    <cellStyle name="强调文字颜色 1 2 3 3 2" xfId="20222"/>
    <cellStyle name="强调文字颜色 1 2 3 3 2 2" xfId="15111"/>
    <cellStyle name="强调文字颜色 1 2 3 3 2 2 2" xfId="4748"/>
    <cellStyle name="强调文字颜色 1 2 3 3 2 2 3" xfId="5494"/>
    <cellStyle name="强调文字颜色 1 2 3 3 2 3" xfId="15115"/>
    <cellStyle name="强调文字颜色 1 2 3 3 3" xfId="20225"/>
    <cellStyle name="强调文字颜色 1 2 3 3 3 2" xfId="9100"/>
    <cellStyle name="强调文字颜色 1 2 3 3 3 3" xfId="19805"/>
    <cellStyle name="强调文字颜色 1 2 3 3 4" xfId="20228"/>
    <cellStyle name="强调文字颜色 1 2 3 4" xfId="24572"/>
    <cellStyle name="强调文字颜色 1 2 3 4 2" xfId="24946"/>
    <cellStyle name="强调文字颜色 1 2 3 4 2 2" xfId="24948"/>
    <cellStyle name="强调文字颜色 1 2 3 4 2 2 2" xfId="4896"/>
    <cellStyle name="强调文字颜色 1 2 3 4 2 2 3" xfId="24950"/>
    <cellStyle name="强调文字颜色 1 2 3 4 2 3" xfId="24952"/>
    <cellStyle name="强调文字颜色 1 2 3 4 3" xfId="24955"/>
    <cellStyle name="强调文字颜色 1 2 3 4 3 2" xfId="28424"/>
    <cellStyle name="强调文字颜色 1 2 3 4 3 3" xfId="28425"/>
    <cellStyle name="强调文字颜色 1 2 3 4 4" xfId="28426"/>
    <cellStyle name="强调文字颜色 1 2 3 5" xfId="28427"/>
    <cellStyle name="强调文字颜色 1 2 3 5 2" xfId="28428"/>
    <cellStyle name="强调文字颜色 1 2 3 5 2 2" xfId="28429"/>
    <cellStyle name="强调文字颜色 1 2 3 5 2 3" xfId="28430"/>
    <cellStyle name="强调文字颜色 1 2 3 5 3" xfId="28431"/>
    <cellStyle name="强调文字颜色 1 2 3 6" xfId="28432"/>
    <cellStyle name="强调文字颜色 1 2 3 6 2" xfId="28433"/>
    <cellStyle name="强调文字颜色 1 2 3 6 3" xfId="28434"/>
    <cellStyle name="强调文字颜色 1 2 3 7" xfId="28435"/>
    <cellStyle name="强调文字颜色 1 2 4" xfId="25110"/>
    <cellStyle name="强调文字颜色 1 2 4 2" xfId="28436"/>
    <cellStyle name="强调文字颜色 1 2 4 2 2" xfId="25290"/>
    <cellStyle name="强调文字颜色 1 2 4 2 2 2" xfId="20364"/>
    <cellStyle name="强调文字颜色 1 2 4 2 2 2 2" xfId="25292"/>
    <cellStyle name="强调文字颜色 1 2 4 2 2 2 2 2" xfId="18260"/>
    <cellStyle name="强调文字颜色 1 2 4 2 2 2 2 3" xfId="18263"/>
    <cellStyle name="强调文字颜色 1 2 4 2 2 2 3" xfId="25294"/>
    <cellStyle name="强调文字颜色 1 2 4 2 2 3" xfId="20367"/>
    <cellStyle name="强调文字颜色 1 2 4 2 2 3 2" xfId="25296"/>
    <cellStyle name="强调文字颜色 1 2 4 2 2 3 3" xfId="25300"/>
    <cellStyle name="强调文字颜色 1 2 4 2 2 4" xfId="8430"/>
    <cellStyle name="强调文字颜色 1 2 4 2 3" xfId="25303"/>
    <cellStyle name="强调文字颜色 1 2 4 2 3 2" xfId="20378"/>
    <cellStyle name="强调文字颜色 1 2 4 2 3 2 2" xfId="17733"/>
    <cellStyle name="强调文字颜色 1 2 4 2 3 2 3" xfId="17738"/>
    <cellStyle name="强调文字颜色 1 2 4 2 3 3" xfId="20381"/>
    <cellStyle name="强调文字颜色 1 2 4 2 4" xfId="25306"/>
    <cellStyle name="强调文字颜色 1 2 4 2 4 2" xfId="20392"/>
    <cellStyle name="强调文字颜色 1 2 4 2 4 3" xfId="20394"/>
    <cellStyle name="强调文字颜色 1 2 4 2 5" xfId="28437"/>
    <cellStyle name="强调文字颜色 1 2 4 3" xfId="28439"/>
    <cellStyle name="强调文字颜色 1 2 4 3 2" xfId="25367"/>
    <cellStyle name="强调文字颜色 1 2 4 3 2 2" xfId="11829"/>
    <cellStyle name="强调文字颜色 1 2 4 3 2 2 2" xfId="11832"/>
    <cellStyle name="强调文字颜色 1 2 4 3 2 2 3" xfId="11838"/>
    <cellStyle name="强调文字颜色 1 2 4 3 2 3" xfId="11841"/>
    <cellStyle name="强调文字颜色 1 2 4 3 3" xfId="25372"/>
    <cellStyle name="强调文字颜色 1 2 4 3 3 2" xfId="8520"/>
    <cellStyle name="强调文字颜色 1 2 4 3 3 3" xfId="11856"/>
    <cellStyle name="强调文字颜色 1 2 4 3 4" xfId="28440"/>
    <cellStyle name="强调文字颜色 1 2 4 4" xfId="28442"/>
    <cellStyle name="强调文字颜色 1 2 4 4 2" xfId="25436"/>
    <cellStyle name="强调文字颜色 1 2 4 4 2 2" xfId="8576"/>
    <cellStyle name="强调文字颜色 1 2 4 4 2 2 2" xfId="25438"/>
    <cellStyle name="强调文字颜色 1 2 4 4 2 2 3" xfId="25440"/>
    <cellStyle name="强调文字颜色 1 2 4 4 2 3" xfId="9028"/>
    <cellStyle name="强调文字颜色 1 2 4 4 3" xfId="25442"/>
    <cellStyle name="强调文字颜色 1 2 4 4 3 2" xfId="28443"/>
    <cellStyle name="强调文字颜色 1 2 4 4 3 3" xfId="28444"/>
    <cellStyle name="强调文字颜色 1 2 4 4 4" xfId="28445"/>
    <cellStyle name="强调文字颜色 1 2 4 5" xfId="12253"/>
    <cellStyle name="强调文字颜色 1 2 4 5 2" xfId="28446"/>
    <cellStyle name="强调文字颜色 1 2 4 5 2 2" xfId="9710"/>
    <cellStyle name="强调文字颜色 1 2 4 5 2 3" xfId="9720"/>
    <cellStyle name="强调文字颜色 1 2 4 5 3" xfId="28447"/>
    <cellStyle name="强调文字颜色 1 2 4 6" xfId="8944"/>
    <cellStyle name="强调文字颜色 1 2 4 6 2" xfId="28448"/>
    <cellStyle name="强调文字颜色 1 2 4 6 3" xfId="28449"/>
    <cellStyle name="强调文字颜色 1 2 4 7" xfId="8955"/>
    <cellStyle name="强调文字颜色 1 2 5" xfId="25112"/>
    <cellStyle name="强调文字颜色 1 2 5 2" xfId="25114"/>
    <cellStyle name="强调文字颜色 1 2 5 2 2" xfId="7982"/>
    <cellStyle name="强调文字颜色 1 2 5 2 2 2" xfId="4555"/>
    <cellStyle name="强调文字颜色 1 2 5 2 2 2 2" xfId="7986"/>
    <cellStyle name="强调文字颜色 1 2 5 2 2 2 3" xfId="7993"/>
    <cellStyle name="强调文字颜色 1 2 5 2 2 3" xfId="7999"/>
    <cellStyle name="强调文字颜色 1 2 5 2 3" xfId="8010"/>
    <cellStyle name="强调文字颜色 1 2 5 2 3 2" xfId="8014"/>
    <cellStyle name="强调文字颜色 1 2 5 2 3 3" xfId="8028"/>
    <cellStyle name="强调文字颜色 1 2 5 2 4" xfId="8032"/>
    <cellStyle name="强调文字颜色 1 2 5 3" xfId="1262"/>
    <cellStyle name="强调文字颜色 1 2 5 3 2" xfId="6460"/>
    <cellStyle name="强调文字颜色 1 2 5 3 2 2" xfId="4590"/>
    <cellStyle name="强调文字颜色 1 2 5 3 2 3" xfId="8143"/>
    <cellStyle name="强调文字颜色 1 2 5 3 3" xfId="8153"/>
    <cellStyle name="强调文字颜色 1 2 5 4" xfId="1267"/>
    <cellStyle name="强调文字颜色 1 2 5 4 2" xfId="8218"/>
    <cellStyle name="强调文字颜色 1 2 5 4 3" xfId="8231"/>
    <cellStyle name="强调文字颜色 1 2 5 5" xfId="1308"/>
    <cellStyle name="强调文字颜色 1 2 6" xfId="27195"/>
    <cellStyle name="强调文字颜色 1 2 6 2" xfId="27197"/>
    <cellStyle name="强调文字颜色 1 2 6 2 2" xfId="16826"/>
    <cellStyle name="强调文字颜色 1 2 6 2 2 2" xfId="21788"/>
    <cellStyle name="强调文字颜色 1 2 6 2 2 3" xfId="21791"/>
    <cellStyle name="强调文字颜色 1 2 6 2 3" xfId="26225"/>
    <cellStyle name="强调文字颜色 1 2 6 3" xfId="27199"/>
    <cellStyle name="强调文字颜色 1 2 6 3 2" xfId="16845"/>
    <cellStyle name="强调文字颜色 1 2 6 3 3" xfId="26334"/>
    <cellStyle name="强调文字颜色 1 2 6 4" xfId="28450"/>
    <cellStyle name="强调文字颜色 1 2 7" xfId="27201"/>
    <cellStyle name="强调文字颜色 1 2 7 2" xfId="28451"/>
    <cellStyle name="强调文字颜色 1 2 7 2 2" xfId="11092"/>
    <cellStyle name="强调文字颜色 1 2 7 2 2 2" xfId="12118"/>
    <cellStyle name="强调文字颜色 1 2 7 2 2 3" xfId="18956"/>
    <cellStyle name="强调文字颜色 1 2 7 2 3" xfId="26661"/>
    <cellStyle name="强调文字颜色 1 2 7 3" xfId="28453"/>
    <cellStyle name="强调文字颜色 1 2 7 3 2" xfId="26812"/>
    <cellStyle name="强调文字颜色 1 2 7 3 3" xfId="26814"/>
    <cellStyle name="强调文字颜色 1 2 7 4" xfId="28455"/>
    <cellStyle name="强调文字颜色 1 2 8" xfId="26054"/>
    <cellStyle name="强调文字颜色 1 2 8 2" xfId="28456"/>
    <cellStyle name="强调文字颜色 1 2 8 2 2" xfId="27041"/>
    <cellStyle name="强调文字颜色 1 2 8 2 3" xfId="27044"/>
    <cellStyle name="强调文字颜色 1 2 8 3" xfId="28457"/>
    <cellStyle name="强调文字颜色 1 2 9" xfId="26056"/>
    <cellStyle name="强调文字颜色 1 2 9 2" xfId="26058"/>
    <cellStyle name="强调文字颜色 2 2" xfId="2192"/>
    <cellStyle name="强调文字颜色 2 2 10" xfId="10959"/>
    <cellStyle name="强调文字颜色 2 2 2" xfId="28459"/>
    <cellStyle name="强调文字颜色 2 2 2 2" xfId="22539"/>
    <cellStyle name="强调文字颜色 2 2 2 2 2" xfId="28460"/>
    <cellStyle name="强调文字颜色 2 2 2 2 2 2" xfId="28461"/>
    <cellStyle name="强调文字颜色 2 2 2 2 2 2 2" xfId="28463"/>
    <cellStyle name="强调文字颜色 2 2 2 2 2 2 2 2" xfId="28464"/>
    <cellStyle name="强调文字颜色 2 2 2 2 2 2 2 3" xfId="28465"/>
    <cellStyle name="强调文字颜色 2 2 2 2 2 2 3" xfId="27957"/>
    <cellStyle name="强调文字颜色 2 2 2 2 2 3" xfId="28466"/>
    <cellStyle name="强调文字颜色 2 2 2 2 2 3 2" xfId="28467"/>
    <cellStyle name="强调文字颜色 2 2 2 2 2 3 3" xfId="27961"/>
    <cellStyle name="强调文字颜色 2 2 2 2 2 4" xfId="28468"/>
    <cellStyle name="强调文字颜色 2 2 2 2 3" xfId="26436"/>
    <cellStyle name="强调文字颜色 2 2 2 2 3 2" xfId="26438"/>
    <cellStyle name="强调文字颜色 2 2 2 2 3 2 2" xfId="28469"/>
    <cellStyle name="强调文字颜色 2 2 2 2 3 2 3" xfId="27975"/>
    <cellStyle name="强调文字颜色 2 2 2 2 3 3" xfId="26440"/>
    <cellStyle name="强调文字颜色 2 2 2 2 3 3 2" xfId="26442"/>
    <cellStyle name="强调文字颜色 2 2 2 2 3 3 3" xfId="28470"/>
    <cellStyle name="强调文字颜色 2 2 2 2 3 4" xfId="28471"/>
    <cellStyle name="强调文字颜色 2 2 2 2 3 5" xfId="28472"/>
    <cellStyle name="强调文字颜色 2 2 2 2 3 5 2" xfId="28474"/>
    <cellStyle name="强调文字颜色 2 2 2 2 3 5 3" xfId="28476"/>
    <cellStyle name="强调文字颜色 2 2 2 2 3 6" xfId="28478"/>
    <cellStyle name="强调文字颜色 2 2 2 2 4" xfId="26444"/>
    <cellStyle name="强调文字颜色 2 2 2 2 4 2" xfId="28479"/>
    <cellStyle name="强调文字颜色 2 2 2 2 4 3" xfId="28480"/>
    <cellStyle name="强调文字颜色 2 2 2 2 5" xfId="26447"/>
    <cellStyle name="强调文字颜色 2 2 2 3" xfId="5432"/>
    <cellStyle name="强调文字颜色 2 2 2 3 2" xfId="28482"/>
    <cellStyle name="强调文字颜色 2 2 2 3 2 2" xfId="12424"/>
    <cellStyle name="强调文字颜色 2 2 2 3 2 2 2" xfId="28483"/>
    <cellStyle name="强调文字颜色 2 2 2 3 2 2 3" xfId="28010"/>
    <cellStyle name="强调文字颜色 2 2 2 3 2 3" xfId="12965"/>
    <cellStyle name="强调文字颜色 2 2 2 3 2 3 2" xfId="28484"/>
    <cellStyle name="强调文字颜色 2 2 2 3 2 3 3" xfId="28013"/>
    <cellStyle name="强调文字颜色 2 2 2 3 2 4" xfId="12967"/>
    <cellStyle name="强调文字颜色 2 2 2 3 2 5" xfId="12969"/>
    <cellStyle name="强调文字颜色 2 2 2 3 2 5 2" xfId="9372"/>
    <cellStyle name="强调文字颜色 2 2 2 3 2 5 3" xfId="28486"/>
    <cellStyle name="强调文字颜色 2 2 2 3 2 6" xfId="10074"/>
    <cellStyle name="强调文字颜色 2 2 2 3 3" xfId="28487"/>
    <cellStyle name="强调文字颜色 2 2 2 3 3 2" xfId="12974"/>
    <cellStyle name="强调文字颜色 2 2 2 3 3 3" xfId="12976"/>
    <cellStyle name="强调文字颜色 2 2 2 3 4" xfId="28488"/>
    <cellStyle name="强调文字颜色 2 2 2 3 4 2" xfId="12650"/>
    <cellStyle name="强调文字颜色 2 2 2 3 4 3" xfId="12982"/>
    <cellStyle name="强调文字颜色 2 2 2 3 5" xfId="28489"/>
    <cellStyle name="强调文字颜色 2 2 2 3 6" xfId="28490"/>
    <cellStyle name="强调文字颜色 2 2 2 3 6 2" xfId="28491"/>
    <cellStyle name="强调文字颜色 2 2 2 3 6 3" xfId="28492"/>
    <cellStyle name="强调文字颜色 2 2 2 3 7" xfId="28493"/>
    <cellStyle name="强调文字颜色 2 2 2 4" xfId="5435"/>
    <cellStyle name="强调文字颜色 2 2 2 4 2" xfId="28494"/>
    <cellStyle name="强调文字颜色 2 2 2 4 2 2" xfId="13069"/>
    <cellStyle name="强调文字颜色 2 2 2 4 2 2 2" xfId="17698"/>
    <cellStyle name="强调文字颜色 2 2 2 4 2 2 3" xfId="17703"/>
    <cellStyle name="强调文字颜色 2 2 2 4 2 3" xfId="13072"/>
    <cellStyle name="强调文字颜色 2 2 2 4 2 3 2" xfId="17718"/>
    <cellStyle name="强调文字颜色 2 2 2 4 2 3 3" xfId="17721"/>
    <cellStyle name="强调文字颜色 2 2 2 4 2 4" xfId="13075"/>
    <cellStyle name="强调文字颜色 2 2 2 4 2 5" xfId="13078"/>
    <cellStyle name="强调文字颜色 2 2 2 4 2 5 2" xfId="9425"/>
    <cellStyle name="强调文字颜色 2 2 2 4 2 5 3" xfId="28496"/>
    <cellStyle name="强调文字颜色 2 2 2 4 2 6" xfId="10824"/>
    <cellStyle name="强调文字颜色 2 2 2 4 3" xfId="18436"/>
    <cellStyle name="强调文字颜色 2 2 2 4 3 2" xfId="13081"/>
    <cellStyle name="强调文字颜色 2 2 2 4 3 3" xfId="13083"/>
    <cellStyle name="强调文字颜色 2 2 2 4 4" xfId="18438"/>
    <cellStyle name="强调文字颜色 2 2 2 4 4 2" xfId="13093"/>
    <cellStyle name="强调文字颜色 2 2 2 4 4 3" xfId="13098"/>
    <cellStyle name="强调文字颜色 2 2 2 4 5" xfId="18441"/>
    <cellStyle name="强调文字颜色 2 2 2 4 6" xfId="18444"/>
    <cellStyle name="强调文字颜色 2 2 2 4 6 2" xfId="28497"/>
    <cellStyle name="强调文字颜色 2 2 2 4 6 3" xfId="28498"/>
    <cellStyle name="强调文字颜色 2 2 2 4 7" xfId="18446"/>
    <cellStyle name="强调文字颜色 2 2 2 5" xfId="22541"/>
    <cellStyle name="强调文字颜色 2 2 2 5 2" xfId="28499"/>
    <cellStyle name="强调文字颜色 2 2 2 5 2 2" xfId="28500"/>
    <cellStyle name="强调文字颜色 2 2 2 5 2 3" xfId="28501"/>
    <cellStyle name="强调文字颜色 2 2 2 5 3" xfId="18451"/>
    <cellStyle name="强调文字颜色 2 2 2 5 3 2" xfId="28502"/>
    <cellStyle name="强调文字颜色 2 2 2 5 3 3" xfId="28503"/>
    <cellStyle name="强调文字颜色 2 2 2 5 4" xfId="18453"/>
    <cellStyle name="强调文字颜色 2 2 2 5 5" xfId="18456"/>
    <cellStyle name="强调文字颜色 2 2 2 5 5 2" xfId="21745"/>
    <cellStyle name="强调文字颜色 2 2 2 5 5 3" xfId="21747"/>
    <cellStyle name="强调文字颜色 2 2 2 5 6" xfId="18459"/>
    <cellStyle name="强调文字颜色 2 2 2 6" xfId="22544"/>
    <cellStyle name="强调文字颜色 2 2 2 6 2" xfId="24919"/>
    <cellStyle name="强调文字颜色 2 2 2 6 3" xfId="18466"/>
    <cellStyle name="强调文字颜色 2 2 2 7" xfId="22547"/>
    <cellStyle name="强调文字颜色 2 2 3" xfId="28505"/>
    <cellStyle name="强调文字颜色 2 2 3 10" xfId="24032"/>
    <cellStyle name="强调文字颜色 2 2 3 2" xfId="22549"/>
    <cellStyle name="强调文字颜色 2 2 3 2 2" xfId="28506"/>
    <cellStyle name="强调文字颜色 2 2 3 2 2 2" xfId="19565"/>
    <cellStyle name="强调文字颜色 2 2 3 2 2 2 2" xfId="28507"/>
    <cellStyle name="强调文字颜色 2 2 3 2 2 2 2 2" xfId="28508"/>
    <cellStyle name="强调文字颜色 2 2 3 2 2 2 2 3" xfId="28509"/>
    <cellStyle name="强调文字颜色 2 2 3 2 2 2 3" xfId="28510"/>
    <cellStyle name="强调文字颜色 2 2 3 2 2 2 3 2" xfId="16437"/>
    <cellStyle name="强调文字颜色 2 2 3 2 2 2 3 3" xfId="28511"/>
    <cellStyle name="强调文字颜色 2 2 3 2 2 2 4" xfId="28512"/>
    <cellStyle name="强调文字颜色 2 2 3 2 2 2 5" xfId="28513"/>
    <cellStyle name="强调文字颜色 2 2 3 2 2 2 5 2" xfId="23176"/>
    <cellStyle name="强调文字颜色 2 2 3 2 2 2 5 3" xfId="28514"/>
    <cellStyle name="强调文字颜色 2 2 3 2 2 2 6" xfId="28515"/>
    <cellStyle name="强调文字颜色 2 2 3 2 2 3" xfId="14669"/>
    <cellStyle name="强调文字颜色 2 2 3 2 2 3 2" xfId="28516"/>
    <cellStyle name="强调文字颜色 2 2 3 2 2 3 3" xfId="28517"/>
    <cellStyle name="强调文字颜色 2 2 3 2 2 4" xfId="8723"/>
    <cellStyle name="强调文字颜色 2 2 3 2 2 4 2" xfId="28518"/>
    <cellStyle name="强调文字颜色 2 2 3 2 2 4 3" xfId="28519"/>
    <cellStyle name="强调文字颜色 2 2 3 2 2 5" xfId="8728"/>
    <cellStyle name="强调文字颜色 2 2 3 2 2 6" xfId="9182"/>
    <cellStyle name="强调文字颜色 2 2 3 2 2 6 2" xfId="15894"/>
    <cellStyle name="强调文字颜色 2 2 3 2 2 6 3" xfId="15900"/>
    <cellStyle name="强调文字颜色 2 2 3 2 2 7" xfId="9186"/>
    <cellStyle name="强调文字颜色 2 2 3 2 3" xfId="27870"/>
    <cellStyle name="强调文字颜色 2 2 3 2 3 2" xfId="28520"/>
    <cellStyle name="强调文字颜色 2 2 3 2 3 2 2" xfId="28521"/>
    <cellStyle name="强调文字颜色 2 2 3 2 3 2 3" xfId="20579"/>
    <cellStyle name="强调文字颜色 2 2 3 2 3 3" xfId="28522"/>
    <cellStyle name="强调文字颜色 2 2 3 2 3 3 2" xfId="28523"/>
    <cellStyle name="强调文字颜色 2 2 3 2 3 3 3" xfId="20587"/>
    <cellStyle name="强调文字颜色 2 2 3 2 3 4" xfId="28524"/>
    <cellStyle name="强调文字颜色 2 2 3 2 3 5" xfId="28525"/>
    <cellStyle name="强调文字颜色 2 2 3 2 3 5 2" xfId="28526"/>
    <cellStyle name="强调文字颜色 2 2 3 2 3 5 3" xfId="15992"/>
    <cellStyle name="强调文字颜色 2 2 3 2 3 6" xfId="28528"/>
    <cellStyle name="强调文字颜色 2 2 3 2 4" xfId="27872"/>
    <cellStyle name="强调文字颜色 2 2 3 2 4 2" xfId="28529"/>
    <cellStyle name="强调文字颜色 2 2 3 2 4 3" xfId="28530"/>
    <cellStyle name="强调文字颜色 2 2 3 2 5" xfId="28531"/>
    <cellStyle name="强调文字颜色 2 2 3 2 5 2" xfId="28532"/>
    <cellStyle name="强调文字颜色 2 2 3 2 5 3" xfId="28533"/>
    <cellStyle name="强调文字颜色 2 2 3 2 6" xfId="28534"/>
    <cellStyle name="强调文字颜色 2 2 3 2 7" xfId="28535"/>
    <cellStyle name="强调文字颜色 2 2 3 2 7 2" xfId="28536"/>
    <cellStyle name="强调文字颜色 2 2 3 2 7 3" xfId="28537"/>
    <cellStyle name="强调文字颜色 2 2 3 2 8" xfId="28538"/>
    <cellStyle name="强调文字颜色 2 2 3 3" xfId="22551"/>
    <cellStyle name="强调文字颜色 2 2 3 3 2" xfId="28540"/>
    <cellStyle name="强调文字颜色 2 2 3 3 2 2" xfId="28541"/>
    <cellStyle name="强调文字颜色 2 2 3 3 2 2 2" xfId="28542"/>
    <cellStyle name="强调文字颜色 2 2 3 3 2 2 3" xfId="28543"/>
    <cellStyle name="强调文字颜色 2 2 3 3 2 3" xfId="15080"/>
    <cellStyle name="强调文字颜色 2 2 3 3 2 3 2" xfId="28544"/>
    <cellStyle name="强调文字颜色 2 2 3 3 2 3 3" xfId="28545"/>
    <cellStyle name="强调文字颜色 2 2 3 3 2 4" xfId="15082"/>
    <cellStyle name="强调文字颜色 2 2 3 3 2 5" xfId="15084"/>
    <cellStyle name="强调文字颜色 2 2 3 3 2 5 2" xfId="28546"/>
    <cellStyle name="强调文字颜色 2 2 3 3 2 5 3" xfId="28547"/>
    <cellStyle name="强调文字颜色 2 2 3 3 2 6" xfId="10999"/>
    <cellStyle name="强调文字颜色 2 2 3 3 3" xfId="28548"/>
    <cellStyle name="强调文字颜色 2 2 3 3 3 2" xfId="28549"/>
    <cellStyle name="强调文字颜色 2 2 3 3 3 3" xfId="28550"/>
    <cellStyle name="强调文字颜色 2 2 3 3 4" xfId="28551"/>
    <cellStyle name="强调文字颜色 2 2 3 3 4 2" xfId="28552"/>
    <cellStyle name="强调文字颜色 2 2 3 3 4 3" xfId="526"/>
    <cellStyle name="强调文字颜色 2 2 3 3 5" xfId="28553"/>
    <cellStyle name="强调文字颜色 2 2 3 3 6" xfId="28554"/>
    <cellStyle name="强调文字颜色 2 2 3 3 6 2" xfId="28555"/>
    <cellStyle name="强调文字颜色 2 2 3 3 6 3" xfId="28481"/>
    <cellStyle name="强调文字颜色 2 2 3 3 7" xfId="28556"/>
    <cellStyle name="强调文字颜色 2 2 3 4" xfId="22553"/>
    <cellStyle name="强调文字颜色 2 2 3 4 2" xfId="28557"/>
    <cellStyle name="强调文字颜色 2 2 3 4 2 2" xfId="28558"/>
    <cellStyle name="强调文字颜色 2 2 3 4 2 2 2" xfId="28559"/>
    <cellStyle name="强调文字颜色 2 2 3 4 2 2 3" xfId="28560"/>
    <cellStyle name="强调文字颜色 2 2 3 4 2 3" xfId="15247"/>
    <cellStyle name="强调文字颜色 2 2 3 4 2 3 2" xfId="28561"/>
    <cellStyle name="强调文字颜色 2 2 3 4 2 3 3" xfId="28562"/>
    <cellStyle name="强调文字颜色 2 2 3 4 2 4" xfId="15249"/>
    <cellStyle name="强调文字颜色 2 2 3 4 2 5" xfId="15251"/>
    <cellStyle name="强调文字颜色 2 2 3 4 2 5 2" xfId="28563"/>
    <cellStyle name="强调文字颜色 2 2 3 4 2 5 3" xfId="28564"/>
    <cellStyle name="强调文字颜色 2 2 3 4 2 6" xfId="11077"/>
    <cellStyle name="强调文字颜色 2 2 3 4 3" xfId="28565"/>
    <cellStyle name="强调文字颜色 2 2 3 4 3 2" xfId="28566"/>
    <cellStyle name="强调文字颜色 2 2 3 4 3 3" xfId="28567"/>
    <cellStyle name="强调文字颜色 2 2 3 4 4" xfId="27720"/>
    <cellStyle name="强调文字颜色 2 2 3 4 4 2" xfId="28568"/>
    <cellStyle name="强调文字颜色 2 2 3 4 4 3" xfId="1966"/>
    <cellStyle name="强调文字颜色 2 2 3 4 5" xfId="27722"/>
    <cellStyle name="强调文字颜色 2 2 3 4 6" xfId="28569"/>
    <cellStyle name="强调文字颜色 2 2 3 4 6 2" xfId="28570"/>
    <cellStyle name="强调文字颜色 2 2 3 4 6 3" xfId="28539"/>
    <cellStyle name="强调文字颜色 2 2 3 4 7" xfId="28571"/>
    <cellStyle name="强调文字颜色 2 2 3 5" xfId="22555"/>
    <cellStyle name="强调文字颜色 2 2 3 5 2" xfId="28572"/>
    <cellStyle name="强调文字颜色 2 2 3 5 2 2" xfId="28573"/>
    <cellStyle name="强调文字颜色 2 2 3 5 2 3" xfId="15321"/>
    <cellStyle name="强调文字颜色 2 2 3 5 3" xfId="8304"/>
    <cellStyle name="强调文字颜色 2 2 3 5 3 2" xfId="8306"/>
    <cellStyle name="强调文字颜色 2 2 3 5 3 3" xfId="8341"/>
    <cellStyle name="强调文字颜色 2 2 3 5 4" xfId="8359"/>
    <cellStyle name="强调文字颜色 2 2 3 5 5" xfId="8361"/>
    <cellStyle name="强调文字颜色 2 2 3 5 5 2" xfId="8363"/>
    <cellStyle name="强调文字颜色 2 2 3 5 5 3" xfId="8378"/>
    <cellStyle name="强调文字颜色 2 2 3 5 6" xfId="8393"/>
    <cellStyle name="强调文字颜色 2 2 3 6" xfId="22557"/>
    <cellStyle name="强调文字颜色 2 2 3 6 2" xfId="28574"/>
    <cellStyle name="强调文字颜色 2 2 3 6 3" xfId="8405"/>
    <cellStyle name="强调文字颜色 2 2 3 7" xfId="22559"/>
    <cellStyle name="强调文字颜色 2 2 3 7 2" xfId="28575"/>
    <cellStyle name="强调文字颜色 2 2 3 7 3" xfId="8458"/>
    <cellStyle name="强调文字颜色 2 2 3 8" xfId="28576"/>
    <cellStyle name="强调文字颜色 2 2 3 9" xfId="2135"/>
    <cellStyle name="强调文字颜色 2 2 3 9 2" xfId="2150"/>
    <cellStyle name="强调文字颜色 2 2 3 9 3" xfId="2162"/>
    <cellStyle name="强调文字颜色 2 2 4" xfId="28577"/>
    <cellStyle name="强调文字颜色 2 2 4 10" xfId="24063"/>
    <cellStyle name="强调文字颜色 2 2 4 2" xfId="22561"/>
    <cellStyle name="强调文字颜色 2 2 4 2 2" xfId="8377"/>
    <cellStyle name="强调文字颜色 2 2 4 2 2 2" xfId="8384"/>
    <cellStyle name="强调文字颜色 2 2 4 2 2 2 2" xfId="28578"/>
    <cellStyle name="强调文字颜色 2 2 4 2 2 2 2 2" xfId="7300"/>
    <cellStyle name="强调文字颜色 2 2 4 2 2 2 2 3" xfId="8247"/>
    <cellStyle name="强调文字颜色 2 2 4 2 2 2 3" xfId="28579"/>
    <cellStyle name="强调文字颜色 2 2 4 2 2 2 3 2" xfId="3911"/>
    <cellStyle name="强调文字颜色 2 2 4 2 2 2 3 3" xfId="15520"/>
    <cellStyle name="强调文字颜色 2 2 4 2 2 2 4" xfId="28580"/>
    <cellStyle name="强调文字颜色 2 2 4 2 2 2 5" xfId="28581"/>
    <cellStyle name="强调文字颜色 2 2 4 2 2 2 5 2" xfId="13422"/>
    <cellStyle name="强调文字颜色 2 2 4 2 2 2 5 3" xfId="28582"/>
    <cellStyle name="强调文字颜色 2 2 4 2 2 2 6" xfId="28583"/>
    <cellStyle name="强调文字颜色 2 2 4 2 2 3" xfId="8386"/>
    <cellStyle name="强调文字颜色 2 2 4 2 2 3 2" xfId="28584"/>
    <cellStyle name="强调文字颜色 2 2 4 2 2 3 3" xfId="28585"/>
    <cellStyle name="强调文字颜色 2 2 4 2 2 4" xfId="8867"/>
    <cellStyle name="强调文字颜色 2 2 4 2 2 4 2" xfId="28586"/>
    <cellStyle name="强调文字颜色 2 2 4 2 2 4 3" xfId="28587"/>
    <cellStyle name="强调文字颜色 2 2 4 2 2 5" xfId="8872"/>
    <cellStyle name="强调文字颜色 2 2 4 2 2 6" xfId="9242"/>
    <cellStyle name="强调文字颜色 2 2 4 2 2 6 2" xfId="25319"/>
    <cellStyle name="强调文字颜色 2 2 4 2 2 6 3" xfId="28588"/>
    <cellStyle name="强调文字颜色 2 2 4 2 2 7" xfId="9247"/>
    <cellStyle name="强调文字颜色 2 2 4 2 3" xfId="8389"/>
    <cellStyle name="强调文字颜色 2 2 4 2 3 2" xfId="28589"/>
    <cellStyle name="强调文字颜色 2 2 4 2 3 2 2" xfId="22464"/>
    <cellStyle name="强调文字颜色 2 2 4 2 3 2 3" xfId="22466"/>
    <cellStyle name="强调文字颜色 2 2 4 2 3 3" xfId="28590"/>
    <cellStyle name="强调文字颜色 2 2 4 2 3 3 2" xfId="22475"/>
    <cellStyle name="强调文字颜色 2 2 4 2 3 3 3" xfId="22477"/>
    <cellStyle name="强调文字颜色 2 2 4 2 3 4" xfId="28591"/>
    <cellStyle name="强调文字颜色 2 2 4 2 3 5" xfId="28592"/>
    <cellStyle name="强调文字颜色 2 2 4 2 3 5 2" xfId="22498"/>
    <cellStyle name="强调文字颜色 2 2 4 2 3 5 3" xfId="22500"/>
    <cellStyle name="强调文字颜色 2 2 4 2 3 6" xfId="9209"/>
    <cellStyle name="强调文字颜色 2 2 4 2 4" xfId="24099"/>
    <cellStyle name="强调文字颜色 2 2 4 2 4 2" xfId="26977"/>
    <cellStyle name="强调文字颜色 2 2 4 2 4 3" xfId="28593"/>
    <cellStyle name="强调文字颜色 2 2 4 2 5" xfId="24101"/>
    <cellStyle name="强调文字颜色 2 2 4 2 5 2" xfId="26984"/>
    <cellStyle name="强调文字颜色 2 2 4 2 5 3" xfId="28595"/>
    <cellStyle name="强调文字颜色 2 2 4 2 6" xfId="28596"/>
    <cellStyle name="强调文字颜色 2 2 4 2 7" xfId="28597"/>
    <cellStyle name="强调文字颜色 2 2 4 2 7 2" xfId="28599"/>
    <cellStyle name="强调文字颜色 2 2 4 2 7 3" xfId="28600"/>
    <cellStyle name="强调文字颜色 2 2 4 2 8" xfId="28601"/>
    <cellStyle name="强调文字颜色 2 2 4 3" xfId="22564"/>
    <cellStyle name="强调文字颜色 2 2 4 3 2" xfId="6869"/>
    <cellStyle name="强调文字颜色 2 2 4 3 2 2" xfId="28602"/>
    <cellStyle name="强调文字颜色 2 2 4 3 2 2 2" xfId="10619"/>
    <cellStyle name="强调文字颜色 2 2 4 3 2 2 3" xfId="10628"/>
    <cellStyle name="强调文字颜色 2 2 4 3 2 3" xfId="15124"/>
    <cellStyle name="强调文字颜色 2 2 4 3 2 3 2" xfId="28603"/>
    <cellStyle name="强调文字颜色 2 2 4 3 2 3 3" xfId="28604"/>
    <cellStyle name="强调文字颜色 2 2 4 3 2 4" xfId="6249"/>
    <cellStyle name="强调文字颜色 2 2 4 3 2 5" xfId="6265"/>
    <cellStyle name="强调文字颜色 2 2 4 3 2 5 2" xfId="2016"/>
    <cellStyle name="强调文字颜色 2 2 4 3 2 5 3" xfId="28605"/>
    <cellStyle name="强调文字颜色 2 2 4 3 2 6" xfId="2291"/>
    <cellStyle name="强调文字颜色 2 2 4 3 3" xfId="24106"/>
    <cellStyle name="强调文字颜色 2 2 4 3 3 2" xfId="19807"/>
    <cellStyle name="强调文字颜色 2 2 4 3 3 3" xfId="21241"/>
    <cellStyle name="强调文字颜色 2 2 4 3 4" xfId="24108"/>
    <cellStyle name="强调文字颜色 2 2 4 3 4 2" xfId="26993"/>
    <cellStyle name="强调文字颜色 2 2 4 3 4 3" xfId="28606"/>
    <cellStyle name="强调文字颜色 2 2 4 3 5" xfId="24111"/>
    <cellStyle name="强调文字颜色 2 2 4 3 6" xfId="28608"/>
    <cellStyle name="强调文字颜色 2 2 4 3 6 2" xfId="28610"/>
    <cellStyle name="强调文字颜色 2 2 4 3 6 3" xfId="28611"/>
    <cellStyle name="强调文字颜色 2 2 4 3 7" xfId="28612"/>
    <cellStyle name="强调文字颜色 2 2 4 4" xfId="22567"/>
    <cellStyle name="强调文字颜色 2 2 4 4 2" xfId="8400"/>
    <cellStyle name="强调文字颜色 2 2 4 4 2 2" xfId="28613"/>
    <cellStyle name="强调文字颜色 2 2 4 4 2 2 2" xfId="23597"/>
    <cellStyle name="强调文字颜色 2 2 4 4 2 2 3" xfId="23599"/>
    <cellStyle name="强调文字颜色 2 2 4 4 2 3" xfId="16094"/>
    <cellStyle name="强调文字颜色 2 2 4 4 2 3 2" xfId="12217"/>
    <cellStyle name="强调文字颜色 2 2 4 4 2 3 3" xfId="12225"/>
    <cellStyle name="强调文字颜色 2 2 4 4 2 4" xfId="16096"/>
    <cellStyle name="强调文字颜色 2 2 4 4 2 5" xfId="16098"/>
    <cellStyle name="强调文字颜色 2 2 4 4 2 5 2" xfId="2800"/>
    <cellStyle name="强调文字颜色 2 2 4 4 2 5 3" xfId="28614"/>
    <cellStyle name="强调文字颜色 2 2 4 4 2 6" xfId="2383"/>
    <cellStyle name="强调文字颜色 2 2 4 4 3" xfId="24116"/>
    <cellStyle name="强调文字颜色 2 2 4 4 3 2" xfId="28615"/>
    <cellStyle name="强调文字颜色 2 2 4 4 3 3" xfId="28616"/>
    <cellStyle name="强调文字颜色 2 2 4 4 4" xfId="24118"/>
    <cellStyle name="强调文字颜色 2 2 4 4 4 2" xfId="27007"/>
    <cellStyle name="强调文字颜色 2 2 4 4 4 3" xfId="28617"/>
    <cellStyle name="强调文字颜色 2 2 4 4 5" xfId="28618"/>
    <cellStyle name="强调文字颜色 2 2 4 4 6" xfId="28619"/>
    <cellStyle name="强调文字颜色 2 2 4 4 6 2" xfId="28620"/>
    <cellStyle name="强调文字颜色 2 2 4 4 6 3" xfId="28621"/>
    <cellStyle name="强调文字颜色 2 2 4 4 7" xfId="28622"/>
    <cellStyle name="强调文字颜色 2 2 4 5" xfId="22569"/>
    <cellStyle name="强调文字颜色 2 2 4 5 2" xfId="28624"/>
    <cellStyle name="强调文字颜色 2 2 4 5 2 2" xfId="17786"/>
    <cellStyle name="强调文字颜色 2 2 4 5 2 3" xfId="16177"/>
    <cellStyle name="强调文字颜色 2 2 4 5 3" xfId="28625"/>
    <cellStyle name="强调文字颜色 2 2 4 5 3 2" xfId="28626"/>
    <cellStyle name="强调文字颜色 2 2 4 5 3 3" xfId="28627"/>
    <cellStyle name="强调文字颜色 2 2 4 5 4" xfId="28628"/>
    <cellStyle name="强调文字颜色 2 2 4 5 5" xfId="28630"/>
    <cellStyle name="强调文字颜色 2 2 4 5 5 2" xfId="20666"/>
    <cellStyle name="强调文字颜色 2 2 4 5 5 3" xfId="20668"/>
    <cellStyle name="强调文字颜色 2 2 4 5 6" xfId="28633"/>
    <cellStyle name="强调文字颜色 2 2 4 6" xfId="22571"/>
    <cellStyle name="强调文字颜色 2 2 4 6 2" xfId="28635"/>
    <cellStyle name="强调文字颜色 2 2 4 6 3" xfId="28637"/>
    <cellStyle name="强调文字颜色 2 2 4 7" xfId="22573"/>
    <cellStyle name="强调文字颜色 2 2 4 7 2" xfId="28640"/>
    <cellStyle name="强调文字颜色 2 2 4 7 3" xfId="28641"/>
    <cellStyle name="强调文字颜色 2 2 4 8" xfId="28642"/>
    <cellStyle name="强调文字颜色 2 2 4 9" xfId="2225"/>
    <cellStyle name="强调文字颜色 2 2 4 9 2" xfId="2239"/>
    <cellStyle name="强调文字颜色 2 2 4 9 3" xfId="2251"/>
    <cellStyle name="强调文字颜色 2 2 5" xfId="28643"/>
    <cellStyle name="强调文字颜色 2 2 5 2" xfId="28644"/>
    <cellStyle name="强调文字颜色 2 2 5 2 2" xfId="8428"/>
    <cellStyle name="强调文字颜色 2 2 5 2 2 2" xfId="8433"/>
    <cellStyle name="强调文字颜色 2 2 5 2 2 2 2" xfId="28645"/>
    <cellStyle name="强调文字颜色 2 2 5 2 2 2 3" xfId="28646"/>
    <cellStyle name="强调文字颜色 2 2 5 2 2 3" xfId="8435"/>
    <cellStyle name="强调文字颜色 2 2 5 2 2 3 2" xfId="28647"/>
    <cellStyle name="强调文字颜色 2 2 5 2 2 3 3" xfId="28648"/>
    <cellStyle name="强调文字颜色 2 2 5 2 2 4" xfId="8904"/>
    <cellStyle name="强调文字颜色 2 2 5 2 2 5" xfId="8909"/>
    <cellStyle name="强调文字颜色 2 2 5 2 2 5 2" xfId="14756"/>
    <cellStyle name="强调文字颜色 2 2 5 2 2 5 3" xfId="14770"/>
    <cellStyle name="强调文字颜色 2 2 5 2 2 6" xfId="3442"/>
    <cellStyle name="强调文字颜色 2 2 5 2 3" xfId="8439"/>
    <cellStyle name="强调文字颜色 2 2 5 2 3 2" xfId="28649"/>
    <cellStyle name="强调文字颜色 2 2 5 2 3 3" xfId="28650"/>
    <cellStyle name="强调文字颜色 2 2 5 2 4" xfId="28652"/>
    <cellStyle name="强调文字颜色 2 2 5 2 4 2" xfId="27022"/>
    <cellStyle name="强调文字颜色 2 2 5 2 4 3" xfId="28653"/>
    <cellStyle name="强调文字颜色 2 2 5 2 5" xfId="28655"/>
    <cellStyle name="强调文字颜色 2 2 5 2 6" xfId="28656"/>
    <cellStyle name="强调文字颜色 2 2 5 2 6 2" xfId="28658"/>
    <cellStyle name="强调文字颜色 2 2 5 2 6 3" xfId="28659"/>
    <cellStyle name="强调文字颜色 2 2 5 2 7" xfId="28660"/>
    <cellStyle name="强调文字颜色 2 2 5 3" xfId="1605"/>
    <cellStyle name="强调文字颜色 2 2 5 3 2" xfId="6981"/>
    <cellStyle name="强调文字颜色 2 2 5 3 2 2" xfId="28661"/>
    <cellStyle name="强调文字颜色 2 2 5 3 2 3" xfId="5624"/>
    <cellStyle name="强调文字颜色 2 2 5 3 3" xfId="28662"/>
    <cellStyle name="强调文字颜色 2 2 5 3 3 2" xfId="28663"/>
    <cellStyle name="强调文字颜色 2 2 5 3 3 3" xfId="28664"/>
    <cellStyle name="强调文字颜色 2 2 5 3 4" xfId="28665"/>
    <cellStyle name="强调文字颜色 2 2 5 3 5" xfId="28666"/>
    <cellStyle name="强调文字颜色 2 2 5 3 5 2" xfId="27035"/>
    <cellStyle name="强调文字颜色 2 2 5 3 5 3" xfId="28667"/>
    <cellStyle name="强调文字颜色 2 2 5 3 6" xfId="28668"/>
    <cellStyle name="强调文字颜色 2 2 5 4" xfId="166"/>
    <cellStyle name="强调文字颜色 2 2 5 4 2" xfId="8449"/>
    <cellStyle name="强调文字颜色 2 2 5 4 3" xfId="11303"/>
    <cellStyle name="强调文字颜色 2 2 5 5" xfId="11306"/>
    <cellStyle name="强调文字颜色 2 2 5 5 2" xfId="28671"/>
    <cellStyle name="强调文字颜色 2 2 5 5 3" xfId="28673"/>
    <cellStyle name="强调文字颜色 2 2 5 6" xfId="2665"/>
    <cellStyle name="强调文字颜色 2 2 5 7" xfId="2731"/>
    <cellStyle name="强调文字颜色 2 2 5 7 2" xfId="28677"/>
    <cellStyle name="强调文字颜色 2 2 5 7 3" xfId="28679"/>
    <cellStyle name="强调文字颜色 2 2 5 8" xfId="28680"/>
    <cellStyle name="强调文字颜色 2 2 6" xfId="27206"/>
    <cellStyle name="强调文字颜色 2 2 6 2" xfId="6354"/>
    <cellStyle name="强调文字颜色 2 2 6 2 2" xfId="8500"/>
    <cellStyle name="强调文字颜色 2 2 6 2 2 2" xfId="8006"/>
    <cellStyle name="强调文字颜色 2 2 6 2 2 3" xfId="8502"/>
    <cellStyle name="强调文字颜色 2 2 6 2 3" xfId="8505"/>
    <cellStyle name="强调文字颜色 2 2 6 2 3 2" xfId="9001"/>
    <cellStyle name="强调文字颜色 2 2 6 2 3 3" xfId="9004"/>
    <cellStyle name="强调文字颜色 2 2 6 2 4" xfId="9008"/>
    <cellStyle name="强调文字颜色 2 2 6 2 5" xfId="28682"/>
    <cellStyle name="强调文字颜色 2 2 6 2 5 2" xfId="27060"/>
    <cellStyle name="强调文字颜色 2 2 6 2 5 3" xfId="28683"/>
    <cellStyle name="强调文字颜色 2 2 6 2 6" xfId="5628"/>
    <cellStyle name="强调文字颜色 2 2 6 3" xfId="17024"/>
    <cellStyle name="强调文字颜色 2 2 6 3 2" xfId="8524"/>
    <cellStyle name="强调文字颜色 2 2 6 3 3" xfId="9014"/>
    <cellStyle name="强调文字颜色 2 2 6 4" xfId="11309"/>
    <cellStyle name="强调文字颜色 2 2 6 4 2" xfId="8535"/>
    <cellStyle name="强调文字颜色 2 2 6 4 3" xfId="28684"/>
    <cellStyle name="强调文字颜色 2 2 6 5" xfId="11311"/>
    <cellStyle name="强调文字颜色 2 2 6 6" xfId="28685"/>
    <cellStyle name="强调文字颜色 2 2 6 6 2" xfId="28686"/>
    <cellStyle name="强调文字颜色 2 2 6 6 3" xfId="9748"/>
    <cellStyle name="强调文字颜色 2 2 6 7" xfId="28687"/>
    <cellStyle name="强调文字颜色 2 2 7" xfId="27208"/>
    <cellStyle name="强调文字颜色 2 2 7 2" xfId="28688"/>
    <cellStyle name="强调文字颜色 2 2 7 2 2" xfId="8579"/>
    <cellStyle name="强调文字颜色 2 2 7 2 2 2" xfId="25065"/>
    <cellStyle name="强调文字颜色 2 2 7 2 2 3" xfId="17933"/>
    <cellStyle name="强调文字颜色 2 2 7 2 3" xfId="9031"/>
    <cellStyle name="强调文字颜色 2 2 7 2 3 2" xfId="28689"/>
    <cellStyle name="强调文字颜色 2 2 7 2 3 3" xfId="28690"/>
    <cellStyle name="强调文字颜色 2 2 7 2 4" xfId="9034"/>
    <cellStyle name="强调文字颜色 2 2 7 2 5" xfId="28692"/>
    <cellStyle name="强调文字颜色 2 2 7 2 5 2" xfId="28693"/>
    <cellStyle name="强调文字颜色 2 2 7 2 5 3" xfId="28694"/>
    <cellStyle name="强调文字颜色 2 2 7 2 6" xfId="28695"/>
    <cellStyle name="强调文字颜色 2 2 7 3" xfId="28697"/>
    <cellStyle name="强调文字颜色 2 2 7 3 2" xfId="28699"/>
    <cellStyle name="强调文字颜色 2 2 7 3 3" xfId="28700"/>
    <cellStyle name="强调文字颜色 2 2 7 4" xfId="28702"/>
    <cellStyle name="强调文字颜色 2 2 7 4 2" xfId="28704"/>
    <cellStyle name="强调文字颜色 2 2 7 4 3" xfId="9395"/>
    <cellStyle name="强调文字颜色 2 2 7 5" xfId="28705"/>
    <cellStyle name="强调文字颜色 2 2 7 6" xfId="28706"/>
    <cellStyle name="强调文字颜色 2 2 7 6 2" xfId="28709"/>
    <cellStyle name="强调文字颜色 2 2 7 6 3" xfId="9775"/>
    <cellStyle name="强调文字颜色 2 2 7 7" xfId="26710"/>
    <cellStyle name="强调文字颜色 2 2 8" xfId="28710"/>
    <cellStyle name="强调文字颜色 2 2 8 2" xfId="28711"/>
    <cellStyle name="强调文字颜色 2 2 8 2 2" xfId="28712"/>
    <cellStyle name="强调文字颜色 2 2 8 2 3" xfId="28713"/>
    <cellStyle name="强调文字颜色 2 2 8 3" xfId="28714"/>
    <cellStyle name="强调文字颜色 2 2 8 3 2" xfId="28715"/>
    <cellStyle name="强调文字颜色 2 2 8 3 3" xfId="28716"/>
    <cellStyle name="强调文字颜色 2 2 8 4" xfId="28717"/>
    <cellStyle name="强调文字颜色 2 2 8 5" xfId="28718"/>
    <cellStyle name="强调文字颜色 2 2 8 5 2" xfId="28720"/>
    <cellStyle name="强调文字颜色 2 2 8 5 3" xfId="28722"/>
    <cellStyle name="强调文字颜色 2 2 8 6" xfId="28723"/>
    <cellStyle name="强调文字颜色 2 2 9" xfId="28724"/>
    <cellStyle name="强调文字颜色 2 2 9 2" xfId="28725"/>
    <cellStyle name="强调文字颜色 2 2 9 2 2" xfId="28727"/>
    <cellStyle name="强调文字颜色 2 2 9 2 3" xfId="28728"/>
    <cellStyle name="强调文字颜色 2 2 9 3" xfId="28729"/>
    <cellStyle name="强调文字颜色 2 2 9 4" xfId="28730"/>
    <cellStyle name="强调文字颜色 2 2 9 4 2" xfId="28731"/>
    <cellStyle name="强调文字颜色 2 2 9 4 3" xfId="28732"/>
    <cellStyle name="强调文字颜色 2 2 9 5" xfId="28733"/>
    <cellStyle name="强调文字颜色 3 2" xfId="28735"/>
    <cellStyle name="强调文字颜色 3 2 10" xfId="18507"/>
    <cellStyle name="强调文字颜色 3 2 10 2" xfId="28736"/>
    <cellStyle name="强调文字颜色 3 2 10 3" xfId="28737"/>
    <cellStyle name="强调文字颜色 3 2 11" xfId="18513"/>
    <cellStyle name="强调文字颜色 3 2 12" xfId="18520"/>
    <cellStyle name="强调文字颜色 3 2 12 2" xfId="28738"/>
    <cellStyle name="强调文字颜色 3 2 12 3" xfId="28739"/>
    <cellStyle name="强调文字颜色 3 2 13" xfId="28740"/>
    <cellStyle name="强调文字颜色 3 2 2" xfId="22490"/>
    <cellStyle name="强调文字颜色 3 2 2 10" xfId="28742"/>
    <cellStyle name="强调文字颜色 3 2 2 2" xfId="22730"/>
    <cellStyle name="强调文字颜色 3 2 2 2 2" xfId="28743"/>
    <cellStyle name="强调文字颜色 3 2 2 2 2 2" xfId="28744"/>
    <cellStyle name="强调文字颜色 3 2 2 2 2 2 2" xfId="28745"/>
    <cellStyle name="强调文字颜色 3 2 2 2 2 2 2 2" xfId="28746"/>
    <cellStyle name="强调文字颜色 3 2 2 2 2 2 2 3" xfId="28747"/>
    <cellStyle name="强调文字颜色 3 2 2 2 2 2 3" xfId="28748"/>
    <cellStyle name="强调文字颜色 3 2 2 2 2 2 3 2" xfId="15544"/>
    <cellStyle name="强调文字颜色 3 2 2 2 2 2 3 3" xfId="15546"/>
    <cellStyle name="强调文字颜色 3 2 2 2 2 2 4" xfId="28749"/>
    <cellStyle name="强调文字颜色 3 2 2 2 2 2 5" xfId="28750"/>
    <cellStyle name="强调文字颜色 3 2 2 2 2 2 5 2" xfId="22532"/>
    <cellStyle name="强调文字颜色 3 2 2 2 2 2 5 3" xfId="382"/>
    <cellStyle name="强调文字颜色 3 2 2 2 2 2 6" xfId="28751"/>
    <cellStyle name="强调文字颜色 3 2 2 2 2 3" xfId="28752"/>
    <cellStyle name="强调文字颜色 3 2 2 2 2 3 2" xfId="28753"/>
    <cellStyle name="强调文字颜色 3 2 2 2 2 3 3" xfId="28754"/>
    <cellStyle name="强调文字颜色 3 2 2 2 2 4" xfId="28755"/>
    <cellStyle name="强调文字颜色 3 2 2 2 2 4 2" xfId="28756"/>
    <cellStyle name="强调文字颜色 3 2 2 2 2 4 3" xfId="28757"/>
    <cellStyle name="强调文字颜色 3 2 2 2 2 5" xfId="28758"/>
    <cellStyle name="强调文字颜色 3 2 2 2 2 6" xfId="9361"/>
    <cellStyle name="强调文字颜色 3 2 2 2 2 6 2" xfId="27823"/>
    <cellStyle name="强调文字颜色 3 2 2 2 2 6 3" xfId="27830"/>
    <cellStyle name="强调文字颜色 3 2 2 2 2 7" xfId="9371"/>
    <cellStyle name="强调文字颜色 3 2 2 2 3" xfId="26932"/>
    <cellStyle name="强调文字颜色 3 2 2 2 3 2" xfId="26934"/>
    <cellStyle name="强调文字颜色 3 2 2 2 3 2 2" xfId="28759"/>
    <cellStyle name="强调文字颜色 3 2 2 2 3 2 3" xfId="28760"/>
    <cellStyle name="强调文字颜色 3 2 2 2 3 3" xfId="26936"/>
    <cellStyle name="强调文字颜色 3 2 2 2 3 3 2" xfId="26938"/>
    <cellStyle name="强调文字颜色 3 2 2 2 3 3 3" xfId="28761"/>
    <cellStyle name="强调文字颜色 3 2 2 2 3 4" xfId="28762"/>
    <cellStyle name="强调文字颜色 3 2 2 2 3 5" xfId="28763"/>
    <cellStyle name="强调文字颜色 3 2 2 2 3 5 2" xfId="28764"/>
    <cellStyle name="强调文字颜色 3 2 2 2 3 5 3" xfId="28765"/>
    <cellStyle name="强调文字颜色 3 2 2 2 3 6" xfId="28767"/>
    <cellStyle name="强调文字颜色 3 2 2 2 4" xfId="26940"/>
    <cellStyle name="强调文字颜色 3 2 2 2 4 2" xfId="28768"/>
    <cellStyle name="强调文字颜色 3 2 2 2 4 3" xfId="28769"/>
    <cellStyle name="强调文字颜色 3 2 2 2 5" xfId="26942"/>
    <cellStyle name="强调文字颜色 3 2 2 2 5 2" xfId="28770"/>
    <cellStyle name="强调文字颜色 3 2 2 2 5 3" xfId="28771"/>
    <cellStyle name="强调文字颜色 3 2 2 2 6" xfId="28772"/>
    <cellStyle name="强调文字颜色 3 2 2 2 7" xfId="28773"/>
    <cellStyle name="强调文字颜色 3 2 2 2 7 2" xfId="28774"/>
    <cellStyle name="强调文字颜色 3 2 2 2 7 3" xfId="28775"/>
    <cellStyle name="强调文字颜色 3 2 2 2 8" xfId="26530"/>
    <cellStyle name="强调文字颜色 3 2 2 3" xfId="22732"/>
    <cellStyle name="强调文字颜色 3 2 2 3 2" xfId="28776"/>
    <cellStyle name="强调文字颜色 3 2 2 3 2 2" xfId="28777"/>
    <cellStyle name="强调文字颜色 3 2 2 3 2 2 2" xfId="28778"/>
    <cellStyle name="强调文字颜色 3 2 2 3 2 2 3" xfId="28779"/>
    <cellStyle name="强调文字颜色 3 2 2 3 2 3" xfId="28780"/>
    <cellStyle name="强调文字颜色 3 2 2 3 2 3 2" xfId="28781"/>
    <cellStyle name="强调文字颜色 3 2 2 3 2 3 3" xfId="28782"/>
    <cellStyle name="强调文字颜色 3 2 2 3 2 4" xfId="28783"/>
    <cellStyle name="强调文字颜色 3 2 2 3 2 5" xfId="28784"/>
    <cellStyle name="强调文字颜色 3 2 2 3 2 5 2" xfId="28785"/>
    <cellStyle name="强调文字颜色 3 2 2 3 2 5 3" xfId="28786"/>
    <cellStyle name="强调文字颜色 3 2 2 3 2 6" xfId="10436"/>
    <cellStyle name="强调文字颜色 3 2 2 3 3" xfId="28787"/>
    <cellStyle name="强调文字颜色 3 2 2 3 3 2" xfId="28788"/>
    <cellStyle name="强调文字颜色 3 2 2 3 3 3" xfId="28789"/>
    <cellStyle name="强调文字颜色 3 2 2 3 4" xfId="28790"/>
    <cellStyle name="强调文字颜色 3 2 2 3 4 2" xfId="28791"/>
    <cellStyle name="强调文字颜色 3 2 2 3 4 3" xfId="28792"/>
    <cellStyle name="强调文字颜色 3 2 2 3 5" xfId="28793"/>
    <cellStyle name="强调文字颜色 3 2 2 3 6" xfId="28794"/>
    <cellStyle name="强调文字颜色 3 2 2 3 6 2" xfId="28795"/>
    <cellStyle name="强调文字颜色 3 2 2 3 6 3" xfId="28796"/>
    <cellStyle name="强调文字颜色 3 2 2 3 7" xfId="28797"/>
    <cellStyle name="强调文字颜色 3 2 2 4" xfId="22734"/>
    <cellStyle name="强调文字颜色 3 2 2 4 2" xfId="28798"/>
    <cellStyle name="强调文字颜色 3 2 2 4 2 2" xfId="21954"/>
    <cellStyle name="强调文字颜色 3 2 2 4 2 2 2" xfId="23642"/>
    <cellStyle name="强调文字颜色 3 2 2 4 2 2 3" xfId="23644"/>
    <cellStyle name="强调文字颜色 3 2 2 4 2 3" xfId="21956"/>
    <cellStyle name="强调文字颜色 3 2 2 4 2 3 2" xfId="23652"/>
    <cellStyle name="强调文字颜色 3 2 2 4 2 3 3" xfId="23654"/>
    <cellStyle name="强调文字颜色 3 2 2 4 2 4" xfId="5476"/>
    <cellStyle name="强调文字颜色 3 2 2 4 2 5" xfId="5482"/>
    <cellStyle name="强调文字颜色 3 2 2 4 2 5 2" xfId="23668"/>
    <cellStyle name="强调文字颜色 3 2 2 4 2 5 3" xfId="23670"/>
    <cellStyle name="强调文字颜色 3 2 2 4 2 6" xfId="10586"/>
    <cellStyle name="强调文字颜色 3 2 2 4 3" xfId="23869"/>
    <cellStyle name="强调文字颜色 3 2 2 4 3 2" xfId="28799"/>
    <cellStyle name="强调文字颜色 3 2 2 4 3 3" xfId="28800"/>
    <cellStyle name="强调文字颜色 3 2 2 4 4" xfId="23871"/>
    <cellStyle name="强调文字颜色 3 2 2 4 4 2" xfId="28801"/>
    <cellStyle name="强调文字颜色 3 2 2 4 4 3" xfId="28802"/>
    <cellStyle name="强调文字颜色 3 2 2 4 5" xfId="23873"/>
    <cellStyle name="强调文字颜色 3 2 2 4 6" xfId="23875"/>
    <cellStyle name="强调文字颜色 3 2 2 4 6 2" xfId="22276"/>
    <cellStyle name="强调文字颜色 3 2 2 4 6 3" xfId="22284"/>
    <cellStyle name="强调文字颜色 3 2 2 4 7" xfId="23877"/>
    <cellStyle name="强调文字颜色 3 2 2 5" xfId="22736"/>
    <cellStyle name="强调文字颜色 3 2 2 5 2" xfId="28803"/>
    <cellStyle name="强调文字颜色 3 2 2 5 2 2" xfId="28804"/>
    <cellStyle name="强调文字颜色 3 2 2 5 2 3" xfId="28805"/>
    <cellStyle name="强调文字颜色 3 2 2 5 3" xfId="23882"/>
    <cellStyle name="强调文字颜色 3 2 2 5 3 2" xfId="28806"/>
    <cellStyle name="强调文字颜色 3 2 2 5 3 3" xfId="28807"/>
    <cellStyle name="强调文字颜色 3 2 2 5 4" xfId="23884"/>
    <cellStyle name="强调文字颜色 3 2 2 5 5" xfId="23886"/>
    <cellStyle name="强调文字颜色 3 2 2 5 5 2" xfId="28808"/>
    <cellStyle name="强调文字颜色 3 2 2 5 5 3" xfId="28809"/>
    <cellStyle name="强调文字颜色 3 2 2 5 6" xfId="23888"/>
    <cellStyle name="强调文字颜色 3 2 2 6" xfId="22738"/>
    <cellStyle name="强调文字颜色 3 2 2 6 2" xfId="28810"/>
    <cellStyle name="强调文字颜色 3 2 2 6 3" xfId="23894"/>
    <cellStyle name="强调文字颜色 3 2 2 7" xfId="22740"/>
    <cellStyle name="强调文字颜色 3 2 2 7 2" xfId="28811"/>
    <cellStyle name="强调文字颜色 3 2 2 7 3" xfId="28812"/>
    <cellStyle name="强调文字颜色 3 2 2 8" xfId="28813"/>
    <cellStyle name="强调文字颜色 3 2 2 9" xfId="28814"/>
    <cellStyle name="强调文字颜色 3 2 2 9 2" xfId="28815"/>
    <cellStyle name="强调文字颜色 3 2 2 9 3" xfId="24977"/>
    <cellStyle name="强调文字颜色 3 2 3" xfId="22492"/>
    <cellStyle name="强调文字颜色 3 2 3 10" xfId="87"/>
    <cellStyle name="强调文字颜色 3 2 3 2" xfId="22744"/>
    <cellStyle name="强调文字颜色 3 2 3 2 2" xfId="28816"/>
    <cellStyle name="强调文字颜色 3 2 3 2 2 2" xfId="28818"/>
    <cellStyle name="强调文字颜色 3 2 3 2 2 2 2" xfId="21002"/>
    <cellStyle name="强调文字颜色 3 2 3 2 2 2 2 2" xfId="16211"/>
    <cellStyle name="强调文字颜色 3 2 3 2 2 2 2 3" xfId="16224"/>
    <cellStyle name="强调文字颜色 3 2 3 2 2 2 3" xfId="9621"/>
    <cellStyle name="强调文字颜色 3 2 3 2 2 2 3 2" xfId="9624"/>
    <cellStyle name="强调文字颜色 3 2 3 2 2 2 3 3" xfId="9629"/>
    <cellStyle name="强调文字颜色 3 2 3 2 2 2 4" xfId="9636"/>
    <cellStyle name="强调文字颜色 3 2 3 2 2 2 5" xfId="3076"/>
    <cellStyle name="强调文字颜色 3 2 3 2 2 2 5 2" xfId="27003"/>
    <cellStyle name="强调文字颜色 3 2 3 2 2 2 5 3" xfId="27011"/>
    <cellStyle name="强调文字颜色 3 2 3 2 2 2 6" xfId="276"/>
    <cellStyle name="强调文字颜色 3 2 3 2 2 3" xfId="28819"/>
    <cellStyle name="强调文字颜色 3 2 3 2 2 3 2" xfId="21009"/>
    <cellStyle name="强调文字颜色 3 2 3 2 2 3 3" xfId="9644"/>
    <cellStyle name="强调文字颜色 3 2 3 2 2 4" xfId="28820"/>
    <cellStyle name="强调文字颜色 3 2 3 2 2 4 2" xfId="28822"/>
    <cellStyle name="强调文字颜色 3 2 3 2 2 4 3" xfId="28825"/>
    <cellStyle name="强调文字颜色 3 2 3 2 2 5" xfId="28826"/>
    <cellStyle name="强调文字颜色 3 2 3 2 2 6" xfId="9414"/>
    <cellStyle name="强调文字颜色 3 2 3 2 2 6 2" xfId="28828"/>
    <cellStyle name="强调文字颜色 3 2 3 2 2 6 3" xfId="28831"/>
    <cellStyle name="强调文字颜色 3 2 3 2 2 7" xfId="9424"/>
    <cellStyle name="强调文字颜色 3 2 3 2 3" xfId="10068"/>
    <cellStyle name="强调文字颜色 3 2 3 2 3 2" xfId="28833"/>
    <cellStyle name="强调文字颜色 3 2 3 2 3 2 2" xfId="7946"/>
    <cellStyle name="强调文字颜色 3 2 3 2 3 2 3" xfId="9659"/>
    <cellStyle name="强调文字颜色 3 2 3 2 3 3" xfId="28835"/>
    <cellStyle name="强调文字颜色 3 2 3 2 3 3 2" xfId="28837"/>
    <cellStyle name="强调文字颜色 3 2 3 2 3 3 3" xfId="28840"/>
    <cellStyle name="强调文字颜色 3 2 3 2 3 4" xfId="28842"/>
    <cellStyle name="强调文字颜色 3 2 3 2 3 5" xfId="28845"/>
    <cellStyle name="强调文字颜色 3 2 3 2 3 5 2" xfId="28846"/>
    <cellStyle name="强调文字颜色 3 2 3 2 3 5 3" xfId="28848"/>
    <cellStyle name="强调文字颜色 3 2 3 2 3 6" xfId="28851"/>
    <cellStyle name="强调文字颜色 3 2 3 2 4" xfId="18817"/>
    <cellStyle name="强调文字颜色 3 2 3 2 4 2" xfId="19527"/>
    <cellStyle name="强调文字颜色 3 2 3 2 4 3" xfId="19536"/>
    <cellStyle name="强调文字颜色 3 2 3 2 5" xfId="18820"/>
    <cellStyle name="强调文字颜色 3 2 3 2 5 2" xfId="28853"/>
    <cellStyle name="强调文字颜色 3 2 3 2 5 3" xfId="28855"/>
    <cellStyle name="强调文字颜色 3 2 3 2 6" xfId="18823"/>
    <cellStyle name="强调文字颜色 3 2 3 2 7" xfId="18825"/>
    <cellStyle name="强调文字颜色 3 2 3 2 7 2" xfId="28857"/>
    <cellStyle name="强调文字颜色 3 2 3 2 7 3" xfId="7531"/>
    <cellStyle name="强调文字颜色 3 2 3 2 8" xfId="3856"/>
    <cellStyle name="强调文字颜色 3 2 3 3" xfId="22747"/>
    <cellStyle name="强调文字颜色 3 2 3 3 2" xfId="24020"/>
    <cellStyle name="强调文字颜色 3 2 3 3 2 2" xfId="28858"/>
    <cellStyle name="强调文字颜色 3 2 3 3 2 2 2" xfId="28859"/>
    <cellStyle name="强调文字颜色 3 2 3 3 2 2 3" xfId="2149"/>
    <cellStyle name="强调文字颜色 3 2 3 3 2 3" xfId="28860"/>
    <cellStyle name="强调文字颜色 3 2 3 3 2 3 2" xfId="28862"/>
    <cellStyle name="强调文字颜色 3 2 3 3 2 3 3" xfId="9734"/>
    <cellStyle name="强调文字颜色 3 2 3 3 2 4" xfId="28863"/>
    <cellStyle name="强调文字颜色 3 2 3 3 2 5" xfId="28865"/>
    <cellStyle name="强调文字颜色 3 2 3 3 2 5 2" xfId="28866"/>
    <cellStyle name="强调文字颜色 3 2 3 3 2 5 3" xfId="28868"/>
    <cellStyle name="强调文字颜色 3 2 3 3 2 6" xfId="28871"/>
    <cellStyle name="强调文字颜色 3 2 3 3 3" xfId="24022"/>
    <cellStyle name="强调文字颜色 3 2 3 3 3 2" xfId="28873"/>
    <cellStyle name="强调文字颜色 3 2 3 3 3 3" xfId="28875"/>
    <cellStyle name="强调文字颜色 3 2 3 3 4" xfId="24024"/>
    <cellStyle name="强调文字颜色 3 2 3 3 4 2" xfId="28877"/>
    <cellStyle name="强调文字颜色 3 2 3 3 4 3" xfId="28879"/>
    <cellStyle name="强调文字颜色 3 2 3 3 5" xfId="24026"/>
    <cellStyle name="强调文字颜色 3 2 3 3 6" xfId="28880"/>
    <cellStyle name="强调文字颜色 3 2 3 3 6 2" xfId="28882"/>
    <cellStyle name="强调文字颜色 3 2 3 3 6 3" xfId="28884"/>
    <cellStyle name="强调文字颜色 3 2 3 3 7" xfId="28885"/>
    <cellStyle name="强调文字颜色 3 2 3 4" xfId="22750"/>
    <cellStyle name="强调文字颜色 3 2 3 4 2" xfId="28886"/>
    <cellStyle name="强调文字颜色 3 2 3 4 2 2" xfId="28887"/>
    <cellStyle name="强调文字颜色 3 2 3 4 2 2 2" xfId="23924"/>
    <cellStyle name="强调文字颜色 3 2 3 4 2 2 3" xfId="2514"/>
    <cellStyle name="强调文字颜色 3 2 3 4 2 3" xfId="28888"/>
    <cellStyle name="强调文字颜色 3 2 3 4 2 3 2" xfId="23930"/>
    <cellStyle name="强调文字颜色 3 2 3 4 2 3 3" xfId="9811"/>
    <cellStyle name="强调文字颜色 3 2 3 4 2 4" xfId="28889"/>
    <cellStyle name="强调文字颜色 3 2 3 4 2 5" xfId="28890"/>
    <cellStyle name="强调文字颜色 3 2 3 4 2 5 2" xfId="23945"/>
    <cellStyle name="强调文字颜色 3 2 3 4 2 5 3" xfId="23947"/>
    <cellStyle name="强调文字颜色 3 2 3 4 2 6" xfId="10847"/>
    <cellStyle name="强调文字颜色 3 2 3 4 3" xfId="28891"/>
    <cellStyle name="强调文字颜色 3 2 3 4 3 2" xfId="28893"/>
    <cellStyle name="强调文字颜色 3 2 3 4 3 3" xfId="28895"/>
    <cellStyle name="强调文字颜色 3 2 3 4 4" xfId="28896"/>
    <cellStyle name="强调文字颜色 3 2 3 4 4 2" xfId="28897"/>
    <cellStyle name="强调文字颜色 3 2 3 4 4 3" xfId="28898"/>
    <cellStyle name="强调文字颜色 3 2 3 4 5" xfId="28899"/>
    <cellStyle name="强调文字颜色 3 2 3 4 6" xfId="28900"/>
    <cellStyle name="强调文字颜色 3 2 3 4 6 2" xfId="28903"/>
    <cellStyle name="强调文字颜色 3 2 3 4 6 3" xfId="28905"/>
    <cellStyle name="强调文字颜色 3 2 3 4 7" xfId="28906"/>
    <cellStyle name="强调文字颜色 3 2 3 5" xfId="22752"/>
    <cellStyle name="强调文字颜色 3 2 3 5 2" xfId="17372"/>
    <cellStyle name="强调文字颜色 3 2 3 5 2 2" xfId="28907"/>
    <cellStyle name="强调文字颜色 3 2 3 5 2 3" xfId="28908"/>
    <cellStyle name="强调文字颜色 3 2 3 5 3" xfId="28909"/>
    <cellStyle name="强调文字颜色 3 2 3 5 3 2" xfId="28911"/>
    <cellStyle name="强调文字颜色 3 2 3 5 3 3" xfId="28913"/>
    <cellStyle name="强调文字颜色 3 2 3 5 4" xfId="28914"/>
    <cellStyle name="强调文字颜色 3 2 3 5 5" xfId="28915"/>
    <cellStyle name="强调文字颜色 3 2 3 5 5 2" xfId="28916"/>
    <cellStyle name="强调文字颜色 3 2 3 5 5 3" xfId="28917"/>
    <cellStyle name="强调文字颜色 3 2 3 5 6" xfId="28919"/>
    <cellStyle name="强调文字颜色 3 2 3 6" xfId="22754"/>
    <cellStyle name="强调文字颜色 3 2 3 6 2" xfId="17386"/>
    <cellStyle name="强调文字颜色 3 2 3 6 3" xfId="28920"/>
    <cellStyle name="强调文字颜色 3 2 3 7" xfId="22756"/>
    <cellStyle name="强调文字颜色 3 2 3 7 2" xfId="28922"/>
    <cellStyle name="强调文字颜色 3 2 3 7 3" xfId="28924"/>
    <cellStyle name="强调文字颜色 3 2 3 8" xfId="28925"/>
    <cellStyle name="强调文字颜色 3 2 3 9" xfId="28927"/>
    <cellStyle name="强调文字颜色 3 2 3 9 2" xfId="28929"/>
    <cellStyle name="强调文字颜色 3 2 3 9 3" xfId="28930"/>
    <cellStyle name="强调文字颜色 3 2 4" xfId="28134"/>
    <cellStyle name="强调文字颜色 3 2 4 10" xfId="28932"/>
    <cellStyle name="强调文字颜色 3 2 4 2" xfId="22760"/>
    <cellStyle name="强调文字颜色 3 2 4 2 2" xfId="1393"/>
    <cellStyle name="强调文字颜色 3 2 4 2 2 2" xfId="8726"/>
    <cellStyle name="强调文字颜色 3 2 4 2 2 2 2" xfId="28933"/>
    <cellStyle name="强调文字颜色 3 2 4 2 2 2 2 2" xfId="28934"/>
    <cellStyle name="强调文字颜色 3 2 4 2 2 2 2 3" xfId="22698"/>
    <cellStyle name="强调文字颜色 3 2 4 2 2 2 3" xfId="28935"/>
    <cellStyle name="强调文字颜色 3 2 4 2 2 2 3 2" xfId="15435"/>
    <cellStyle name="强调文字颜色 3 2 4 2 2 2 3 3" xfId="15438"/>
    <cellStyle name="强调文字颜色 3 2 4 2 2 2 4" xfId="28936"/>
    <cellStyle name="强调文字颜色 3 2 4 2 2 2 5" xfId="28937"/>
    <cellStyle name="强调文字颜色 3 2 4 2 2 2 5 2" xfId="28938"/>
    <cellStyle name="强调文字颜色 3 2 4 2 2 2 5 3" xfId="22721"/>
    <cellStyle name="强调文字颜色 3 2 4 2 2 2 6" xfId="28939"/>
    <cellStyle name="强调文字颜色 3 2 4 2 2 3" xfId="8731"/>
    <cellStyle name="强调文字颜色 3 2 4 2 2 3 2" xfId="15848"/>
    <cellStyle name="强调文字颜色 3 2 4 2 2 3 3" xfId="15851"/>
    <cellStyle name="强调文字颜色 3 2 4 2 2 4" xfId="28940"/>
    <cellStyle name="强调文字颜色 3 2 4 2 2 4 2" xfId="15896"/>
    <cellStyle name="强调文字颜色 3 2 4 2 2 4 3" xfId="15902"/>
    <cellStyle name="强调文字颜色 3 2 4 2 2 5" xfId="25385"/>
    <cellStyle name="强调文字颜色 3 2 4 2 2 6" xfId="9491"/>
    <cellStyle name="强调文字颜色 3 2 4 2 2 6 2" xfId="15925"/>
    <cellStyle name="强调文字颜色 3 2 4 2 2 6 3" xfId="15929"/>
    <cellStyle name="强调文字颜色 3 2 4 2 2 7" xfId="3001"/>
    <cellStyle name="强调文字颜色 3 2 4 2 3" xfId="3706"/>
    <cellStyle name="强调文字颜色 3 2 4 2 3 2" xfId="28941"/>
    <cellStyle name="强调文字颜色 3 2 4 2 3 2 2" xfId="19473"/>
    <cellStyle name="强调文字颜色 3 2 4 2 3 2 3" xfId="19476"/>
    <cellStyle name="强调文字颜色 3 2 4 2 3 3" xfId="28942"/>
    <cellStyle name="强调文字颜色 3 2 4 2 3 3 2" xfId="9571"/>
    <cellStyle name="强调文字颜色 3 2 4 2 3 3 3" xfId="15994"/>
    <cellStyle name="强调文字颜色 3 2 4 2 3 4" xfId="28943"/>
    <cellStyle name="强调文字颜色 3 2 4 2 3 5" xfId="28944"/>
    <cellStyle name="强调文字颜色 3 2 4 2 3 5 2" xfId="16053"/>
    <cellStyle name="强调文字颜色 3 2 4 2 3 5 3" xfId="16055"/>
    <cellStyle name="强调文字颜色 3 2 4 2 3 6" xfId="28946"/>
    <cellStyle name="强调文字颜色 3 2 4 2 4" xfId="28947"/>
    <cellStyle name="强调文字颜色 3 2 4 2 4 2" xfId="28948"/>
    <cellStyle name="强调文字颜色 3 2 4 2 4 3" xfId="28949"/>
    <cellStyle name="强调文字颜色 3 2 4 2 5" xfId="28950"/>
    <cellStyle name="强调文字颜色 3 2 4 2 5 2" xfId="28951"/>
    <cellStyle name="强调文字颜色 3 2 4 2 5 3" xfId="28952"/>
    <cellStyle name="强调文字颜色 3 2 4 2 6" xfId="28953"/>
    <cellStyle name="强调文字颜色 3 2 4 2 7" xfId="28954"/>
    <cellStyle name="强调文字颜色 3 2 4 2 7 2" xfId="28955"/>
    <cellStyle name="强调文字颜色 3 2 4 2 7 3" xfId="28956"/>
    <cellStyle name="强调文字颜色 3 2 4 2 8" xfId="28957"/>
    <cellStyle name="强调文字颜色 3 2 4 3" xfId="3713"/>
    <cellStyle name="强调文字颜色 3 2 4 3 2" xfId="4692"/>
    <cellStyle name="强调文字颜色 3 2 4 3 2 2" xfId="28959"/>
    <cellStyle name="强调文字颜色 3 2 4 3 2 2 2" xfId="28960"/>
    <cellStyle name="强调文字颜色 3 2 4 3 2 2 3" xfId="28928"/>
    <cellStyle name="强调文字颜色 3 2 4 3 2 3" xfId="28961"/>
    <cellStyle name="强调文字颜色 3 2 4 3 2 3 2" xfId="16792"/>
    <cellStyle name="强调文字颜色 3 2 4 3 2 3 3" xfId="16806"/>
    <cellStyle name="强调文字颜色 3 2 4 3 2 4" xfId="28962"/>
    <cellStyle name="强调文字颜色 3 2 4 3 2 5" xfId="28963"/>
    <cellStyle name="强调文字颜色 3 2 4 3 2 5 2" xfId="3012"/>
    <cellStyle name="强调文字颜色 3 2 4 3 2 5 3" xfId="11012"/>
    <cellStyle name="强调文字颜色 3 2 4 3 2 6" xfId="28964"/>
    <cellStyle name="强调文字颜色 3 2 4 3 3" xfId="28965"/>
    <cellStyle name="强调文字颜色 3 2 4 3 3 2" xfId="28966"/>
    <cellStyle name="强调文字颜色 3 2 4 3 3 3" xfId="28967"/>
    <cellStyle name="强调文字颜色 3 2 4 3 4" xfId="28968"/>
    <cellStyle name="强调文字颜色 3 2 4 3 4 2" xfId="28969"/>
    <cellStyle name="强调文字颜色 3 2 4 3 4 3" xfId="28970"/>
    <cellStyle name="强调文字颜色 3 2 4 3 5" xfId="28971"/>
    <cellStyle name="强调文字颜色 3 2 4 3 6" xfId="28972"/>
    <cellStyle name="强调文字颜色 3 2 4 3 6 2" xfId="28973"/>
    <cellStyle name="强调文字颜色 3 2 4 3 6 3" xfId="28974"/>
    <cellStyle name="强调文字颜色 3 2 4 3 7" xfId="28975"/>
    <cellStyle name="强调文字颜色 3 2 4 4" xfId="11769"/>
    <cellStyle name="强调文字颜色 3 2 4 4 2" xfId="8741"/>
    <cellStyle name="强调文字颜色 3 2 4 4 2 2" xfId="28976"/>
    <cellStyle name="强调文字颜色 3 2 4 4 2 2 2" xfId="13454"/>
    <cellStyle name="强调文字颜色 3 2 4 4 2 2 3" xfId="13456"/>
    <cellStyle name="强调文字颜色 3 2 4 4 2 3" xfId="28977"/>
    <cellStyle name="强调文字颜色 3 2 4 4 2 3 2" xfId="13466"/>
    <cellStyle name="强调文字颜色 3 2 4 4 2 3 3" xfId="13469"/>
    <cellStyle name="强调文字颜色 3 2 4 4 2 4" xfId="28978"/>
    <cellStyle name="强调文字颜色 3 2 4 4 2 5" xfId="28979"/>
    <cellStyle name="强调文字颜色 3 2 4 4 2 5 2" xfId="11087"/>
    <cellStyle name="强调文字颜色 3 2 4 4 2 5 3" xfId="11095"/>
    <cellStyle name="强调文字颜色 3 2 4 4 2 6" xfId="26477"/>
    <cellStyle name="强调文字颜色 3 2 4 4 3" xfId="19916"/>
    <cellStyle name="强调文字颜色 3 2 4 4 3 2" xfId="28980"/>
    <cellStyle name="强调文字颜色 3 2 4 4 3 3" xfId="28981"/>
    <cellStyle name="强调文字颜色 3 2 4 4 4" xfId="19918"/>
    <cellStyle name="强调文字颜色 3 2 4 4 4 2" xfId="28982"/>
    <cellStyle name="强调文字颜色 3 2 4 4 4 3" xfId="28983"/>
    <cellStyle name="强调文字颜色 3 2 4 4 5" xfId="19921"/>
    <cellStyle name="强调文字颜色 3 2 4 4 6" xfId="19924"/>
    <cellStyle name="强调文字颜色 3 2 4 4 6 2" xfId="28984"/>
    <cellStyle name="强调文字颜色 3 2 4 4 6 3" xfId="28985"/>
    <cellStyle name="强调文字颜色 3 2 4 4 7" xfId="22801"/>
    <cellStyle name="强调文字颜色 3 2 4 5" xfId="22762"/>
    <cellStyle name="强调文字颜色 3 2 4 5 2" xfId="19929"/>
    <cellStyle name="强调文字颜色 3 2 4 5 2 2" xfId="28986"/>
    <cellStyle name="强调文字颜色 3 2 4 5 2 3" xfId="28987"/>
    <cellStyle name="强调文字颜色 3 2 4 5 3" xfId="19931"/>
    <cellStyle name="强调文字颜色 3 2 4 5 3 2" xfId="28988"/>
    <cellStyle name="强调文字颜色 3 2 4 5 3 3" xfId="28989"/>
    <cellStyle name="强调文字颜色 3 2 4 5 4" xfId="19933"/>
    <cellStyle name="强调文字颜色 3 2 4 5 5" xfId="19936"/>
    <cellStyle name="强调文字颜色 3 2 4 5 5 2" xfId="28990"/>
    <cellStyle name="强调文字颜色 3 2 4 5 5 3" xfId="28991"/>
    <cellStyle name="强调文字颜色 3 2 4 5 6" xfId="19940"/>
    <cellStyle name="强调文字颜色 3 2 4 6" xfId="3294"/>
    <cellStyle name="强调文字颜色 3 2 4 6 2" xfId="19945"/>
    <cellStyle name="强调文字颜色 3 2 4 6 3" xfId="19947"/>
    <cellStyle name="强调文字颜色 3 2 4 7" xfId="3350"/>
    <cellStyle name="强调文字颜色 3 2 4 7 2" xfId="19958"/>
    <cellStyle name="强调文字颜色 3 2 4 7 3" xfId="19960"/>
    <cellStyle name="强调文字颜色 3 2 4 8" xfId="28992"/>
    <cellStyle name="强调文字颜色 3 2 4 9" xfId="28993"/>
    <cellStyle name="强调文字颜色 3 2 4 9 2" xfId="19972"/>
    <cellStyle name="强调文字颜色 3 2 4 9 3" xfId="19975"/>
    <cellStyle name="强调文字颜色 3 2 5" xfId="28994"/>
    <cellStyle name="强调文字颜色 3 2 5 2" xfId="28995"/>
    <cellStyle name="强调文字颜色 3 2 5 2 2" xfId="8860"/>
    <cellStyle name="强调文字颜色 3 2 5 2 2 2" xfId="8864"/>
    <cellStyle name="强调文字颜色 3 2 5 2 2 2 2" xfId="28996"/>
    <cellStyle name="强调文字颜色 3 2 5 2 2 2 3" xfId="28997"/>
    <cellStyle name="强调文字颜色 3 2 5 2 2 3" xfId="8869"/>
    <cellStyle name="强调文字颜色 3 2 5 2 2 3 2" xfId="1575"/>
    <cellStyle name="强调文字颜色 3 2 5 2 2 3 3" xfId="4786"/>
    <cellStyle name="强调文字颜色 3 2 5 2 2 4" xfId="28998"/>
    <cellStyle name="强调文字颜色 3 2 5 2 2 5" xfId="29000"/>
    <cellStyle name="强调文字颜色 3 2 5 2 2 5 2" xfId="1330"/>
    <cellStyle name="强调文字颜色 3 2 5 2 2 5 3" xfId="5157"/>
    <cellStyle name="强调文字颜色 3 2 5 2 2 6" xfId="29003"/>
    <cellStyle name="强调文字颜色 3 2 5 2 3" xfId="8875"/>
    <cellStyle name="强调文字颜色 3 2 5 2 3 2" xfId="29004"/>
    <cellStyle name="强调文字颜色 3 2 5 2 3 3" xfId="29006"/>
    <cellStyle name="强调文字颜色 3 2 5 2 4" xfId="29008"/>
    <cellStyle name="强调文字颜色 3 2 5 2 4 2" xfId="784"/>
    <cellStyle name="强调文字颜色 3 2 5 2 4 3" xfId="25775"/>
    <cellStyle name="强调文字颜色 3 2 5 2 5" xfId="29010"/>
    <cellStyle name="强调文字颜色 3 2 5 2 6" xfId="29011"/>
    <cellStyle name="强调文字颜色 3 2 5 2 6 2" xfId="29012"/>
    <cellStyle name="强调文字颜色 3 2 5 2 6 3" xfId="29014"/>
    <cellStyle name="强调文字颜色 3 2 5 2 7" xfId="29015"/>
    <cellStyle name="强调文字颜色 3 2 5 3" xfId="29016"/>
    <cellStyle name="强调文字颜色 3 2 5 3 2" xfId="6240"/>
    <cellStyle name="强调文字颜色 3 2 5 3 2 2" xfId="6246"/>
    <cellStyle name="强调文字颜色 3 2 5 3 2 3" xfId="6262"/>
    <cellStyle name="强调文字颜色 3 2 5 3 3" xfId="6274"/>
    <cellStyle name="强调文字颜色 3 2 5 3 3 2" xfId="29017"/>
    <cellStyle name="强调文字颜色 3 2 5 3 3 3" xfId="29019"/>
    <cellStyle name="强调文字颜色 3 2 5 3 4" xfId="29020"/>
    <cellStyle name="强调文字颜色 3 2 5 3 5" xfId="29021"/>
    <cellStyle name="强调文字颜色 3 2 5 3 5 2" xfId="4207"/>
    <cellStyle name="强调文字颜色 3 2 5 3 5 3" xfId="29023"/>
    <cellStyle name="强调文字颜色 3 2 5 3 6" xfId="29024"/>
    <cellStyle name="强调文字颜色 3 2 5 4" xfId="11321"/>
    <cellStyle name="强调文字颜色 3 2 5 4 2" xfId="6361"/>
    <cellStyle name="强调文字颜色 3 2 5 4 3" xfId="29025"/>
    <cellStyle name="强调文字颜色 3 2 5 5" xfId="11324"/>
    <cellStyle name="强调文字颜色 3 2 5 5 2" xfId="6467"/>
    <cellStyle name="强调文字颜色 3 2 5 5 3" xfId="6494"/>
    <cellStyle name="强调文字颜色 3 2 5 6" xfId="29026"/>
    <cellStyle name="强调文字颜色 3 2 5 7" xfId="29027"/>
    <cellStyle name="强调文字颜色 3 2 5 7 2" xfId="6610"/>
    <cellStyle name="强调文字颜色 3 2 5 7 3" xfId="29028"/>
    <cellStyle name="强调文字颜色 3 2 5 8" xfId="29029"/>
    <cellStyle name="强调文字颜色 3 2 6" xfId="27214"/>
    <cellStyle name="强调文字颜色 3 2 6 2" xfId="29030"/>
    <cellStyle name="强调文字颜色 3 2 6 2 2" xfId="5752"/>
    <cellStyle name="强调文字颜色 3 2 6 2 2 2" xfId="8906"/>
    <cellStyle name="强调文字颜色 3 2 6 2 2 3" xfId="8913"/>
    <cellStyle name="强调文字颜色 3 2 6 2 3" xfId="8915"/>
    <cellStyle name="强调文字颜色 3 2 6 2 3 2" xfId="9110"/>
    <cellStyle name="强调文字颜色 3 2 6 2 3 3" xfId="9115"/>
    <cellStyle name="强调文字颜色 3 2 6 2 4" xfId="8022"/>
    <cellStyle name="强调文字颜色 3 2 6 2 5" xfId="29032"/>
    <cellStyle name="强调文字颜色 3 2 6 2 5 2" xfId="29033"/>
    <cellStyle name="强调文字颜色 3 2 6 2 5 3" xfId="25789"/>
    <cellStyle name="强调文字颜色 3 2 6 2 6" xfId="10598"/>
    <cellStyle name="强调文字颜色 3 2 6 3" xfId="29035"/>
    <cellStyle name="强调文字颜色 3 2 6 3 2" xfId="8931"/>
    <cellStyle name="强调文字颜色 3 2 6 3 3" xfId="9123"/>
    <cellStyle name="强调文字颜色 3 2 6 4" xfId="29037"/>
    <cellStyle name="强调文字颜色 3 2 6 4 2" xfId="8941"/>
    <cellStyle name="强调文字颜色 3 2 6 4 3" xfId="29039"/>
    <cellStyle name="强调文字颜色 3 2 6 5" xfId="29041"/>
    <cellStyle name="强调文字颜色 3 2 6 6" xfId="29043"/>
    <cellStyle name="强调文字颜色 3 2 6 6 2" xfId="29044"/>
    <cellStyle name="强调文字颜色 3 2 6 6 3" xfId="9827"/>
    <cellStyle name="强调文字颜色 3 2 6 7" xfId="29046"/>
    <cellStyle name="强调文字颜色 3 2 7" xfId="27216"/>
    <cellStyle name="强调文字颜色 3 2 7 2" xfId="26825"/>
    <cellStyle name="强调文字颜色 3 2 7 2 2" xfId="8970"/>
    <cellStyle name="强调文字颜色 3 2 7 2 2 2" xfId="25213"/>
    <cellStyle name="强调文字颜色 3 2 7 2 2 3" xfId="22496"/>
    <cellStyle name="强调文字颜色 3 2 7 2 3" xfId="9140"/>
    <cellStyle name="强调文字颜色 3 2 7 2 3 2" xfId="29047"/>
    <cellStyle name="强调文字颜色 3 2 7 2 3 3" xfId="29048"/>
    <cellStyle name="强调文字颜色 3 2 7 2 4" xfId="9144"/>
    <cellStyle name="强调文字颜色 3 2 7 2 5" xfId="29050"/>
    <cellStyle name="强调文字颜色 3 2 7 2 5 2" xfId="29051"/>
    <cellStyle name="强调文字颜色 3 2 7 2 5 3" xfId="29052"/>
    <cellStyle name="强调文字颜色 3 2 7 2 6" xfId="29054"/>
    <cellStyle name="强调文字颜色 3 2 7 3" xfId="25697"/>
    <cellStyle name="强调文字颜色 3 2 7 3 2" xfId="25700"/>
    <cellStyle name="强调文字颜色 3 2 7 3 3" xfId="25703"/>
    <cellStyle name="强调文字颜色 3 2 7 4" xfId="25706"/>
    <cellStyle name="强调文字颜色 3 2 7 4 2" xfId="25709"/>
    <cellStyle name="强调文字颜色 3 2 7 4 3" xfId="24009"/>
    <cellStyle name="强调文字颜色 3 2 7 5" xfId="25715"/>
    <cellStyle name="强调文字颜色 3 2 7 6" xfId="29056"/>
    <cellStyle name="强调文字颜色 3 2 7 6 2" xfId="29058"/>
    <cellStyle name="强调文字颜色 3 2 7 6 3" xfId="29060"/>
    <cellStyle name="强调文字颜色 3 2 7 7" xfId="26786"/>
    <cellStyle name="强调文字颜色 3 2 8" xfId="29061"/>
    <cellStyle name="强调文字颜色 3 2 8 2" xfId="29062"/>
    <cellStyle name="强调文字颜色 3 2 8 2 2" xfId="29063"/>
    <cellStyle name="强调文字颜色 3 2 8 2 3" xfId="29064"/>
    <cellStyle name="强调文字颜色 3 2 8 3" xfId="25718"/>
    <cellStyle name="强调文字颜色 3 2 8 3 2" xfId="25721"/>
    <cellStyle name="强调文字颜色 3 2 8 3 3" xfId="25724"/>
    <cellStyle name="强调文字颜色 3 2 8 4" xfId="25728"/>
    <cellStyle name="强调文字颜色 3 2 8 5" xfId="25731"/>
    <cellStyle name="强调文字颜色 3 2 8 5 2" xfId="29066"/>
    <cellStyle name="强调文字颜色 3 2 8 5 3" xfId="29068"/>
    <cellStyle name="强调文字颜色 3 2 8 6" xfId="29070"/>
    <cellStyle name="强调文字颜色 3 2 9" xfId="29071"/>
    <cellStyle name="强调文字颜色 3 2 9 2" xfId="29072"/>
    <cellStyle name="强调文字颜色 3 2 9 2 2" xfId="29073"/>
    <cellStyle name="强调文字颜色 3 2 9 2 3" xfId="29074"/>
    <cellStyle name="强调文字颜色 3 2 9 3" xfId="29076"/>
    <cellStyle name="强调文字颜色 3 2 9 4" xfId="29078"/>
    <cellStyle name="强调文字颜色 3 2 9 4 2" xfId="29079"/>
    <cellStyle name="强调文字颜色 3 2 9 4 3" xfId="29080"/>
    <cellStyle name="强调文字颜色 3 2 9 5" xfId="29082"/>
    <cellStyle name="强调文字颜色 3 3" xfId="29083"/>
    <cellStyle name="强调文字颜色 3 3 2" xfId="6885"/>
    <cellStyle name="强调文字颜色 3 3 3" xfId="22503"/>
    <cellStyle name="强调文字颜色 3 4" xfId="29084"/>
    <cellStyle name="强调文字颜色 4 2" xfId="29086"/>
    <cellStyle name="强调文字颜色 4 2 10" xfId="21830"/>
    <cellStyle name="强调文字颜色 4 2 10 2" xfId="19178"/>
    <cellStyle name="强调文字颜色 4 2 10 3" xfId="29087"/>
    <cellStyle name="强调文字颜色 4 2 11" xfId="21833"/>
    <cellStyle name="强调文字颜色 4 2 12" xfId="21835"/>
    <cellStyle name="强调文字颜色 4 2 12 2" xfId="19211"/>
    <cellStyle name="强调文字颜色 4 2 12 3" xfId="29088"/>
    <cellStyle name="强调文字颜色 4 2 13" xfId="28006"/>
    <cellStyle name="强调文字颜色 4 2 2" xfId="29089"/>
    <cellStyle name="强调文字颜色 4 2 2 10" xfId="26214"/>
    <cellStyle name="强调文字颜色 4 2 2 2" xfId="22869"/>
    <cellStyle name="强调文字颜色 4 2 2 2 2" xfId="29090"/>
    <cellStyle name="强调文字颜色 4 2 2 2 2 2" xfId="29091"/>
    <cellStyle name="强调文字颜色 4 2 2 2 2 2 2" xfId="24388"/>
    <cellStyle name="强调文字颜色 4 2 2 2 2 2 2 2" xfId="29092"/>
    <cellStyle name="强调文字颜色 4 2 2 2 2 2 2 3" xfId="29093"/>
    <cellStyle name="强调文字颜色 4 2 2 2 2 2 3" xfId="29094"/>
    <cellStyle name="强调文字颜色 4 2 2 2 2 2 3 2" xfId="29095"/>
    <cellStyle name="强调文字颜色 4 2 2 2 2 2 3 3" xfId="29096"/>
    <cellStyle name="强调文字颜色 4 2 2 2 2 2 4" xfId="29097"/>
    <cellStyle name="强调文字颜色 4 2 2 2 2 2 5" xfId="29098"/>
    <cellStyle name="强调文字颜色 4 2 2 2 2 2 5 2" xfId="23428"/>
    <cellStyle name="强调文字颜色 4 2 2 2 2 2 5 3" xfId="23440"/>
    <cellStyle name="强调文字颜色 4 2 2 2 2 2 6" xfId="29099"/>
    <cellStyle name="强调文字颜色 4 2 2 2 2 3" xfId="29100"/>
    <cellStyle name="强调文字颜色 4 2 2 2 2 3 2" xfId="29101"/>
    <cellStyle name="强调文字颜色 4 2 2 2 2 3 3" xfId="29102"/>
    <cellStyle name="强调文字颜色 4 2 2 2 2 4" xfId="21006"/>
    <cellStyle name="强调文字颜色 4 2 2 2 2 4 2" xfId="29103"/>
    <cellStyle name="强调文字颜色 4 2 2 2 2 4 3" xfId="29104"/>
    <cellStyle name="强调文字颜色 4 2 2 2 2 5" xfId="21008"/>
    <cellStyle name="强调文字颜色 4 2 2 2 2 6" xfId="9643"/>
    <cellStyle name="强调文字颜色 4 2 2 2 2 6 2" xfId="18611"/>
    <cellStyle name="强调文字颜色 4 2 2 2 2 6 3" xfId="2270"/>
    <cellStyle name="强调文字颜色 4 2 2 2 2 7" xfId="9650"/>
    <cellStyle name="强调文字颜色 4 2 2 2 3" xfId="20542"/>
    <cellStyle name="强调文字颜色 4 2 2 2 3 2" xfId="29105"/>
    <cellStyle name="强调文字颜色 4 2 2 2 3 2 2" xfId="29106"/>
    <cellStyle name="强调文字颜色 4 2 2 2 3 2 3" xfId="29107"/>
    <cellStyle name="强调文字颜色 4 2 2 2 3 3" xfId="29108"/>
    <cellStyle name="强调文字颜色 4 2 2 2 3 3 2" xfId="29109"/>
    <cellStyle name="强调文字颜色 4 2 2 2 3 3 3" xfId="29110"/>
    <cellStyle name="强调文字颜色 4 2 2 2 3 4" xfId="29111"/>
    <cellStyle name="强调文字颜色 4 2 2 2 3 5" xfId="28821"/>
    <cellStyle name="强调文字颜色 4 2 2 2 3 5 2" xfId="29112"/>
    <cellStyle name="强调文字颜色 4 2 2 2 3 5 3" xfId="29113"/>
    <cellStyle name="强调文字颜色 4 2 2 2 3 6" xfId="28824"/>
    <cellStyle name="强调文字颜色 4 2 2 2 4" xfId="20544"/>
    <cellStyle name="强调文字颜色 4 2 2 2 4 2" xfId="26249"/>
    <cellStyle name="强调文字颜色 4 2 2 2 4 3" xfId="29114"/>
    <cellStyle name="强调文字颜色 4 2 2 2 5" xfId="20546"/>
    <cellStyle name="强调文字颜色 4 2 2 2 5 2" xfId="26268"/>
    <cellStyle name="强调文字颜色 4 2 2 2 5 3" xfId="26275"/>
    <cellStyle name="强调文字颜色 4 2 2 2 6" xfId="20548"/>
    <cellStyle name="强调文字颜色 4 2 2 2 7" xfId="20550"/>
    <cellStyle name="强调文字颜色 4 2 2 2 7 2" xfId="26283"/>
    <cellStyle name="强调文字颜色 4 2 2 2 7 3" xfId="13725"/>
    <cellStyle name="强调文字颜色 4 2 2 2 8" xfId="20552"/>
    <cellStyle name="强调文字颜色 4 2 2 3" xfId="22871"/>
    <cellStyle name="强调文字颜色 4 2 2 3 2" xfId="6062"/>
    <cellStyle name="强调文字颜色 4 2 2 3 2 2" xfId="10167"/>
    <cellStyle name="强调文字颜色 4 2 2 3 2 2 2" xfId="7230"/>
    <cellStyle name="强调文字颜色 4 2 2 3 2 2 3" xfId="7215"/>
    <cellStyle name="强调文字颜色 4 2 2 3 2 3" xfId="10169"/>
    <cellStyle name="强调文字颜色 4 2 2 3 2 3 2" xfId="7247"/>
    <cellStyle name="强调文字颜色 4 2 2 3 2 3 3" xfId="7327"/>
    <cellStyle name="强调文字颜色 4 2 2 3 2 4" xfId="10171"/>
    <cellStyle name="强调文字颜色 4 2 2 3 2 5" xfId="28836"/>
    <cellStyle name="强调文字颜色 4 2 2 3 2 5 2" xfId="29115"/>
    <cellStyle name="强调文字颜色 4 2 2 3 2 5 3" xfId="29116"/>
    <cellStyle name="强调文字颜色 4 2 2 3 2 6" xfId="28839"/>
    <cellStyle name="强调文字颜色 4 2 2 3 3" xfId="10173"/>
    <cellStyle name="强调文字颜色 4 2 2 3 3 2" xfId="10175"/>
    <cellStyle name="强调文字颜色 4 2 2 3 3 3" xfId="10182"/>
    <cellStyle name="强调文字颜色 4 2 2 3 4" xfId="10189"/>
    <cellStyle name="强调文字颜色 4 2 2 3 4 2" xfId="10191"/>
    <cellStyle name="强调文字颜色 4 2 2 3 4 3" xfId="10194"/>
    <cellStyle name="强调文字颜色 4 2 2 3 5" xfId="10196"/>
    <cellStyle name="强调文字颜色 4 2 2 3 6" xfId="10202"/>
    <cellStyle name="强调文字颜色 4 2 2 3 6 2" xfId="10219"/>
    <cellStyle name="强调文字颜色 4 2 2 3 6 3" xfId="29117"/>
    <cellStyle name="强调文字颜色 4 2 2 3 7" xfId="29118"/>
    <cellStyle name="强调文字颜色 4 2 2 4" xfId="22873"/>
    <cellStyle name="强调文字颜色 4 2 2 4 2" xfId="5454"/>
    <cellStyle name="强调文字颜色 4 2 2 4 2 2" xfId="787"/>
    <cellStyle name="强调文字颜色 4 2 2 4 2 2 2" xfId="7284"/>
    <cellStyle name="强调文字颜色 4 2 2 4 2 2 3" xfId="7690"/>
    <cellStyle name="强调文字颜色 4 2 2 4 2 3" xfId="5458"/>
    <cellStyle name="强调文字颜色 4 2 2 4 2 3 2" xfId="8347"/>
    <cellStyle name="强调文字颜色 4 2 2 4 2 3 3" xfId="7838"/>
    <cellStyle name="强调文字颜色 4 2 2 4 2 4" xfId="10256"/>
    <cellStyle name="强调文字颜色 4 2 2 4 2 5" xfId="11818"/>
    <cellStyle name="强调文字颜色 4 2 2 4 2 5 2" xfId="29120"/>
    <cellStyle name="强调文字颜色 4 2 2 4 2 5 3" xfId="29121"/>
    <cellStyle name="强调文字颜色 4 2 2 4 2 6" xfId="11825"/>
    <cellStyle name="强调文字颜色 4 2 2 4 3" xfId="3289"/>
    <cellStyle name="强调文字颜色 4 2 2 4 3 2" xfId="10260"/>
    <cellStyle name="强调文字颜色 4 2 2 4 3 3" xfId="10274"/>
    <cellStyle name="强调文字颜色 4 2 2 4 4" xfId="3346"/>
    <cellStyle name="强调文字颜色 4 2 2 4 4 2" xfId="10276"/>
    <cellStyle name="强调文字颜色 4 2 2 4 4 3" xfId="10278"/>
    <cellStyle name="强调文字颜色 4 2 2 4 5" xfId="10280"/>
    <cellStyle name="强调文字颜色 4 2 2 4 6" xfId="29122"/>
    <cellStyle name="强调文字颜色 4 2 2 4 6 2" xfId="10234"/>
    <cellStyle name="强调文字颜色 4 2 2 4 6 3" xfId="29123"/>
    <cellStyle name="强调文字颜色 4 2 2 4 7" xfId="29124"/>
    <cellStyle name="强调文字颜色 4 2 2 5" xfId="22875"/>
    <cellStyle name="强调文字颜色 4 2 2 5 2" xfId="5462"/>
    <cellStyle name="强调文字颜色 4 2 2 5 2 2" xfId="29125"/>
    <cellStyle name="强调文字颜色 4 2 2 5 2 3" xfId="29126"/>
    <cellStyle name="强调文字颜色 4 2 2 5 3" xfId="5468"/>
    <cellStyle name="强调文字颜色 4 2 2 5 3 2" xfId="12005"/>
    <cellStyle name="强调文字颜色 4 2 2 5 3 3" xfId="29127"/>
    <cellStyle name="强调文字颜色 4 2 2 5 4" xfId="29128"/>
    <cellStyle name="强调文字颜色 4 2 2 5 5" xfId="29129"/>
    <cellStyle name="强调文字颜色 4 2 2 5 5 2" xfId="26330"/>
    <cellStyle name="强调文字颜色 4 2 2 5 5 3" xfId="29130"/>
    <cellStyle name="强调文字颜色 4 2 2 5 6" xfId="29131"/>
    <cellStyle name="强调文字颜色 4 2 2 6" xfId="22877"/>
    <cellStyle name="强调文字颜色 4 2 2 6 2" xfId="10297"/>
    <cellStyle name="强调文字颜色 4 2 2 6 3" xfId="24852"/>
    <cellStyle name="强调文字颜色 4 2 2 7" xfId="3747"/>
    <cellStyle name="强调文字颜色 4 2 2 7 2" xfId="10319"/>
    <cellStyle name="强调文字颜色 4 2 2 7 3" xfId="26643"/>
    <cellStyle name="强调文字颜色 4 2 2 8" xfId="6550"/>
    <cellStyle name="强调文字颜色 4 2 2 9" xfId="29132"/>
    <cellStyle name="强调文字颜色 4 2 2 9 2" xfId="6201"/>
    <cellStyle name="强调文字颜色 4 2 2 9 3" xfId="29133"/>
    <cellStyle name="强调文字颜色 4 2 3" xfId="28145"/>
    <cellStyle name="强调文字颜色 4 2 3 10" xfId="29134"/>
    <cellStyle name="强调文字颜色 4 2 3 2" xfId="22883"/>
    <cellStyle name="强调文字颜色 4 2 3 2 2" xfId="29135"/>
    <cellStyle name="强调文字颜色 4 2 3 2 2 2" xfId="29136"/>
    <cellStyle name="强调文字颜色 4 2 3 2 2 2 2" xfId="24429"/>
    <cellStyle name="强调文字颜色 4 2 3 2 2 2 2 2" xfId="29137"/>
    <cellStyle name="强调文字颜色 4 2 3 2 2 2 2 3" xfId="29138"/>
    <cellStyle name="强调文字颜色 4 2 3 2 2 2 3" xfId="29139"/>
    <cellStyle name="强调文字颜色 4 2 3 2 2 2 3 2" xfId="29140"/>
    <cellStyle name="强调文字颜色 4 2 3 2 2 2 3 3" xfId="29141"/>
    <cellStyle name="强调文字颜色 4 2 3 2 2 2 4" xfId="29142"/>
    <cellStyle name="强调文字颜色 4 2 3 2 2 2 5" xfId="29143"/>
    <cellStyle name="强调文字颜色 4 2 3 2 2 2 5 2" xfId="29144"/>
    <cellStyle name="强调文字颜色 4 2 3 2 2 2 5 3" xfId="5299"/>
    <cellStyle name="强调文字颜色 4 2 3 2 2 2 6" xfId="29145"/>
    <cellStyle name="强调文字颜色 4 2 3 2 2 3" xfId="29146"/>
    <cellStyle name="强调文字颜色 4 2 3 2 2 3 2" xfId="29147"/>
    <cellStyle name="强调文字颜色 4 2 3 2 2 3 3" xfId="29148"/>
    <cellStyle name="强调文字颜色 4 2 3 2 2 4" xfId="29149"/>
    <cellStyle name="强调文字颜色 4 2 3 2 2 4 2" xfId="29150"/>
    <cellStyle name="强调文字颜色 4 2 3 2 2 4 3" xfId="29151"/>
    <cellStyle name="强调文字颜色 4 2 3 2 2 5" xfId="28861"/>
    <cellStyle name="强调文字颜色 4 2 3 2 2 6" xfId="9733"/>
    <cellStyle name="强调文字颜色 4 2 3 2 2 6 2" xfId="3278"/>
    <cellStyle name="强调文字颜色 4 2 3 2 2 6 3" xfId="29153"/>
    <cellStyle name="强调文字颜色 4 2 3 2 2 7" xfId="8616"/>
    <cellStyle name="强调文字颜色 4 2 3 2 3" xfId="27917"/>
    <cellStyle name="强调文字颜色 4 2 3 2 3 2" xfId="29154"/>
    <cellStyle name="强调文字颜色 4 2 3 2 3 2 2" xfId="29155"/>
    <cellStyle name="强调文字颜色 4 2 3 2 3 2 3" xfId="29156"/>
    <cellStyle name="强调文字颜色 4 2 3 2 3 3" xfId="29157"/>
    <cellStyle name="强调文字颜色 4 2 3 2 3 3 2" xfId="28244"/>
    <cellStyle name="强调文字颜色 4 2 3 2 3 3 3" xfId="29158"/>
    <cellStyle name="强调文字颜色 4 2 3 2 3 4" xfId="29159"/>
    <cellStyle name="强调文字颜色 4 2 3 2 3 5" xfId="29160"/>
    <cellStyle name="强调文字颜色 4 2 3 2 3 5 2" xfId="28269"/>
    <cellStyle name="强调文字颜色 4 2 3 2 3 5 3" xfId="27644"/>
    <cellStyle name="强调文字颜色 4 2 3 2 3 6" xfId="29162"/>
    <cellStyle name="强调文字颜色 4 2 3 2 4" xfId="27919"/>
    <cellStyle name="强调文字颜色 4 2 3 2 4 2" xfId="26344"/>
    <cellStyle name="强调文字颜色 4 2 3 2 4 3" xfId="29163"/>
    <cellStyle name="强调文字颜色 4 2 3 2 5" xfId="29164"/>
    <cellStyle name="强调文字颜色 4 2 3 2 5 2" xfId="26348"/>
    <cellStyle name="强调文字颜色 4 2 3 2 5 3" xfId="29165"/>
    <cellStyle name="强调文字颜色 4 2 3 2 6" xfId="29166"/>
    <cellStyle name="强调文字颜色 4 2 3 2 7" xfId="29167"/>
    <cellStyle name="强调文字颜色 4 2 3 2 7 2" xfId="25968"/>
    <cellStyle name="强调文字颜色 4 2 3 2 7 3" xfId="29168"/>
    <cellStyle name="强调文字颜色 4 2 3 2 8" xfId="26603"/>
    <cellStyle name="强调文字颜色 4 2 3 3" xfId="22886"/>
    <cellStyle name="强调文字颜色 4 2 3 3 2" xfId="7451"/>
    <cellStyle name="强调文字颜色 4 2 3 3 2 2" xfId="5150"/>
    <cellStyle name="强调文字颜色 4 2 3 3 2 2 2" xfId="7348"/>
    <cellStyle name="强调文字颜色 4 2 3 3 2 2 3" xfId="5759"/>
    <cellStyle name="强调文字颜色 4 2 3 3 2 3" xfId="10421"/>
    <cellStyle name="强调文字颜色 4 2 3 3 2 3 2" xfId="10428"/>
    <cellStyle name="强调文字颜色 4 2 3 3 2 3 3" xfId="10431"/>
    <cellStyle name="强调文字颜色 4 2 3 3 2 4" xfId="10438"/>
    <cellStyle name="强调文字颜色 4 2 3 3 2 5" xfId="29170"/>
    <cellStyle name="强调文字颜色 4 2 3 3 2 5 2" xfId="29171"/>
    <cellStyle name="强调文字颜色 4 2 3 3 2 5 3" xfId="29172"/>
    <cellStyle name="强调文字颜色 4 2 3 3 2 6" xfId="29175"/>
    <cellStyle name="强调文字颜色 4 2 3 3 3" xfId="10443"/>
    <cellStyle name="强调文字颜色 4 2 3 3 3 2" xfId="10445"/>
    <cellStyle name="强调文字颜色 4 2 3 3 3 3" xfId="10447"/>
    <cellStyle name="强调文字颜色 4 2 3 3 4" xfId="10450"/>
    <cellStyle name="强调文字颜色 4 2 3 3 4 2" xfId="10452"/>
    <cellStyle name="强调文字颜色 4 2 3 3 4 3" xfId="10454"/>
    <cellStyle name="强调文字颜色 4 2 3 3 5" xfId="10457"/>
    <cellStyle name="强调文字颜色 4 2 3 3 6" xfId="10463"/>
    <cellStyle name="强调文字颜色 4 2 3 3 6 2" xfId="10244"/>
    <cellStyle name="强调文字颜色 4 2 3 3 6 3" xfId="29176"/>
    <cellStyle name="强调文字颜色 4 2 3 3 7" xfId="29177"/>
    <cellStyle name="强调文字颜色 4 2 3 4" xfId="22889"/>
    <cellStyle name="强调文字颜色 4 2 3 4 2" xfId="5472"/>
    <cellStyle name="强调文字颜色 4 2 3 4 2 2" xfId="5480"/>
    <cellStyle name="强调文字颜色 4 2 3 4 2 2 2" xfId="10574"/>
    <cellStyle name="强调文字颜色 4 2 3 4 2 2 3" xfId="10583"/>
    <cellStyle name="强调文字颜色 4 2 3 4 2 3" xfId="5486"/>
    <cellStyle name="强调文字颜色 4 2 3 4 2 3 2" xfId="8693"/>
    <cellStyle name="强调文字颜色 4 2 3 4 2 3 3" xfId="8702"/>
    <cellStyle name="强调文字颜色 4 2 3 4 2 4" xfId="10589"/>
    <cellStyle name="强调文字颜色 4 2 3 4 2 5" xfId="29179"/>
    <cellStyle name="强调文字颜色 4 2 3 4 2 5 2" xfId="29181"/>
    <cellStyle name="强调文字颜色 4 2 3 4 2 5 3" xfId="29183"/>
    <cellStyle name="强调文字颜色 4 2 3 4 2 6" xfId="29185"/>
    <cellStyle name="强调文字颜色 4 2 3 4 3" xfId="5488"/>
    <cellStyle name="强调文字颜色 4 2 3 4 3 2" xfId="10592"/>
    <cellStyle name="强调文字颜色 4 2 3 4 3 3" xfId="10595"/>
    <cellStyle name="强调文字颜色 4 2 3 4 4" xfId="9545"/>
    <cellStyle name="强调文字颜色 4 2 3 4 4 2" xfId="9553"/>
    <cellStyle name="强调文字颜色 4 2 3 4 4 3" xfId="8666"/>
    <cellStyle name="强调文字颜色 4 2 3 4 5" xfId="9558"/>
    <cellStyle name="强调文字颜色 4 2 3 4 6" xfId="15108"/>
    <cellStyle name="强调文字颜色 4 2 3 4 6 2" xfId="29186"/>
    <cellStyle name="强调文字颜色 4 2 3 4 6 3" xfId="29187"/>
    <cellStyle name="强调文字颜色 4 2 3 4 7" xfId="26081"/>
    <cellStyle name="强调文字颜色 4 2 3 5" xfId="22891"/>
    <cellStyle name="强调文字颜色 4 2 3 5 2" xfId="5493"/>
    <cellStyle name="强调文字颜色 4 2 3 5 2 2" xfId="24854"/>
    <cellStyle name="强调文字颜色 4 2 3 5 2 3" xfId="29188"/>
    <cellStyle name="强调文字颜色 4 2 3 5 3" xfId="29189"/>
    <cellStyle name="强调文字颜色 4 2 3 5 3 2" xfId="15823"/>
    <cellStyle name="强调文字颜色 4 2 3 5 3 3" xfId="29190"/>
    <cellStyle name="强调文字颜色 4 2 3 5 4" xfId="29191"/>
    <cellStyle name="强调文字颜色 4 2 3 5 5" xfId="29192"/>
    <cellStyle name="强调文字颜色 4 2 3 5 5 2" xfId="26398"/>
    <cellStyle name="强调文字颜色 4 2 3 5 5 3" xfId="29193"/>
    <cellStyle name="强调文字颜色 4 2 3 5 6" xfId="29195"/>
    <cellStyle name="强调文字颜色 4 2 3 6" xfId="22893"/>
    <cellStyle name="强调文字颜色 4 2 3 6 2" xfId="10603"/>
    <cellStyle name="强调文字颜色 4 2 3 6 3" xfId="29196"/>
    <cellStyle name="强调文字颜色 4 2 3 7" xfId="22895"/>
    <cellStyle name="强调文字颜色 4 2 3 7 2" xfId="10626"/>
    <cellStyle name="强调文字颜色 4 2 3 7 3" xfId="29197"/>
    <cellStyle name="强调文字颜色 4 2 3 8" xfId="29198"/>
    <cellStyle name="强调文字颜色 4 2 3 9" xfId="29199"/>
    <cellStyle name="强调文字颜色 4 2 3 9 2" xfId="29200"/>
    <cellStyle name="强调文字颜色 4 2 3 9 3" xfId="29201"/>
    <cellStyle name="强调文字颜色 4 2 4" xfId="16574"/>
    <cellStyle name="强调文字颜色 4 2 4 10" xfId="29202"/>
    <cellStyle name="强调文字颜色 4 2 4 2" xfId="16578"/>
    <cellStyle name="强调文字颜色 4 2 4 2 2" xfId="9085"/>
    <cellStyle name="强调文字颜色 4 2 4 2 2 2" xfId="9087"/>
    <cellStyle name="强调文字颜色 4 2 4 2 2 2 2" xfId="29204"/>
    <cellStyle name="强调文字颜色 4 2 4 2 2 2 2 2" xfId="21910"/>
    <cellStyle name="强调文字颜色 4 2 4 2 2 2 2 3" xfId="21926"/>
    <cellStyle name="强调文字颜色 4 2 4 2 2 2 3" xfId="29206"/>
    <cellStyle name="强调文字颜色 4 2 4 2 2 2 3 2" xfId="22126"/>
    <cellStyle name="强调文字颜色 4 2 4 2 2 2 3 3" xfId="22136"/>
    <cellStyle name="强调文字颜色 4 2 4 2 2 2 4" xfId="29208"/>
    <cellStyle name="强调文字颜色 4 2 4 2 2 2 5" xfId="29210"/>
    <cellStyle name="强调文字颜色 4 2 4 2 2 2 5 2" xfId="22070"/>
    <cellStyle name="强调文字颜色 4 2 4 2 2 2 5 3" xfId="22080"/>
    <cellStyle name="强调文字颜色 4 2 4 2 2 2 6" xfId="29211"/>
    <cellStyle name="强调文字颜色 4 2 4 2 2 3" xfId="9089"/>
    <cellStyle name="强调文字颜色 4 2 4 2 2 3 2" xfId="29213"/>
    <cellStyle name="强调文字颜色 4 2 4 2 2 3 3" xfId="29214"/>
    <cellStyle name="强调文字颜色 4 2 4 2 2 4" xfId="23927"/>
    <cellStyle name="强调文字颜色 4 2 4 2 2 4 2" xfId="29216"/>
    <cellStyle name="强调文字颜色 4 2 4 2 2 4 3" xfId="29217"/>
    <cellStyle name="强调文字颜色 4 2 4 2 2 5" xfId="23929"/>
    <cellStyle name="强调文字颜色 4 2 4 2 2 6" xfId="9810"/>
    <cellStyle name="强调文字颜色 4 2 4 2 2 6 2" xfId="29219"/>
    <cellStyle name="强调文字颜色 4 2 4 2 2 6 3" xfId="25964"/>
    <cellStyle name="强调文字颜色 4 2 4 2 2 7" xfId="5769"/>
    <cellStyle name="强调文字颜色 4 2 4 2 3" xfId="8322"/>
    <cellStyle name="强调文字颜色 4 2 4 2 3 2" xfId="28477"/>
    <cellStyle name="强调文字颜色 4 2 4 2 3 2 2" xfId="24486"/>
    <cellStyle name="强调文字颜色 4 2 4 2 3 2 3" xfId="29220"/>
    <cellStyle name="强调文字颜色 4 2 4 2 3 3" xfId="23932"/>
    <cellStyle name="强调文字颜色 4 2 4 2 3 3 2" xfId="29222"/>
    <cellStyle name="强调文字颜色 4 2 4 2 3 3 3" xfId="29223"/>
    <cellStyle name="强调文字颜色 4 2 4 2 3 4" xfId="23934"/>
    <cellStyle name="强调文字颜色 4 2 4 2 3 5" xfId="23936"/>
    <cellStyle name="强调文字颜色 4 2 4 2 3 5 2" xfId="29225"/>
    <cellStyle name="强调文字颜色 4 2 4 2 3 5 3" xfId="29226"/>
    <cellStyle name="强调文字颜色 4 2 4 2 3 6" xfId="23939"/>
    <cellStyle name="强调文字颜色 4 2 4 2 4" xfId="29227"/>
    <cellStyle name="强调文字颜色 4 2 4 2 4 2" xfId="26412"/>
    <cellStyle name="强调文字颜色 4 2 4 2 4 3" xfId="23942"/>
    <cellStyle name="强调文字颜色 4 2 4 2 5" xfId="29228"/>
    <cellStyle name="强调文字颜色 4 2 4 2 5 2" xfId="29229"/>
    <cellStyle name="强调文字颜色 4 2 4 2 5 3" xfId="23951"/>
    <cellStyle name="强调文字颜色 4 2 4 2 6" xfId="29230"/>
    <cellStyle name="强调文字颜色 4 2 4 2 7" xfId="29231"/>
    <cellStyle name="强调文字颜色 4 2 4 2 7 2" xfId="27692"/>
    <cellStyle name="强调文字颜色 4 2 4 2 7 3" xfId="29232"/>
    <cellStyle name="强调文字颜色 4 2 4 2 8" xfId="29233"/>
    <cellStyle name="强调文字颜色 4 2 4 3" xfId="16582"/>
    <cellStyle name="强调文字颜色 4 2 4 3 2" xfId="3862"/>
    <cellStyle name="强调文字颜色 4 2 4 3 2 2" xfId="10073"/>
    <cellStyle name="强调文字颜色 4 2 4 3 2 2 2" xfId="10082"/>
    <cellStyle name="强调文字颜色 4 2 4 3 2 2 3" xfId="10093"/>
    <cellStyle name="强调文字颜色 4 2 4 3 2 3" xfId="10101"/>
    <cellStyle name="强调文字颜色 4 2 4 3 2 3 2" xfId="10710"/>
    <cellStyle name="强调文字颜色 4 2 4 3 2 3 3" xfId="10712"/>
    <cellStyle name="强调文字颜色 4 2 4 3 2 4" xfId="10714"/>
    <cellStyle name="强调文字颜色 4 2 4 3 2 5" xfId="17852"/>
    <cellStyle name="强调文字颜色 4 2 4 3 2 5 2" xfId="3952"/>
    <cellStyle name="强调文字颜色 4 2 4 3 2 5 3" xfId="29234"/>
    <cellStyle name="强调文字颜色 4 2 4 3 2 6" xfId="17855"/>
    <cellStyle name="强调文字颜色 4 2 4 3 3" xfId="10718"/>
    <cellStyle name="强调文字颜色 4 2 4 3 3 2" xfId="10723"/>
    <cellStyle name="强调文字颜色 4 2 4 3 3 3" xfId="10737"/>
    <cellStyle name="强调文字颜色 4 2 4 3 4" xfId="10746"/>
    <cellStyle name="强调文字颜色 4 2 4 3 4 2" xfId="10751"/>
    <cellStyle name="强调文字颜色 4 2 4 3 4 3" xfId="10760"/>
    <cellStyle name="强调文字颜色 4 2 4 3 5" xfId="10764"/>
    <cellStyle name="强调文字颜色 4 2 4 3 6" xfId="10776"/>
    <cellStyle name="强调文字颜色 4 2 4 3 6 2" xfId="6144"/>
    <cellStyle name="强调文字颜色 4 2 4 3 6 3" xfId="29235"/>
    <cellStyle name="强调文字颜色 4 2 4 3 7" xfId="29236"/>
    <cellStyle name="强调文字颜色 4 2 4 4" xfId="3190"/>
    <cellStyle name="强调文字颜色 4 2 4 4 2" xfId="5501"/>
    <cellStyle name="强调文字颜色 4 2 4 4 2 2" xfId="10823"/>
    <cellStyle name="强调文字颜色 4 2 4 4 2 2 2" xfId="10828"/>
    <cellStyle name="强调文字颜色 4 2 4 4 2 2 3" xfId="10834"/>
    <cellStyle name="强调文字颜色 4 2 4 4 2 3" xfId="10836"/>
    <cellStyle name="强调文字颜色 4 2 4 4 2 3 2" xfId="10839"/>
    <cellStyle name="强调文字颜色 4 2 4 4 2 3 3" xfId="10842"/>
    <cellStyle name="强调文字颜色 4 2 4 4 2 4" xfId="10845"/>
    <cellStyle name="强调文字颜色 4 2 4 4 2 5" xfId="29237"/>
    <cellStyle name="强调文字颜色 4 2 4 4 2 5 2" xfId="29239"/>
    <cellStyle name="强调文字颜色 4 2 4 4 2 5 3" xfId="29240"/>
    <cellStyle name="强调文字颜色 4 2 4 4 2 6" xfId="29241"/>
    <cellStyle name="强调文字颜色 4 2 4 4 3" xfId="5508"/>
    <cellStyle name="强调文字颜色 4 2 4 4 3 2" xfId="10849"/>
    <cellStyle name="强调文字颜色 4 2 4 4 3 3" xfId="10855"/>
    <cellStyle name="强调文字颜色 4 2 4 4 4" xfId="10857"/>
    <cellStyle name="强调文字颜色 4 2 4 4 4 2" xfId="10864"/>
    <cellStyle name="强调文字颜色 4 2 4 4 4 3" xfId="10869"/>
    <cellStyle name="强调文字颜色 4 2 4 4 5" xfId="10871"/>
    <cellStyle name="强调文字颜色 4 2 4 4 6" xfId="29242"/>
    <cellStyle name="强调文字颜色 4 2 4 4 6 2" xfId="29243"/>
    <cellStyle name="强调文字颜色 4 2 4 4 6 3" xfId="29244"/>
    <cellStyle name="强调文字颜色 4 2 4 4 7" xfId="29245"/>
    <cellStyle name="强调文字颜色 4 2 4 5" xfId="3200"/>
    <cellStyle name="强调文字颜色 4 2 4 5 2" xfId="10889"/>
    <cellStyle name="强调文字颜色 4 2 4 5 2 2" xfId="29246"/>
    <cellStyle name="强调文字颜色 4 2 4 5 2 3" xfId="29247"/>
    <cellStyle name="强调文字颜色 4 2 4 5 3" xfId="15571"/>
    <cellStyle name="强调文字颜色 4 2 4 5 3 2" xfId="29248"/>
    <cellStyle name="强调文字颜色 4 2 4 5 3 3" xfId="29249"/>
    <cellStyle name="强调文字颜色 4 2 4 5 4" xfId="15575"/>
    <cellStyle name="强调文字颜色 4 2 4 5 5" xfId="29250"/>
    <cellStyle name="强调文字颜色 4 2 4 5 5 2" xfId="13020"/>
    <cellStyle name="强调文字颜色 4 2 4 5 5 3" xfId="12352"/>
    <cellStyle name="强调文字颜色 4 2 4 5 6" xfId="29252"/>
    <cellStyle name="强调文字颜色 4 2 4 6" xfId="16585"/>
    <cellStyle name="强调文字颜色 4 2 4 6 2" xfId="10919"/>
    <cellStyle name="强调文字颜色 4 2 4 6 3" xfId="14950"/>
    <cellStyle name="强调文字颜色 4 2 4 7" xfId="16588"/>
    <cellStyle name="强调文字颜色 4 2 4 7 2" xfId="10948"/>
    <cellStyle name="强调文字颜色 4 2 4 7 3" xfId="15598"/>
    <cellStyle name="强调文字颜色 4 2 4 8" xfId="16591"/>
    <cellStyle name="强调文字颜色 4 2 4 9" xfId="29253"/>
    <cellStyle name="强调文字颜色 4 2 4 9 2" xfId="6290"/>
    <cellStyle name="强调文字颜色 4 2 4 9 3" xfId="6897"/>
    <cellStyle name="强调文字颜色 4 2 5" xfId="7825"/>
    <cellStyle name="强调文字颜色 4 2 5 2" xfId="2307"/>
    <cellStyle name="强调文字颜色 4 2 5 2 2" xfId="9179"/>
    <cellStyle name="强调文字颜色 4 2 5 2 2 2" xfId="9181"/>
    <cellStyle name="强调文字颜色 4 2 5 2 2 2 2" xfId="15893"/>
    <cellStyle name="强调文字颜色 4 2 5 2 2 2 3" xfId="15899"/>
    <cellStyle name="强调文字颜色 4 2 5 2 2 3" xfId="9185"/>
    <cellStyle name="强调文字颜色 4 2 5 2 2 3 2" xfId="15913"/>
    <cellStyle name="强调文字颜色 4 2 5 2 2 3 3" xfId="15916"/>
    <cellStyle name="强调文字颜色 4 2 5 2 2 4" xfId="9494"/>
    <cellStyle name="强调文字颜色 4 2 5 2 2 5" xfId="3003"/>
    <cellStyle name="强调文字颜色 4 2 5 2 2 5 2" xfId="24822"/>
    <cellStyle name="强调文字颜色 4 2 5 2 2 5 3" xfId="24825"/>
    <cellStyle name="强调文字颜色 4 2 5 2 2 6" xfId="29255"/>
    <cellStyle name="强调文字颜色 4 2 5 2 3" xfId="9190"/>
    <cellStyle name="强调文字颜色 4 2 5 2 3 2" xfId="28527"/>
    <cellStyle name="强调文字颜色 4 2 5 2 3 3" xfId="29256"/>
    <cellStyle name="强调文字颜色 4 2 5 2 4" xfId="29258"/>
    <cellStyle name="强调文字颜色 4 2 5 2 4 2" xfId="26433"/>
    <cellStyle name="强调文字颜色 4 2 5 2 4 3" xfId="15089"/>
    <cellStyle name="强调文字颜色 4 2 5 2 5" xfId="29260"/>
    <cellStyle name="强调文字颜色 4 2 5 2 6" xfId="29261"/>
    <cellStyle name="强调文字颜色 4 2 5 2 6 2" xfId="29262"/>
    <cellStyle name="强调文字颜色 4 2 5 2 6 3" xfId="5647"/>
    <cellStyle name="强调文字颜色 4 2 5 2 7" xfId="29263"/>
    <cellStyle name="强调文字颜色 4 2 5 3" xfId="10983"/>
    <cellStyle name="强调文字颜色 4 2 5 3 2" xfId="7779"/>
    <cellStyle name="强调文字颜色 4 2 5 3 2 2" xfId="10998"/>
    <cellStyle name="强调文字颜色 4 2 5 3 2 3" xfId="11008"/>
    <cellStyle name="强调文字颜色 4 2 5 3 3" xfId="11017"/>
    <cellStyle name="强调文字颜色 4 2 5 3 3 2" xfId="11022"/>
    <cellStyle name="强调文字颜色 4 2 5 3 3 3" xfId="11031"/>
    <cellStyle name="强调文字颜色 4 2 5 3 4" xfId="11033"/>
    <cellStyle name="强调文字颜色 4 2 5 3 5" xfId="11039"/>
    <cellStyle name="强调文字颜色 4 2 5 3 5 2" xfId="26446"/>
    <cellStyle name="强调文字颜色 4 2 5 3 5 3" xfId="29264"/>
    <cellStyle name="强调文字颜色 4 2 5 3 6" xfId="29265"/>
    <cellStyle name="强调文字颜色 4 2 5 4" xfId="4884"/>
    <cellStyle name="强调文字颜色 4 2 5 4 2" xfId="9201"/>
    <cellStyle name="强调文字颜色 4 2 5 4 3" xfId="11101"/>
    <cellStyle name="强调文字颜色 4 2 5 5" xfId="5514"/>
    <cellStyle name="强调文字颜色 4 2 5 5 2" xfId="11165"/>
    <cellStyle name="强调文字颜色 4 2 5 5 3" xfId="11180"/>
    <cellStyle name="强调文字颜色 4 2 5 6" xfId="16593"/>
    <cellStyle name="强调文字颜色 4 2 5 7" xfId="16595"/>
    <cellStyle name="强调文字颜色 4 2 5 7 2" xfId="11246"/>
    <cellStyle name="强调文字颜色 4 2 5 7 3" xfId="17997"/>
    <cellStyle name="强调文字颜色 4 2 5 8" xfId="16597"/>
    <cellStyle name="强调文字颜色 4 2 6" xfId="10986"/>
    <cellStyle name="强调文字颜色 4 2 6 2" xfId="16600"/>
    <cellStyle name="强调文字颜色 4 2 6 2 2" xfId="8821"/>
    <cellStyle name="强调文字颜色 4 2 6 2 2 2" xfId="9241"/>
    <cellStyle name="强调文字颜色 4 2 6 2 2 3" xfId="9246"/>
    <cellStyle name="强调文字颜色 4 2 6 2 3" xfId="8765"/>
    <cellStyle name="强调文字颜色 4 2 6 2 3 2" xfId="9208"/>
    <cellStyle name="强调文字颜色 4 2 6 2 3 3" xfId="9211"/>
    <cellStyle name="强调文字颜色 4 2 6 2 4" xfId="8774"/>
    <cellStyle name="强调文字颜色 4 2 6 2 5" xfId="29267"/>
    <cellStyle name="强调文字颜色 4 2 6 2 5 2" xfId="28229"/>
    <cellStyle name="强调文字颜色 4 2 6 2 5 3" xfId="29268"/>
    <cellStyle name="强调文字颜色 4 2 6 2 6" xfId="10901"/>
    <cellStyle name="强调文字颜色 4 2 6 3" xfId="16602"/>
    <cellStyle name="强调文字颜色 4 2 6 3 2" xfId="9251"/>
    <cellStyle name="强调文字颜色 4 2 6 3 3" xfId="9213"/>
    <cellStyle name="强调文字颜色 4 2 6 4" xfId="16604"/>
    <cellStyle name="强调文字颜色 4 2 6 4 2" xfId="291"/>
    <cellStyle name="强调文字颜色 4 2 6 4 3" xfId="9502"/>
    <cellStyle name="强调文字颜色 4 2 6 5" xfId="16606"/>
    <cellStyle name="强调文字颜色 4 2 6 6" xfId="16608"/>
    <cellStyle name="强调文字颜色 4 2 6 6 2" xfId="11387"/>
    <cellStyle name="强调文字颜色 4 2 6 6 3" xfId="29269"/>
    <cellStyle name="强调文字颜色 4 2 6 7" xfId="1150"/>
    <cellStyle name="强调文字颜色 4 2 7" xfId="16611"/>
    <cellStyle name="强调文字颜色 4 2 7 2" xfId="16613"/>
    <cellStyle name="强调文字颜色 4 2 7 2 2" xfId="3437"/>
    <cellStyle name="强调文字颜色 4 2 7 2 2 2" xfId="3441"/>
    <cellStyle name="强调文字颜色 4 2 7 2 2 3" xfId="3449"/>
    <cellStyle name="强调文字颜色 4 2 7 2 3" xfId="3456"/>
    <cellStyle name="强调文字颜色 4 2 7 2 3 2" xfId="3460"/>
    <cellStyle name="强调文字颜色 4 2 7 2 3 3" xfId="3468"/>
    <cellStyle name="强调文字颜色 4 2 7 2 4" xfId="3473"/>
    <cellStyle name="强调文字颜色 4 2 7 2 5" xfId="18736"/>
    <cellStyle name="强调文字颜色 4 2 7 2 5 2" xfId="18738"/>
    <cellStyle name="强调文字颜色 4 2 7 2 5 3" xfId="18742"/>
    <cellStyle name="强调文字颜色 4 2 7 2 6" xfId="18754"/>
    <cellStyle name="强调文字颜色 4 2 7 3" xfId="16615"/>
    <cellStyle name="强调文字颜色 4 2 7 3 2" xfId="2473"/>
    <cellStyle name="强调文字颜色 4 2 7 3 3" xfId="2494"/>
    <cellStyle name="强调文字颜色 4 2 7 4" xfId="16618"/>
    <cellStyle name="强调文字颜色 4 2 7 4 2" xfId="2519"/>
    <cellStyle name="强调文字颜色 4 2 7 4 3" xfId="25771"/>
    <cellStyle name="强调文字颜色 4 2 7 5" xfId="16621"/>
    <cellStyle name="强调文字颜色 4 2 7 6" xfId="16624"/>
    <cellStyle name="强调文字颜色 4 2 7 6 2" xfId="29270"/>
    <cellStyle name="强调文字颜色 4 2 7 6 3" xfId="29271"/>
    <cellStyle name="强调文字颜色 4 2 7 7" xfId="16626"/>
    <cellStyle name="强调文字颜色 4 2 8" xfId="16629"/>
    <cellStyle name="强调文字颜色 4 2 8 2" xfId="16632"/>
    <cellStyle name="强调文字颜色 4 2 8 2 2" xfId="29005"/>
    <cellStyle name="强调文字颜色 4 2 8 2 3" xfId="29272"/>
    <cellStyle name="强调文字颜色 4 2 8 3" xfId="16634"/>
    <cellStyle name="强调文字颜色 4 2 8 3 2" xfId="25774"/>
    <cellStyle name="强调文字颜色 4 2 8 3 3" xfId="25777"/>
    <cellStyle name="强调文字颜色 4 2 8 4" xfId="16637"/>
    <cellStyle name="强调文字颜色 4 2 8 5" xfId="16640"/>
    <cellStyle name="强调文字颜色 4 2 8 5 2" xfId="29013"/>
    <cellStyle name="强调文字颜色 4 2 8 5 3" xfId="29273"/>
    <cellStyle name="强调文字颜色 4 2 8 6" xfId="16643"/>
    <cellStyle name="强调文字颜色 4 2 9" xfId="16647"/>
    <cellStyle name="强调文字颜色 4 2 9 2" xfId="16650"/>
    <cellStyle name="强调文字颜色 4 2 9 2 2" xfId="29018"/>
    <cellStyle name="强调文字颜色 4 2 9 2 3" xfId="29274"/>
    <cellStyle name="强调文字颜色 4 2 9 3" xfId="16653"/>
    <cellStyle name="强调文字颜色 4 2 9 4" xfId="16658"/>
    <cellStyle name="强调文字颜色 4 2 9 4 2" xfId="29022"/>
    <cellStyle name="强调文字颜色 4 2 9 4 3" xfId="29275"/>
    <cellStyle name="强调文字颜色 4 2 9 5" xfId="16663"/>
    <cellStyle name="强调文字颜色 4 3" xfId="29276"/>
    <cellStyle name="强调文字颜色 4 3 2" xfId="29277"/>
    <cellStyle name="强调文字颜色 4 3 3" xfId="29278"/>
    <cellStyle name="强调文字颜色 4 4" xfId="29279"/>
    <cellStyle name="强调文字颜色 5 2" xfId="27925"/>
    <cellStyle name="强调文字颜色 5 2 10" xfId="10095"/>
    <cellStyle name="强调文字颜色 5 2 10 2" xfId="29280"/>
    <cellStyle name="强调文字颜色 5 2 10 3" xfId="29281"/>
    <cellStyle name="强调文字颜色 5 2 11" xfId="22388"/>
    <cellStyle name="强调文字颜色 5 2 12" xfId="22392"/>
    <cellStyle name="强调文字颜色 5 2 12 2" xfId="24751"/>
    <cellStyle name="强调文字颜色 5 2 12 3" xfId="24753"/>
    <cellStyle name="强调文字颜色 5 2 13" xfId="24756"/>
    <cellStyle name="强调文字颜色 5 2 2" xfId="29282"/>
    <cellStyle name="强调文字颜色 5 2 2 10" xfId="25672"/>
    <cellStyle name="强调文字颜色 5 2 2 2" xfId="24621"/>
    <cellStyle name="强调文字颜色 5 2 2 2 2" xfId="24623"/>
    <cellStyle name="强调文字颜色 5 2 2 2 2 2" xfId="29283"/>
    <cellStyle name="强调文字颜色 5 2 2 2 2 2 2" xfId="29284"/>
    <cellStyle name="强调文字颜色 5 2 2 2 2 2 2 2" xfId="29285"/>
    <cellStyle name="强调文字颜色 5 2 2 2 2 2 2 3" xfId="29286"/>
    <cellStyle name="强调文字颜色 5 2 2 2 2 2 3" xfId="29287"/>
    <cellStyle name="强调文字颜色 5 2 2 2 2 2 3 2" xfId="29288"/>
    <cellStyle name="强调文字颜色 5 2 2 2 2 2 3 3" xfId="29289"/>
    <cellStyle name="强调文字颜色 5 2 2 2 2 2 4" xfId="15127"/>
    <cellStyle name="强调文字颜色 5 2 2 2 2 2 5" xfId="2362"/>
    <cellStyle name="强调文字颜色 5 2 2 2 2 2 5 2" xfId="29290"/>
    <cellStyle name="强调文字颜色 5 2 2 2 2 2 5 3" xfId="29291"/>
    <cellStyle name="强调文字颜色 5 2 2 2 2 2 6" xfId="538"/>
    <cellStyle name="强调文字颜色 5 2 2 2 2 3" xfId="866"/>
    <cellStyle name="强调文字颜色 5 2 2 2 2 3 2" xfId="880"/>
    <cellStyle name="强调文字颜色 5 2 2 2 2 3 3" xfId="149"/>
    <cellStyle name="强调文字颜色 5 2 2 2 2 4" xfId="891"/>
    <cellStyle name="强调文字颜色 5 2 2 2 2 4 2" xfId="27184"/>
    <cellStyle name="强调文字颜色 5 2 2 2 2 4 3" xfId="29292"/>
    <cellStyle name="强调文字颜色 5 2 2 2 2 5" xfId="29293"/>
    <cellStyle name="强调文字颜色 5 2 2 2 2 6" xfId="9932"/>
    <cellStyle name="强调文字颜色 5 2 2 2 2 6 2" xfId="29294"/>
    <cellStyle name="强调文字颜色 5 2 2 2 2 6 3" xfId="29295"/>
    <cellStyle name="强调文字颜色 5 2 2 2 2 7" xfId="9937"/>
    <cellStyle name="强调文字颜色 5 2 2 2 3" xfId="24462"/>
    <cellStyle name="强调文字颜色 5 2 2 2 3 2" xfId="24464"/>
    <cellStyle name="强调文字颜色 5 2 2 2 3 2 2" xfId="25101"/>
    <cellStyle name="强调文字颜色 5 2 2 2 3 2 3" xfId="21410"/>
    <cellStyle name="强调文字颜色 5 2 2 2 3 3" xfId="902"/>
    <cellStyle name="强调文字颜色 5 2 2 2 3 3 2" xfId="24466"/>
    <cellStyle name="强调文字颜色 5 2 2 2 3 3 3" xfId="29296"/>
    <cellStyle name="强调文字颜色 5 2 2 2 3 4" xfId="907"/>
    <cellStyle name="强调文字颜色 5 2 2 2 3 5" xfId="29297"/>
    <cellStyle name="强调文字颜色 5 2 2 2 3 5 2" xfId="19909"/>
    <cellStyle name="强调文字颜色 5 2 2 2 3 5 3" xfId="29298"/>
    <cellStyle name="强调文字颜色 5 2 2 2 3 6" xfId="29299"/>
    <cellStyle name="强调文字颜色 5 2 2 2 4" xfId="24468"/>
    <cellStyle name="强调文字颜色 5 2 2 2 4 2" xfId="29300"/>
    <cellStyle name="强调文字颜色 5 2 2 2 4 3" xfId="29301"/>
    <cellStyle name="强调文字颜色 5 2 2 2 5" xfId="24470"/>
    <cellStyle name="强调文字颜色 5 2 2 2 5 2" xfId="14939"/>
    <cellStyle name="强调文字颜色 5 2 2 2 5 3" xfId="14941"/>
    <cellStyle name="强调文字颜色 5 2 2 2 6" xfId="29302"/>
    <cellStyle name="强调文字颜色 5 2 2 2 7" xfId="29303"/>
    <cellStyle name="强调文字颜色 5 2 2 2 7 2" xfId="29305"/>
    <cellStyle name="强调文字颜色 5 2 2 2 7 3" xfId="21627"/>
    <cellStyle name="强调文字颜色 5 2 2 2 8" xfId="26728"/>
    <cellStyle name="强调文字颜色 5 2 2 3" xfId="29306"/>
    <cellStyle name="强调文字颜色 5 2 2 3 2" xfId="28308"/>
    <cellStyle name="强调文字颜色 5 2 2 3 2 2" xfId="29307"/>
    <cellStyle name="强调文字颜色 5 2 2 3 2 2 2" xfId="28438"/>
    <cellStyle name="强调文字颜色 5 2 2 3 2 2 3" xfId="28441"/>
    <cellStyle name="强调文字颜色 5 2 2 3 2 3" xfId="1256"/>
    <cellStyle name="强调文字颜色 5 2 2 3 2 3 2" xfId="1261"/>
    <cellStyle name="强调文字颜色 5 2 2 3 2 3 3" xfId="1266"/>
    <cellStyle name="强调文字颜色 5 2 2 3 2 4" xfId="640"/>
    <cellStyle name="强调文字颜色 5 2 2 3 2 5" xfId="29308"/>
    <cellStyle name="强调文字颜色 5 2 2 3 2 5 2" xfId="28452"/>
    <cellStyle name="强调文字颜色 5 2 2 3 2 5 3" xfId="28454"/>
    <cellStyle name="强调文字颜色 5 2 2 3 2 6" xfId="29309"/>
    <cellStyle name="强调文字颜色 5 2 2 3 3" xfId="29310"/>
    <cellStyle name="强调文字颜色 5 2 2 3 3 2" xfId="29311"/>
    <cellStyle name="强调文字颜色 5 2 2 3 3 3" xfId="1275"/>
    <cellStyle name="强调文字颜色 5 2 2 3 4" xfId="29312"/>
    <cellStyle name="强调文字颜色 5 2 2 3 4 2" xfId="29313"/>
    <cellStyle name="强调文字颜色 5 2 2 3 4 3" xfId="29314"/>
    <cellStyle name="强调文字颜色 5 2 2 3 5" xfId="29315"/>
    <cellStyle name="强调文字颜色 5 2 2 3 6" xfId="29316"/>
    <cellStyle name="强调文字颜色 5 2 2 3 6 2" xfId="10473"/>
    <cellStyle name="强调文字颜色 5 2 2 3 6 3" xfId="29317"/>
    <cellStyle name="强调文字颜色 5 2 2 3 7" xfId="25606"/>
    <cellStyle name="强调文字颜色 5 2 2 4" xfId="29318"/>
    <cellStyle name="强调文字颜色 5 2 2 4 2" xfId="11756"/>
    <cellStyle name="强调文字颜色 5 2 2 4 2 2" xfId="29319"/>
    <cellStyle name="强调文字颜色 5 2 2 4 2 2 2" xfId="22563"/>
    <cellStyle name="强调文字颜色 5 2 2 4 2 2 3" xfId="22566"/>
    <cellStyle name="强调文字颜色 5 2 2 4 2 3" xfId="173"/>
    <cellStyle name="强调文字颜色 5 2 2 4 2 3 2" xfId="1604"/>
    <cellStyle name="强调文字颜色 5 2 2 4 2 3 3" xfId="165"/>
    <cellStyle name="强调文字颜色 5 2 2 4 2 4" xfId="104"/>
    <cellStyle name="强调文字颜色 5 2 2 4 2 5" xfId="18695"/>
    <cellStyle name="强调文字颜色 5 2 2 4 2 5 2" xfId="28696"/>
    <cellStyle name="强调文字颜色 5 2 2 4 2 5 3" xfId="28701"/>
    <cellStyle name="强调文字颜色 5 2 2 4 2 6" xfId="12044"/>
    <cellStyle name="强调文字颜色 5 2 2 4 3" xfId="22424"/>
    <cellStyle name="强调文字颜色 5 2 2 4 3 2" xfId="29320"/>
    <cellStyle name="强调文字颜色 5 2 2 4 3 3" xfId="1445"/>
    <cellStyle name="强调文字颜色 5 2 2 4 4" xfId="29321"/>
    <cellStyle name="强调文字颜色 5 2 2 4 4 2" xfId="29322"/>
    <cellStyle name="强调文字颜色 5 2 2 4 4 3" xfId="29323"/>
    <cellStyle name="强调文字颜色 5 2 2 4 5" xfId="29324"/>
    <cellStyle name="强调文字颜色 5 2 2 4 6" xfId="29325"/>
    <cellStyle name="强调文字颜色 5 2 2 4 6 2" xfId="10498"/>
    <cellStyle name="强调文字颜色 5 2 2 4 6 3" xfId="29326"/>
    <cellStyle name="强调文字颜色 5 2 2 4 7" xfId="29327"/>
    <cellStyle name="强调文字颜色 5 2 2 5" xfId="29328"/>
    <cellStyle name="强调文字颜色 5 2 2 5 2" xfId="11762"/>
    <cellStyle name="强调文字颜色 5 2 2 5 2 2" xfId="11765"/>
    <cellStyle name="强调文字颜色 5 2 2 5 2 3" xfId="11772"/>
    <cellStyle name="强调文字颜色 5 2 2 5 3" xfId="11776"/>
    <cellStyle name="强调文字颜色 5 2 2 5 3 2" xfId="29329"/>
    <cellStyle name="强调文字颜色 5 2 2 5 3 3" xfId="29330"/>
    <cellStyle name="强调文字颜色 5 2 2 5 4" xfId="29331"/>
    <cellStyle name="强调文字颜色 5 2 2 5 5" xfId="29332"/>
    <cellStyle name="强调文字颜色 5 2 2 5 5 2" xfId="29333"/>
    <cellStyle name="强调文字颜色 5 2 2 5 5 3" xfId="29334"/>
    <cellStyle name="强调文字颜色 5 2 2 5 6" xfId="29335"/>
    <cellStyle name="强调文字颜色 5 2 2 6" xfId="29336"/>
    <cellStyle name="强调文字颜色 5 2 2 6 2" xfId="11797"/>
    <cellStyle name="强调文字颜色 5 2 2 6 3" xfId="11801"/>
    <cellStyle name="强调文字颜色 5 2 2 7" xfId="29337"/>
    <cellStyle name="强调文字颜色 5 2 2 7 2" xfId="23325"/>
    <cellStyle name="强调文字颜色 5 2 2 7 3" xfId="23333"/>
    <cellStyle name="强调文字颜色 5 2 2 8" xfId="29338"/>
    <cellStyle name="强调文字颜色 5 2 2 9" xfId="29339"/>
    <cellStyle name="强调文字颜色 5 2 2 9 2" xfId="23550"/>
    <cellStyle name="强调文字颜色 5 2 2 9 3" xfId="5210"/>
    <cellStyle name="强调文字颜色 5 2 3" xfId="28152"/>
    <cellStyle name="强调文字颜色 5 2 3 10" xfId="25085"/>
    <cellStyle name="强调文字颜色 5 2 3 2" xfId="29340"/>
    <cellStyle name="强调文字颜色 5 2 3 2 2" xfId="28312"/>
    <cellStyle name="强调文字颜色 5 2 3 2 2 2" xfId="29342"/>
    <cellStyle name="强调文字颜色 5 2 3 2 2 2 2" xfId="19824"/>
    <cellStyle name="强调文字颜色 5 2 3 2 2 2 2 2" xfId="11599"/>
    <cellStyle name="强调文字颜色 5 2 3 2 2 2 2 3" xfId="9537"/>
    <cellStyle name="强调文字颜色 5 2 3 2 2 2 3" xfId="1658"/>
    <cellStyle name="强调文字颜色 5 2 3 2 2 2 3 2" xfId="6777"/>
    <cellStyle name="强调文字颜色 5 2 3 2 2 2 3 3" xfId="6794"/>
    <cellStyle name="强调文字颜色 5 2 3 2 2 2 4" xfId="5887"/>
    <cellStyle name="强调文字颜色 5 2 3 2 2 2 5" xfId="2656"/>
    <cellStyle name="强调文字颜色 5 2 3 2 2 2 5 2" xfId="27979"/>
    <cellStyle name="强调文字颜色 5 2 3 2 2 2 5 3" xfId="29343"/>
    <cellStyle name="强调文字颜色 5 2 3 2 2 2 6" xfId="1985"/>
    <cellStyle name="强调文字颜色 5 2 3 2 2 3" xfId="29344"/>
    <cellStyle name="强调文字颜色 5 2 3 2 2 3 2" xfId="20411"/>
    <cellStyle name="强调文字颜色 5 2 3 2 2 3 3" xfId="1684"/>
    <cellStyle name="强调文字颜色 5 2 3 2 2 4" xfId="29345"/>
    <cellStyle name="强调文字颜色 5 2 3 2 2 4 2" xfId="18607"/>
    <cellStyle name="强调文字颜色 5 2 3 2 2 4 3" xfId="2265"/>
    <cellStyle name="强调文字颜色 5 2 3 2 2 5" xfId="29346"/>
    <cellStyle name="强调文字颜色 5 2 3 2 2 6" xfId="554"/>
    <cellStyle name="强调文字颜色 5 2 3 2 2 6 2" xfId="18635"/>
    <cellStyle name="强调文字颜色 5 2 3 2 2 6 3" xfId="18641"/>
    <cellStyle name="强调文字颜色 5 2 3 2 2 7" xfId="1655"/>
    <cellStyle name="强调文字颜色 5 2 3 2 3" xfId="24475"/>
    <cellStyle name="强调文字颜色 5 2 3 2 3 2" xfId="29347"/>
    <cellStyle name="强调文字颜色 5 2 3 2 3 2 2" xfId="21860"/>
    <cellStyle name="强调文字颜色 5 2 3 2 3 2 3" xfId="21873"/>
    <cellStyle name="强调文字颜色 5 2 3 2 3 3" xfId="29203"/>
    <cellStyle name="强调文字颜色 5 2 3 2 3 3 2" xfId="21909"/>
    <cellStyle name="强调文字颜色 5 2 3 2 3 3 3" xfId="21925"/>
    <cellStyle name="强调文字颜色 5 2 3 2 3 4" xfId="29205"/>
    <cellStyle name="强调文字颜色 5 2 3 2 3 5" xfId="29207"/>
    <cellStyle name="强调文字颜色 5 2 3 2 3 5 2" xfId="5087"/>
    <cellStyle name="强调文字颜色 5 2 3 2 3 5 3" xfId="5112"/>
    <cellStyle name="强调文字颜色 5 2 3 2 3 6" xfId="29209"/>
    <cellStyle name="强调文字颜色 5 2 3 2 4" xfId="24477"/>
    <cellStyle name="强调文字颜色 5 2 3 2 4 2" xfId="29348"/>
    <cellStyle name="强调文字颜色 5 2 3 2 4 3" xfId="29212"/>
    <cellStyle name="强调文字颜色 5 2 3 2 5" xfId="29349"/>
    <cellStyle name="强调文字颜色 5 2 3 2 5 2" xfId="29350"/>
    <cellStyle name="强调文字颜色 5 2 3 2 5 3" xfId="29215"/>
    <cellStyle name="强调文字颜色 5 2 3 2 6" xfId="29351"/>
    <cellStyle name="强调文字颜色 5 2 3 2 7" xfId="29352"/>
    <cellStyle name="强调文字颜色 5 2 3 2 7 2" xfId="26113"/>
    <cellStyle name="强调文字颜色 5 2 3 2 7 3" xfId="29218"/>
    <cellStyle name="强调文字颜色 5 2 3 2 8" xfId="26757"/>
    <cellStyle name="强调文字颜色 5 2 3 3" xfId="29353"/>
    <cellStyle name="强调文字颜色 5 2 3 3 2" xfId="29354"/>
    <cellStyle name="强调文字颜色 5 2 3 3 2 2" xfId="29355"/>
    <cellStyle name="强调文字颜色 5 2 3 3 2 2 2" xfId="29356"/>
    <cellStyle name="强调文字颜色 5 2 3 3 2 2 3" xfId="7381"/>
    <cellStyle name="强调文字颜色 5 2 3 3 2 3" xfId="28473"/>
    <cellStyle name="强调文字颜色 5 2 3 3 2 3 2" xfId="29357"/>
    <cellStyle name="强调文字颜色 5 2 3 3 2 3 3" xfId="2956"/>
    <cellStyle name="强调文字颜色 5 2 3 3 2 4" xfId="28475"/>
    <cellStyle name="强调文字颜色 5 2 3 3 2 5" xfId="29358"/>
    <cellStyle name="强调文字颜色 5 2 3 3 2 5 2" xfId="20832"/>
    <cellStyle name="强调文字颜色 5 2 3 3 2 5 3" xfId="3485"/>
    <cellStyle name="强调文字颜色 5 2 3 3 2 6" xfId="29359"/>
    <cellStyle name="强调文字颜色 5 2 3 3 3" xfId="24481"/>
    <cellStyle name="强调文字颜色 5 2 3 3 3 2" xfId="24483"/>
    <cellStyle name="强调文字颜色 5 2 3 3 3 3" xfId="24485"/>
    <cellStyle name="强调文字颜色 5 2 3 3 4" xfId="24489"/>
    <cellStyle name="强调文字颜色 5 2 3 3 4 2" xfId="29360"/>
    <cellStyle name="强调文字颜色 5 2 3 3 4 3" xfId="29221"/>
    <cellStyle name="强调文字颜色 5 2 3 3 5" xfId="24491"/>
    <cellStyle name="强调文字颜色 5 2 3 3 6" xfId="29361"/>
    <cellStyle name="强调文字颜色 5 2 3 3 6 2" xfId="10534"/>
    <cellStyle name="强调文字颜色 5 2 3 3 6 3" xfId="29224"/>
    <cellStyle name="强调文字颜色 5 2 3 3 7" xfId="29362"/>
    <cellStyle name="强调文字颜色 5 2 3 4" xfId="29363"/>
    <cellStyle name="强调文字颜色 5 2 3 4 2" xfId="11811"/>
    <cellStyle name="强调文字颜色 5 2 3 4 2 2" xfId="10258"/>
    <cellStyle name="强调文字颜色 5 2 3 4 2 2 2" xfId="11813"/>
    <cellStyle name="强调文字颜色 5 2 3 4 2 2 3" xfId="3256"/>
    <cellStyle name="强调文字颜色 5 2 3 4 2 3" xfId="11820"/>
    <cellStyle name="强调文字颜色 5 2 3 4 2 3 2" xfId="29364"/>
    <cellStyle name="强调文字颜色 5 2 3 4 2 3 3" xfId="3921"/>
    <cellStyle name="强调文字颜色 5 2 3 4 2 4" xfId="11827"/>
    <cellStyle name="强调文字颜色 5 2 3 4 2 5" xfId="25571"/>
    <cellStyle name="强调文字颜色 5 2 3 4 2 5 2" xfId="29365"/>
    <cellStyle name="强调文字颜色 5 2 3 4 2 5 3" xfId="4311"/>
    <cellStyle name="强调文字颜色 5 2 3 4 2 6" xfId="29366"/>
    <cellStyle name="强调文字颜色 5 2 3 4 3" xfId="9888"/>
    <cellStyle name="强调文字颜色 5 2 3 4 3 2" xfId="29367"/>
    <cellStyle name="强调文字颜色 5 2 3 4 3 3" xfId="29368"/>
    <cellStyle name="强调文字颜色 5 2 3 4 4" xfId="29369"/>
    <cellStyle name="强调文字颜色 5 2 3 4 4 2" xfId="29370"/>
    <cellStyle name="强调文字颜色 5 2 3 4 4 3" xfId="29371"/>
    <cellStyle name="强调文字颜色 5 2 3 4 5" xfId="12392"/>
    <cellStyle name="强调文字颜色 5 2 3 4 6" xfId="12394"/>
    <cellStyle name="强调文字颜色 5 2 3 4 6 2" xfId="12397"/>
    <cellStyle name="强调文字颜色 5 2 3 4 6 3" xfId="29373"/>
    <cellStyle name="强调文字颜色 5 2 3 4 7" xfId="29374"/>
    <cellStyle name="强调文字颜色 5 2 3 5" xfId="29375"/>
    <cellStyle name="强调文字颜色 5 2 3 5 2" xfId="11837"/>
    <cellStyle name="强调文字颜色 5 2 3 5 2 2" xfId="25369"/>
    <cellStyle name="强调文字颜色 5 2 3 5 2 3" xfId="29376"/>
    <cellStyle name="强调文字颜色 5 2 3 5 3" xfId="9894"/>
    <cellStyle name="强调文字颜色 5 2 3 5 3 2" xfId="29377"/>
    <cellStyle name="强调文字颜色 5 2 3 5 3 3" xfId="29378"/>
    <cellStyle name="强调文字颜色 5 2 3 5 4" xfId="29379"/>
    <cellStyle name="强调文字颜色 5 2 3 5 5" xfId="29380"/>
    <cellStyle name="强调文字颜色 5 2 3 5 5 2" xfId="29381"/>
    <cellStyle name="强调文字颜色 5 2 3 5 5 3" xfId="29382"/>
    <cellStyle name="强调文字颜色 5 2 3 5 6" xfId="29383"/>
    <cellStyle name="强调文字颜色 5 2 3 6" xfId="29384"/>
    <cellStyle name="强调文字颜色 5 2 3 6 2" xfId="23692"/>
    <cellStyle name="强调文字颜色 5 2 3 6 3" xfId="23703"/>
    <cellStyle name="强调文字颜色 5 2 3 7" xfId="29385"/>
    <cellStyle name="强调文字颜色 5 2 3 7 2" xfId="23774"/>
    <cellStyle name="强调文字颜色 5 2 3 7 3" xfId="23780"/>
    <cellStyle name="强调文字颜色 5 2 3 8" xfId="29386"/>
    <cellStyle name="强调文字颜色 5 2 3 9" xfId="29387"/>
    <cellStyle name="强调文字颜色 5 2 3 9 2" xfId="23826"/>
    <cellStyle name="强调文字颜色 5 2 3 9 3" xfId="7076"/>
    <cellStyle name="强调文字颜色 5 2 4" xfId="1154"/>
    <cellStyle name="强调文字颜色 5 2 4 10" xfId="16563"/>
    <cellStyle name="强调文字颜色 5 2 4 2" xfId="2797"/>
    <cellStyle name="强调文字颜色 5 2 4 2 2" xfId="6743"/>
    <cellStyle name="强调文字颜色 5 2 4 2 2 2" xfId="9360"/>
    <cellStyle name="强调文字颜色 5 2 4 2 2 2 2" xfId="27822"/>
    <cellStyle name="强调文字颜色 5 2 4 2 2 2 2 2" xfId="27825"/>
    <cellStyle name="强调文字颜色 5 2 4 2 2 2 2 3" xfId="27827"/>
    <cellStyle name="强调文字颜色 5 2 4 2 2 2 3" xfId="27829"/>
    <cellStyle name="强调文字颜色 5 2 4 2 2 2 3 2" xfId="29388"/>
    <cellStyle name="强调文字颜色 5 2 4 2 2 2 3 3" xfId="29389"/>
    <cellStyle name="强调文字颜色 5 2 4 2 2 2 4" xfId="17032"/>
    <cellStyle name="强调文字颜色 5 2 4 2 2 2 5" xfId="17035"/>
    <cellStyle name="强调文字颜色 5 2 4 2 2 2 5 2" xfId="22189"/>
    <cellStyle name="强调文字颜色 5 2 4 2 2 2 5 3" xfId="22192"/>
    <cellStyle name="强调文字颜色 5 2 4 2 2 2 6" xfId="17038"/>
    <cellStyle name="强调文字颜色 5 2 4 2 2 3" xfId="9370"/>
    <cellStyle name="强调文字颜色 5 2 4 2 2 3 2" xfId="27835"/>
    <cellStyle name="强调文字颜色 5 2 4 2 2 3 3" xfId="29390"/>
    <cellStyle name="强调文字颜色 5 2 4 2 2 4" xfId="28485"/>
    <cellStyle name="强调文字颜色 5 2 4 2 2 4 2" xfId="27839"/>
    <cellStyle name="强调文字颜色 5 2 4 2 2 4 3" xfId="3669"/>
    <cellStyle name="强调文字颜色 5 2 4 2 2 5" xfId="28374"/>
    <cellStyle name="强调文字颜色 5 2 4 2 2 6" xfId="8629"/>
    <cellStyle name="强调文字颜色 5 2 4 2 2 6 2" xfId="29391"/>
    <cellStyle name="强调文字颜色 5 2 4 2 2 6 3" xfId="29392"/>
    <cellStyle name="强调文字颜色 5 2 4 2 2 7" xfId="8635"/>
    <cellStyle name="强调文字颜色 5 2 4 2 3" xfId="7392"/>
    <cellStyle name="强调文字颜色 5 2 4 2 3 2" xfId="28766"/>
    <cellStyle name="强调文字颜色 5 2 4 2 3 2 2" xfId="25163"/>
    <cellStyle name="强调文字颜色 5 2 4 2 3 2 3" xfId="29393"/>
    <cellStyle name="强调文字颜色 5 2 4 2 3 3" xfId="10081"/>
    <cellStyle name="强调文字颜色 5 2 4 2 3 3 2" xfId="3338"/>
    <cellStyle name="强调文字颜色 5 2 4 2 3 3 3" xfId="4446"/>
    <cellStyle name="强调文字颜色 5 2 4 2 3 4" xfId="10092"/>
    <cellStyle name="强调文字颜色 5 2 4 2 3 5" xfId="28378"/>
    <cellStyle name="强调文字颜色 5 2 4 2 3 5 2" xfId="24755"/>
    <cellStyle name="强调文字颜色 5 2 4 2 3 5 3" xfId="24761"/>
    <cellStyle name="强调文字颜色 5 2 4 2 3 6" xfId="28380"/>
    <cellStyle name="强调文字颜色 5 2 4 2 4" xfId="24495"/>
    <cellStyle name="强调文字颜色 5 2 4 2 4 2" xfId="24497"/>
    <cellStyle name="强调文字颜色 5 2 4 2 4 3" xfId="10709"/>
    <cellStyle name="强调文字颜色 5 2 4 2 5" xfId="3939"/>
    <cellStyle name="强调文字颜色 5 2 4 2 5 2" xfId="1912"/>
    <cellStyle name="强调文字颜色 5 2 4 2 5 3" xfId="3943"/>
    <cellStyle name="强调文字颜色 5 2 4 2 6" xfId="1013"/>
    <cellStyle name="强调文字颜色 5 2 4 2 7" xfId="250"/>
    <cellStyle name="强调文字颜色 5 2 4 2 7 2" xfId="29395"/>
    <cellStyle name="强调文字颜色 5 2 4 2 7 3" xfId="29396"/>
    <cellStyle name="强调文字颜色 5 2 4 2 8" xfId="26770"/>
    <cellStyle name="强调文字颜色 5 2 4 3" xfId="2985"/>
    <cellStyle name="强调文字颜色 5 2 4 3 2" xfId="5007"/>
    <cellStyle name="强调文字颜色 5 2 4 3 2 2" xfId="10435"/>
    <cellStyle name="强调文字颜色 5 2 4 3 2 2 2" xfId="29397"/>
    <cellStyle name="强调文字颜色 5 2 4 3 2 2 3" xfId="29398"/>
    <cellStyle name="强调文字颜色 5 2 4 3 2 3" xfId="21305"/>
    <cellStyle name="强调文字颜色 5 2 4 3 2 3 2" xfId="29399"/>
    <cellStyle name="强调文字颜色 5 2 4 3 2 3 3" xfId="29400"/>
    <cellStyle name="强调文字颜色 5 2 4 3 2 4" xfId="21307"/>
    <cellStyle name="强调文字颜色 5 2 4 3 2 5" xfId="21309"/>
    <cellStyle name="强调文字颜色 5 2 4 3 2 5 2" xfId="4612"/>
    <cellStyle name="强调文字颜色 5 2 4 3 2 5 3" xfId="28383"/>
    <cellStyle name="强调文字颜色 5 2 4 3 2 6" xfId="21312"/>
    <cellStyle name="强调文字颜色 5 2 4 3 3" xfId="21317"/>
    <cellStyle name="强调文字颜色 5 2 4 3 3 2" xfId="9901"/>
    <cellStyle name="强调文字颜色 5 2 4 3 3 3" xfId="9904"/>
    <cellStyle name="强调文字颜色 5 2 4 3 4" xfId="21326"/>
    <cellStyle name="强调文字颜色 5 2 4 3 4 2" xfId="21329"/>
    <cellStyle name="强调文字颜色 5 2 4 3 4 3" xfId="10741"/>
    <cellStyle name="强调文字颜色 5 2 4 3 5" xfId="746"/>
    <cellStyle name="强调文字颜色 5 2 4 3 6" xfId="754"/>
    <cellStyle name="强调文字颜色 5 2 4 3 6 2" xfId="10580"/>
    <cellStyle name="强调文字颜色 5 2 4 3 6 3" xfId="29401"/>
    <cellStyle name="强调文字颜色 5 2 4 3 7" xfId="29402"/>
    <cellStyle name="强调文字颜色 5 2 4 4" xfId="29403"/>
    <cellStyle name="强调文字颜色 5 2 4 4 2" xfId="8511"/>
    <cellStyle name="强调文字颜色 5 2 4 4 2 2" xfId="10585"/>
    <cellStyle name="强调文字颜色 5 2 4 4 2 2 2" xfId="20241"/>
    <cellStyle name="强调文字颜色 5 2 4 4 2 2 3" xfId="23676"/>
    <cellStyle name="强调文字颜色 5 2 4 4 2 3" xfId="29404"/>
    <cellStyle name="强调文字颜色 5 2 4 4 2 3 2" xfId="29405"/>
    <cellStyle name="强调文字颜色 5 2 4 4 2 3 3" xfId="29406"/>
    <cellStyle name="强调文字颜色 5 2 4 4 2 4" xfId="29407"/>
    <cellStyle name="强调文字颜色 5 2 4 4 2 5" xfId="28386"/>
    <cellStyle name="强调文字颜色 5 2 4 4 2 5 2" xfId="10251"/>
    <cellStyle name="强调文字颜色 5 2 4 4 2 5 3" xfId="8493"/>
    <cellStyle name="强调文字颜色 5 2 4 4 2 6" xfId="28388"/>
    <cellStyle name="强调文字颜色 5 2 4 4 3" xfId="16306"/>
    <cellStyle name="强调文字颜色 5 2 4 4 3 2" xfId="29408"/>
    <cellStyle name="强调文字颜色 5 2 4 4 3 3" xfId="10756"/>
    <cellStyle name="强调文字颜色 5 2 4 4 4" xfId="16310"/>
    <cellStyle name="强调文字颜色 5 2 4 4 4 2" xfId="29409"/>
    <cellStyle name="强调文字颜色 5 2 4 4 4 3" xfId="29410"/>
    <cellStyle name="强调文字颜色 5 2 4 4 5" xfId="3961"/>
    <cellStyle name="强调文字颜色 5 2 4 4 6" xfId="2652"/>
    <cellStyle name="强调文字颜色 5 2 4 4 6 2" xfId="22316"/>
    <cellStyle name="强调文字颜色 5 2 4 4 6 3" xfId="22332"/>
    <cellStyle name="强调文字颜色 5 2 4 4 7" xfId="26110"/>
    <cellStyle name="强调文字颜色 5 2 4 5" xfId="29411"/>
    <cellStyle name="强调文字颜色 5 2 4 5 2" xfId="11852"/>
    <cellStyle name="强调文字颜色 5 2 4 5 2 2" xfId="29412"/>
    <cellStyle name="强调文字颜色 5 2 4 5 2 3" xfId="29413"/>
    <cellStyle name="强调文字颜色 5 2 4 5 3" xfId="10307"/>
    <cellStyle name="强调文字颜色 5 2 4 5 3 2" xfId="29414"/>
    <cellStyle name="强调文字颜色 5 2 4 5 3 3" xfId="29415"/>
    <cellStyle name="强调文字颜色 5 2 4 5 4" xfId="21345"/>
    <cellStyle name="强调文字颜色 5 2 4 5 5" xfId="29416"/>
    <cellStyle name="强调文字颜色 5 2 4 5 5 2" xfId="29417"/>
    <cellStyle name="强调文字颜色 5 2 4 5 5 3" xfId="29418"/>
    <cellStyle name="强调文字颜色 5 2 4 5 6" xfId="29419"/>
    <cellStyle name="强调文字颜色 5 2 4 6" xfId="29420"/>
    <cellStyle name="强调文字颜色 5 2 4 6 2" xfId="21360"/>
    <cellStyle name="强调文字颜色 5 2 4 6 3" xfId="21364"/>
    <cellStyle name="强调文字颜色 5 2 4 7" xfId="29421"/>
    <cellStyle name="强调文字颜色 5 2 4 7 2" xfId="21374"/>
    <cellStyle name="强调文字颜色 5 2 4 7 3" xfId="21378"/>
    <cellStyle name="强调文字颜色 5 2 4 8" xfId="29422"/>
    <cellStyle name="强调文字颜色 5 2 4 9" xfId="29423"/>
    <cellStyle name="强调文字颜色 5 2 4 9 2" xfId="16759"/>
    <cellStyle name="强调文字颜色 5 2 4 9 3" xfId="7414"/>
    <cellStyle name="强调文字颜色 5 2 5" xfId="2379"/>
    <cellStyle name="强调文字颜色 5 2 5 2" xfId="29424"/>
    <cellStyle name="强调文字颜色 5 2 5 2 2" xfId="700"/>
    <cellStyle name="强调文字颜色 5 2 5 2 2 2" xfId="9413"/>
    <cellStyle name="强调文字颜色 5 2 5 2 2 2 2" xfId="28827"/>
    <cellStyle name="强调文字颜色 5 2 5 2 2 2 3" xfId="28830"/>
    <cellStyle name="强调文字颜色 5 2 5 2 2 3" xfId="9423"/>
    <cellStyle name="强调文字颜色 5 2 5 2 2 3 2" xfId="29425"/>
    <cellStyle name="强调文字颜色 5 2 5 2 2 3 3" xfId="29426"/>
    <cellStyle name="强调文字颜色 5 2 5 2 2 4" xfId="28495"/>
    <cellStyle name="强调文字颜色 5 2 5 2 2 5" xfId="29427"/>
    <cellStyle name="强调文字颜色 5 2 5 2 2 5 2" xfId="29428"/>
    <cellStyle name="强调文字颜色 5 2 5 2 2 5 3" xfId="29429"/>
    <cellStyle name="强调文字颜色 5 2 5 2 2 6" xfId="29430"/>
    <cellStyle name="强调文字颜色 5 2 5 2 3" xfId="9431"/>
    <cellStyle name="强调文字颜色 5 2 5 2 3 2" xfId="28850"/>
    <cellStyle name="强调文字颜色 5 2 5 2 3 3" xfId="10827"/>
    <cellStyle name="强调文字颜色 5 2 5 2 4" xfId="29431"/>
    <cellStyle name="强调文字颜色 5 2 5 2 4 2" xfId="19551"/>
    <cellStyle name="强调文字颜色 5 2 5 2 4 3" xfId="10838"/>
    <cellStyle name="强调文字颜色 5 2 5 2 5" xfId="3972"/>
    <cellStyle name="强调文字颜色 5 2 5 2 6" xfId="3983"/>
    <cellStyle name="强调文字颜色 5 2 5 2 6 2" xfId="29432"/>
    <cellStyle name="强调文字颜色 5 2 5 2 6 3" xfId="29238"/>
    <cellStyle name="强调文字颜色 5 2 5 2 7" xfId="29433"/>
    <cellStyle name="强调文字颜色 5 2 5 3" xfId="27680"/>
    <cellStyle name="强调文字颜色 5 2 5 3 2" xfId="846"/>
    <cellStyle name="强调文字颜色 5 2 5 3 2 2" xfId="28870"/>
    <cellStyle name="强调文字颜色 5 2 5 3 2 3" xfId="29434"/>
    <cellStyle name="强调文字颜色 5 2 5 3 3" xfId="7433"/>
    <cellStyle name="强调文字颜色 5 2 5 3 3 2" xfId="29435"/>
    <cellStyle name="强调文字颜色 5 2 5 3 3 3" xfId="9919"/>
    <cellStyle name="强调文字颜色 5 2 5 3 4" xfId="21435"/>
    <cellStyle name="强调文字颜色 5 2 5 3 5" xfId="3987"/>
    <cellStyle name="强调文字颜色 5 2 5 3 5 2" xfId="29436"/>
    <cellStyle name="强调文字颜色 5 2 5 3 5 3" xfId="29437"/>
    <cellStyle name="强调文字颜色 5 2 5 3 6" xfId="2311"/>
    <cellStyle name="强调文字颜色 5 2 5 4" xfId="27682"/>
    <cellStyle name="强调文字颜色 5 2 5 4 2" xfId="9433"/>
    <cellStyle name="强调文字颜色 5 2 5 4 3" xfId="21438"/>
    <cellStyle name="强调文字颜色 5 2 5 5" xfId="29438"/>
    <cellStyle name="强调文字颜色 5 2 5 5 2" xfId="21447"/>
    <cellStyle name="强调文字颜色 5 2 5 5 3" xfId="21449"/>
    <cellStyle name="强调文字颜色 5 2 5 6" xfId="29439"/>
    <cellStyle name="强调文字颜色 5 2 5 7" xfId="29440"/>
    <cellStyle name="强调文字颜色 5 2 5 7 2" xfId="21472"/>
    <cellStyle name="强调文字颜色 5 2 5 7 3" xfId="21475"/>
    <cellStyle name="强调文字颜色 5 2 5 8" xfId="29441"/>
    <cellStyle name="强调文字颜色 5 2 6" xfId="11005"/>
    <cellStyle name="强调文字颜色 5 2 6 2" xfId="29442"/>
    <cellStyle name="强调文字颜色 5 2 6 2 2" xfId="1158"/>
    <cellStyle name="强调文字颜色 5 2 6 2 2 2" xfId="9490"/>
    <cellStyle name="强调文字颜色 5 2 6 2 2 3" xfId="3000"/>
    <cellStyle name="强调文字颜色 5 2 6 2 3" xfId="2908"/>
    <cellStyle name="强调文字颜色 5 2 6 2 3 2" xfId="28945"/>
    <cellStyle name="强调文字颜色 5 2 6 2 3 3" xfId="29443"/>
    <cellStyle name="强调文字颜色 5 2 6 2 4" xfId="2933"/>
    <cellStyle name="强调文字颜色 5 2 6 2 5" xfId="3996"/>
    <cellStyle name="强调文字颜色 5 2 6 2 5 2" xfId="3418"/>
    <cellStyle name="强调文字颜色 5 2 6 2 5 3" xfId="4005"/>
    <cellStyle name="强调文字颜色 5 2 6 2 6" xfId="4015"/>
    <cellStyle name="强调文字颜色 5 2 6 3" xfId="29444"/>
    <cellStyle name="强调文字颜色 5 2 6 3 2" xfId="1247"/>
    <cellStyle name="强调文字颜色 5 2 6 3 3" xfId="29445"/>
    <cellStyle name="强调文字颜色 5 2 6 4" xfId="26475"/>
    <cellStyle name="强调文字颜色 5 2 6 4 2" xfId="9497"/>
    <cellStyle name="强调文字颜色 5 2 6 4 3" xfId="26495"/>
    <cellStyle name="强调文字颜色 5 2 6 5" xfId="26524"/>
    <cellStyle name="强调文字颜色 5 2 6 6" xfId="26538"/>
    <cellStyle name="强调文字颜色 5 2 6 6 2" xfId="26540"/>
    <cellStyle name="强调文字颜色 5 2 6 6 3" xfId="7096"/>
    <cellStyle name="强调文字颜色 5 2 6 7" xfId="26543"/>
    <cellStyle name="强调文字颜色 5 2 7" xfId="16918"/>
    <cellStyle name="强调文字颜色 5 2 7 2" xfId="29446"/>
    <cellStyle name="强调文字颜色 5 2 7 2 2" xfId="152"/>
    <cellStyle name="强调文字颜色 5 2 7 2 2 2" xfId="29002"/>
    <cellStyle name="强调文字颜色 5 2 7 2 2 3" xfId="29447"/>
    <cellStyle name="强调文字颜色 5 2 7 2 3" xfId="18879"/>
    <cellStyle name="强调文字颜色 5 2 7 2 3 2" xfId="18881"/>
    <cellStyle name="强调文字颜色 5 2 7 2 3 3" xfId="18883"/>
    <cellStyle name="强调文字颜色 5 2 7 2 4" xfId="18888"/>
    <cellStyle name="强调文字颜色 5 2 7 2 5" xfId="4041"/>
    <cellStyle name="强调文字颜色 5 2 7 2 5 2" xfId="18896"/>
    <cellStyle name="强调文字颜色 5 2 7 2 5 3" xfId="18899"/>
    <cellStyle name="强调文字颜色 5 2 7 2 6" xfId="4048"/>
    <cellStyle name="强调文字颜色 5 2 7 3" xfId="8040"/>
    <cellStyle name="强调文字颜色 5 2 7 3 2" xfId="1579"/>
    <cellStyle name="强调文字颜色 5 2 7 3 3" xfId="8043"/>
    <cellStyle name="强调文字颜色 5 2 7 4" xfId="8047"/>
    <cellStyle name="强调文字颜色 5 2 7 4 2" xfId="26553"/>
    <cellStyle name="强调文字颜色 5 2 7 4 3" xfId="18933"/>
    <cellStyle name="强调文字颜色 5 2 7 5" xfId="25826"/>
    <cellStyle name="强调文字颜色 5 2 7 6" xfId="26609"/>
    <cellStyle name="强调文字颜色 5 2 7 6 2" xfId="26611"/>
    <cellStyle name="强调文字颜色 5 2 7 6 3" xfId="18942"/>
    <cellStyle name="强调文字颜色 5 2 7 7" xfId="12114"/>
    <cellStyle name="强调文字颜色 5 2 8" xfId="16920"/>
    <cellStyle name="强调文字颜色 5 2 8 2" xfId="29448"/>
    <cellStyle name="强调文字颜色 5 2 8 2 2" xfId="29449"/>
    <cellStyle name="强调文字颜色 5 2 8 2 3" xfId="19107"/>
    <cellStyle name="强调文字颜色 5 2 8 3" xfId="8051"/>
    <cellStyle name="强调文字颜色 5 2 8 3 2" xfId="29450"/>
    <cellStyle name="强调文字颜色 5 2 8 3 3" xfId="19113"/>
    <cellStyle name="强调文字颜色 5 2 8 4" xfId="8053"/>
    <cellStyle name="强调文字颜色 5 2 8 5" xfId="26706"/>
    <cellStyle name="强调文字颜色 5 2 8 5 2" xfId="26708"/>
    <cellStyle name="强调文字颜色 5 2 8 5 3" xfId="19122"/>
    <cellStyle name="强调文字颜色 5 2 8 6" xfId="26782"/>
    <cellStyle name="强调文字颜色 5 2 9" xfId="16922"/>
    <cellStyle name="强调文字颜色 5 2 9 2" xfId="29451"/>
    <cellStyle name="强调文字颜色 5 2 9 2 2" xfId="29452"/>
    <cellStyle name="强调文字颜色 5 2 9 2 3" xfId="19248"/>
    <cellStyle name="强调文字颜色 5 2 9 3" xfId="29453"/>
    <cellStyle name="强调文字颜色 5 2 9 4" xfId="26817"/>
    <cellStyle name="强调文字颜色 5 2 9 4 2" xfId="17401"/>
    <cellStyle name="强调文字颜色 5 2 9 4 3" xfId="17404"/>
    <cellStyle name="强调文字颜色 5 2 9 5" xfId="26834"/>
    <cellStyle name="强调文字颜色 5 3" xfId="25647"/>
    <cellStyle name="强调文字颜色 5 3 2" xfId="26828"/>
    <cellStyle name="强调文字颜色 5 3 3" xfId="29454"/>
    <cellStyle name="强调文字颜色 5 4" xfId="25650"/>
    <cellStyle name="强调文字颜色 6 2" xfId="29456"/>
    <cellStyle name="强调文字颜色 6 2 10" xfId="23087"/>
    <cellStyle name="强调文字颜色 6 2 10 2" xfId="7468"/>
    <cellStyle name="强调文字颜色 6 2 10 3" xfId="27688"/>
    <cellStyle name="强调文字颜色 6 2 11" xfId="23089"/>
    <cellStyle name="强调文字颜色 6 2 12" xfId="23091"/>
    <cellStyle name="强调文字颜色 6 2 12 2" xfId="27701"/>
    <cellStyle name="强调文字颜色 6 2 12 3" xfId="29457"/>
    <cellStyle name="强调文字颜色 6 2 13" xfId="2742"/>
    <cellStyle name="强调文字颜色 6 2 2" xfId="29458"/>
    <cellStyle name="强调文字颜色 6 2 2 10" xfId="29459"/>
    <cellStyle name="强调文字颜色 6 2 2 2" xfId="29460"/>
    <cellStyle name="强调文字颜色 6 2 2 2 2" xfId="29461"/>
    <cellStyle name="强调文字颜色 6 2 2 2 2 2" xfId="29462"/>
    <cellStyle name="强调文字颜色 6 2 2 2 2 2 2" xfId="29463"/>
    <cellStyle name="强调文字颜色 6 2 2 2 2 2 2 2" xfId="3322"/>
    <cellStyle name="强调文字颜色 6 2 2 2 2 2 2 3" xfId="3333"/>
    <cellStyle name="强调文字颜色 6 2 2 2 2 2 3" xfId="1739"/>
    <cellStyle name="强调文字颜色 6 2 2 2 2 2 3 2" xfId="5550"/>
    <cellStyle name="强调文字颜色 6 2 2 2 2 2 3 3" xfId="5560"/>
    <cellStyle name="强调文字颜色 6 2 2 2 2 2 4" xfId="971"/>
    <cellStyle name="强调文字颜色 6 2 2 2 2 2 5" xfId="981"/>
    <cellStyle name="强调文字颜色 6 2 2 2 2 2 5 2" xfId="4889"/>
    <cellStyle name="强调文字颜色 6 2 2 2 2 2 5 3" xfId="5580"/>
    <cellStyle name="强调文字颜色 6 2 2 2 2 2 6" xfId="3211"/>
    <cellStyle name="强调文字颜色 6 2 2 2 2 3" xfId="29464"/>
    <cellStyle name="强调文字颜色 6 2 2 2 2 3 2" xfId="29465"/>
    <cellStyle name="强调文字颜色 6 2 2 2 2 3 3" xfId="29466"/>
    <cellStyle name="强调文字颜色 6 2 2 2 2 4" xfId="29467"/>
    <cellStyle name="强调文字颜色 6 2 2 2 2 4 2" xfId="29468"/>
    <cellStyle name="强调文字颜色 6 2 2 2 2 4 3" xfId="29469"/>
    <cellStyle name="强调文字颜色 6 2 2 2 2 5" xfId="5686"/>
    <cellStyle name="强调文字颜色 6 2 2 2 2 6" xfId="3745"/>
    <cellStyle name="强调文字颜色 6 2 2 2 2 6 2" xfId="5744"/>
    <cellStyle name="强调文字颜色 6 2 2 2 2 6 3" xfId="5750"/>
    <cellStyle name="强调文字颜色 6 2 2 2 2 7" xfId="1343"/>
    <cellStyle name="强调文字颜色 6 2 2 2 3" xfId="24640"/>
    <cellStyle name="强调文字颜色 6 2 2 2 3 2" xfId="24643"/>
    <cellStyle name="强调文字颜色 6 2 2 2 3 2 2" xfId="25583"/>
    <cellStyle name="强调文字颜色 6 2 2 2 3 2 3" xfId="18206"/>
    <cellStyle name="强调文字颜色 6 2 2 2 3 3" xfId="24646"/>
    <cellStyle name="强调文字颜色 6 2 2 2 3 3 2" xfId="24649"/>
    <cellStyle name="强调文字颜色 6 2 2 2 3 3 3" xfId="29470"/>
    <cellStyle name="强调文字颜色 6 2 2 2 3 4" xfId="29471"/>
    <cellStyle name="强调文字颜色 6 2 2 2 3 5" xfId="12516"/>
    <cellStyle name="强调文字颜色 6 2 2 2 3 5 2" xfId="12520"/>
    <cellStyle name="强调文字颜色 6 2 2 2 3 5 3" xfId="12533"/>
    <cellStyle name="强调文字颜色 6 2 2 2 3 6" xfId="12535"/>
    <cellStyle name="强调文字颜色 6 2 2 2 4" xfId="24652"/>
    <cellStyle name="强调文字颜色 6 2 2 2 4 2" xfId="29472"/>
    <cellStyle name="强调文字颜色 6 2 2 2 4 3" xfId="28169"/>
    <cellStyle name="强调文字颜色 6 2 2 2 5" xfId="24655"/>
    <cellStyle name="强调文字颜色 6 2 2 2 5 2" xfId="9399"/>
    <cellStyle name="强调文字颜色 6 2 2 2 5 3" xfId="17437"/>
    <cellStyle name="强调文字颜色 6 2 2 2 6" xfId="29473"/>
    <cellStyle name="强调文字颜色 6 2 2 2 7" xfId="29474"/>
    <cellStyle name="强调文字颜色 6 2 2 2 7 2" xfId="26240"/>
    <cellStyle name="强调文字颜色 6 2 2 2 7 3" xfId="17468"/>
    <cellStyle name="强调文字颜色 6 2 2 2 8" xfId="26847"/>
    <cellStyle name="强调文字颜色 6 2 2 3" xfId="29475"/>
    <cellStyle name="强调文字颜色 6 2 2 3 2" xfId="23447"/>
    <cellStyle name="强调文字颜色 6 2 2 3 2 2" xfId="23449"/>
    <cellStyle name="强调文字颜色 6 2 2 3 2 2 2" xfId="8186"/>
    <cellStyle name="强调文字颜色 6 2 2 3 2 2 3" xfId="12741"/>
    <cellStyle name="强调文字颜色 6 2 2 3 2 3" xfId="23451"/>
    <cellStyle name="强调文字颜色 6 2 2 3 2 3 2" xfId="8202"/>
    <cellStyle name="强调文字颜色 6 2 2 3 2 3 3" xfId="12748"/>
    <cellStyle name="强调文字颜色 6 2 2 3 2 4" xfId="23453"/>
    <cellStyle name="强调文字颜色 6 2 2 3 2 5" xfId="12624"/>
    <cellStyle name="强调文字颜色 6 2 2 3 2 5 2" xfId="5292"/>
    <cellStyle name="强调文字颜色 6 2 2 3 2 5 3" xfId="12635"/>
    <cellStyle name="强调文字颜色 6 2 2 3 2 6" xfId="12638"/>
    <cellStyle name="强调文字颜色 6 2 2 3 3" xfId="23455"/>
    <cellStyle name="强调文字颜色 6 2 2 3 3 2" xfId="23458"/>
    <cellStyle name="强调文字颜色 6 2 2 3 3 3" xfId="23460"/>
    <cellStyle name="强调文字颜色 6 2 2 3 4" xfId="23464"/>
    <cellStyle name="强调文字颜色 6 2 2 3 4 2" xfId="23466"/>
    <cellStyle name="强调文字颜色 6 2 2 3 4 3" xfId="23468"/>
    <cellStyle name="强调文字颜色 6 2 2 3 5" xfId="23470"/>
    <cellStyle name="强调文字颜色 6 2 2 3 6" xfId="29476"/>
    <cellStyle name="强调文字颜色 6 2 2 3 6 2" xfId="10787"/>
    <cellStyle name="强调文字颜色 6 2 2 3 6 3" xfId="29477"/>
    <cellStyle name="强调文字颜色 6 2 2 3 7" xfId="25694"/>
    <cellStyle name="强调文字颜色 6 2 2 4" xfId="29478"/>
    <cellStyle name="强调文字颜色 6 2 2 4 2" xfId="4578"/>
    <cellStyle name="强调文字颜色 6 2 2 4 2 2" xfId="17078"/>
    <cellStyle name="强调文字颜色 6 2 2 4 2 2 2" xfId="29480"/>
    <cellStyle name="强调文字颜色 6 2 2 4 2 2 3" xfId="29481"/>
    <cellStyle name="强调文字颜色 6 2 2 4 2 3" xfId="17080"/>
    <cellStyle name="强调文字颜色 6 2 2 4 2 3 2" xfId="29482"/>
    <cellStyle name="强调文字颜色 6 2 2 4 2 3 3" xfId="29483"/>
    <cellStyle name="强调文字颜色 6 2 2 4 2 4" xfId="17082"/>
    <cellStyle name="强调文字颜色 6 2 2 4 2 5" xfId="12738"/>
    <cellStyle name="强调文字颜色 6 2 2 4 2 5 2" xfId="5442"/>
    <cellStyle name="强调文字颜色 6 2 2 4 2 5 3" xfId="24364"/>
    <cellStyle name="强调文字颜色 6 2 2 4 2 6" xfId="12137"/>
    <cellStyle name="强调文字颜色 6 2 2 4 3" xfId="23477"/>
    <cellStyle name="强调文字颜色 6 2 2 4 3 2" xfId="17086"/>
    <cellStyle name="强调文字颜色 6 2 2 4 3 3" xfId="17088"/>
    <cellStyle name="强调文字颜色 6 2 2 4 4" xfId="23479"/>
    <cellStyle name="强调文字颜色 6 2 2 4 4 2" xfId="17100"/>
    <cellStyle name="强调文字颜色 6 2 2 4 4 3" xfId="17102"/>
    <cellStyle name="强调文字颜色 6 2 2 4 5" xfId="12483"/>
    <cellStyle name="强调文字颜色 6 2 2 4 6" xfId="12485"/>
    <cellStyle name="强调文字颜色 6 2 2 4 6 2" xfId="10800"/>
    <cellStyle name="强调文字颜色 6 2 2 4 6 3" xfId="29484"/>
    <cellStyle name="强调文字颜色 6 2 2 4 7" xfId="29485"/>
    <cellStyle name="强调文字颜色 6 2 2 5" xfId="29486"/>
    <cellStyle name="强调文字颜色 6 2 2 5 2" xfId="8108"/>
    <cellStyle name="强调文字颜色 6 2 2 5 2 2" xfId="29489"/>
    <cellStyle name="强调文字颜色 6 2 2 5 2 3" xfId="29491"/>
    <cellStyle name="强调文字颜色 6 2 2 5 3" xfId="23486"/>
    <cellStyle name="强调文字颜色 6 2 2 5 3 2" xfId="29493"/>
    <cellStyle name="强调文字颜色 6 2 2 5 3 3" xfId="29495"/>
    <cellStyle name="强调文字颜色 6 2 2 5 4" xfId="23488"/>
    <cellStyle name="强调文字颜色 6 2 2 5 5" xfId="11988"/>
    <cellStyle name="强调文字颜色 6 2 2 5 5 2" xfId="11991"/>
    <cellStyle name="强调文字颜色 6 2 2 5 5 3" xfId="12007"/>
    <cellStyle name="强调文字颜色 6 2 2 5 6" xfId="12012"/>
    <cellStyle name="强调文字颜色 6 2 2 6" xfId="11676"/>
    <cellStyle name="强调文字颜色 6 2 2 6 2" xfId="8120"/>
    <cellStyle name="强调文字颜色 6 2 2 6 3" xfId="23494"/>
    <cellStyle name="强调文字颜色 6 2 2 7" xfId="7916"/>
    <cellStyle name="强调文字颜色 6 2 2 7 2" xfId="10122"/>
    <cellStyle name="强调文字颜色 6 2 2 7 3" xfId="10126"/>
    <cellStyle name="强调文字颜色 6 2 2 8" xfId="7924"/>
    <cellStyle name="强调文字颜色 6 2 2 9" xfId="10134"/>
    <cellStyle name="强调文字颜色 6 2 2 9 2" xfId="23518"/>
    <cellStyle name="强调文字颜色 6 2 2 9 3" xfId="23520"/>
    <cellStyle name="强调文字颜色 6 2 3" xfId="29496"/>
    <cellStyle name="强调文字颜色 6 2 3 10" xfId="25489"/>
    <cellStyle name="强调文字颜色 6 2 3 2" xfId="29497"/>
    <cellStyle name="强调文字颜色 6 2 3 2 2" xfId="29498"/>
    <cellStyle name="强调文字颜色 6 2 3 2 2 2" xfId="29499"/>
    <cellStyle name="强调文字颜色 6 2 3 2 2 2 2" xfId="20986"/>
    <cellStyle name="强调文字颜色 6 2 3 2 2 2 2 2" xfId="15866"/>
    <cellStyle name="强调文字颜色 6 2 3 2 2 2 2 3" xfId="20258"/>
    <cellStyle name="强调文字颜色 6 2 3 2 2 2 3" xfId="20988"/>
    <cellStyle name="强调文字颜色 6 2 3 2 2 2 3 2" xfId="15878"/>
    <cellStyle name="强调文字颜色 6 2 3 2 2 2 3 3" xfId="20264"/>
    <cellStyle name="强调文字颜色 6 2 3 2 2 2 4" xfId="29500"/>
    <cellStyle name="强调文字颜色 6 2 3 2 2 2 5" xfId="29501"/>
    <cellStyle name="强调文字颜色 6 2 3 2 2 2 5 2" xfId="15885"/>
    <cellStyle name="强调文字颜色 6 2 3 2 2 2 5 3" xfId="9549"/>
    <cellStyle name="强调文字颜色 6 2 3 2 2 2 6" xfId="718"/>
    <cellStyle name="强调文字颜色 6 2 3 2 2 3" xfId="29502"/>
    <cellStyle name="强调文字颜色 6 2 3 2 2 3 2" xfId="20996"/>
    <cellStyle name="强调文字颜色 6 2 3 2 2 3 3" xfId="29503"/>
    <cellStyle name="强调文字颜色 6 2 3 2 2 4" xfId="29504"/>
    <cellStyle name="强调文字颜色 6 2 3 2 2 4 2" xfId="29505"/>
    <cellStyle name="强调文字颜色 6 2 3 2 2 4 3" xfId="29506"/>
    <cellStyle name="强调文字颜色 6 2 3 2 2 5" xfId="29507"/>
    <cellStyle name="强调文字颜色 6 2 3 2 2 6" xfId="29508"/>
    <cellStyle name="强调文字颜色 6 2 3 2 2 6 2" xfId="12319"/>
    <cellStyle name="强调文字颜色 6 2 3 2 2 6 3" xfId="12334"/>
    <cellStyle name="强调文字颜色 6 2 3 2 2 7" xfId="29509"/>
    <cellStyle name="强调文字颜色 6 2 3 2 3" xfId="24662"/>
    <cellStyle name="强调文字颜色 6 2 3 2 3 2" xfId="29510"/>
    <cellStyle name="强调文字颜色 6 2 3 2 3 2 2" xfId="25591"/>
    <cellStyle name="强调文字颜色 6 2 3 2 3 2 3" xfId="29511"/>
    <cellStyle name="强调文字颜色 6 2 3 2 3 3" xfId="29512"/>
    <cellStyle name="强调文字颜色 6 2 3 2 3 3 2" xfId="29513"/>
    <cellStyle name="强调文字颜色 6 2 3 2 3 3 3" xfId="25120"/>
    <cellStyle name="强调文字颜色 6 2 3 2 3 4" xfId="29514"/>
    <cellStyle name="强调文字颜色 6 2 3 2 3 5" xfId="29515"/>
    <cellStyle name="强调文字颜色 6 2 3 2 3 5 2" xfId="29516"/>
    <cellStyle name="强调文字颜色 6 2 3 2 3 5 3" xfId="11504"/>
    <cellStyle name="强调文字颜色 6 2 3 2 3 6" xfId="29517"/>
    <cellStyle name="强调文字颜色 6 2 3 2 4" xfId="24664"/>
    <cellStyle name="强调文字颜色 6 2 3 2 4 2" xfId="29518"/>
    <cellStyle name="强调文字颜色 6 2 3 2 4 3" xfId="28175"/>
    <cellStyle name="强调文字颜色 6 2 3 2 5" xfId="29519"/>
    <cellStyle name="强调文字颜色 6 2 3 2 5 2" xfId="29520"/>
    <cellStyle name="强调文字颜色 6 2 3 2 5 3" xfId="29521"/>
    <cellStyle name="强调文字颜色 6 2 3 2 6" xfId="29522"/>
    <cellStyle name="强调文字颜色 6 2 3 2 7" xfId="28159"/>
    <cellStyle name="强调文字颜色 6 2 3 2 7 2" xfId="28161"/>
    <cellStyle name="强调文字颜色 6 2 3 2 7 3" xfId="28163"/>
    <cellStyle name="强调文字颜色 6 2 3 2 8" xfId="26857"/>
    <cellStyle name="强调文字颜色 6 2 3 3" xfId="29523"/>
    <cellStyle name="强调文字颜色 6 2 3 3 2" xfId="23535"/>
    <cellStyle name="强调文字颜色 6 2 3 3 2 2" xfId="29524"/>
    <cellStyle name="强调文字颜色 6 2 3 3 2 2 2" xfId="29525"/>
    <cellStyle name="强调文字颜色 6 2 3 3 2 2 3" xfId="29526"/>
    <cellStyle name="强调文字颜色 6 2 3 3 2 3" xfId="29527"/>
    <cellStyle name="强调文字颜色 6 2 3 3 2 3 2" xfId="29528"/>
    <cellStyle name="强调文字颜色 6 2 3 3 2 3 3" xfId="29529"/>
    <cellStyle name="强调文字颜色 6 2 3 3 2 4" xfId="29530"/>
    <cellStyle name="强调文字颜色 6 2 3 3 2 5" xfId="29531"/>
    <cellStyle name="强调文字颜色 6 2 3 3 2 5 2" xfId="29532"/>
    <cellStyle name="强调文字颜色 6 2 3 3 2 5 3" xfId="29533"/>
    <cellStyle name="强调文字颜色 6 2 3 3 2 6" xfId="29534"/>
    <cellStyle name="强调文字颜色 6 2 3 3 3" xfId="23537"/>
    <cellStyle name="强调文字颜色 6 2 3 3 3 2" xfId="1279"/>
    <cellStyle name="强调文字颜色 6 2 3 3 3 3" xfId="24668"/>
    <cellStyle name="强调文字颜色 6 2 3 3 4" xfId="23540"/>
    <cellStyle name="强调文字颜色 6 2 3 3 4 2" xfId="13742"/>
    <cellStyle name="强调文字颜色 6 2 3 3 4 3" xfId="13744"/>
    <cellStyle name="强调文字颜色 6 2 3 3 5" xfId="24671"/>
    <cellStyle name="强调文字颜色 6 2 3 3 6" xfId="29535"/>
    <cellStyle name="强调文字颜色 6 2 3 3 6 2" xfId="10812"/>
    <cellStyle name="强调文字颜色 6 2 3 3 6 3" xfId="29536"/>
    <cellStyle name="强调文字颜色 6 2 3 3 7" xfId="28182"/>
    <cellStyle name="强调文字颜色 6 2 3 4" xfId="29537"/>
    <cellStyle name="强调文字颜色 6 2 3 4 2" xfId="11959"/>
    <cellStyle name="强调文字颜色 6 2 3 4 2 2" xfId="29539"/>
    <cellStyle name="强调文字颜色 6 2 3 4 2 2 2" xfId="29540"/>
    <cellStyle name="强调文字颜色 6 2 3 4 2 2 3" xfId="29541"/>
    <cellStyle name="强调文字颜色 6 2 3 4 2 3" xfId="29542"/>
    <cellStyle name="强调文字颜色 6 2 3 4 2 3 2" xfId="23260"/>
    <cellStyle name="强调文字颜色 6 2 3 4 2 3 3" xfId="23262"/>
    <cellStyle name="强调文字颜色 6 2 3 4 2 4" xfId="29543"/>
    <cellStyle name="强调文字颜色 6 2 3 4 2 5" xfId="29544"/>
    <cellStyle name="强调文字颜色 6 2 3 4 2 5 2" xfId="29545"/>
    <cellStyle name="强调文字颜色 6 2 3 4 2 5 3" xfId="29546"/>
    <cellStyle name="强调文字颜色 6 2 3 4 2 6" xfId="29547"/>
    <cellStyle name="强调文字颜色 6 2 3 4 3" xfId="23546"/>
    <cellStyle name="强调文字颜色 6 2 3 4 3 2" xfId="29548"/>
    <cellStyle name="强调文字颜色 6 2 3 4 3 3" xfId="29549"/>
    <cellStyle name="强调文字颜色 6 2 3 4 4" xfId="23548"/>
    <cellStyle name="强调文字颜色 6 2 3 4 4 2" xfId="29550"/>
    <cellStyle name="强调文字颜色 6 2 3 4 4 3" xfId="29551"/>
    <cellStyle name="强调文字颜色 6 2 3 4 5" xfId="12492"/>
    <cellStyle name="强调文字颜色 6 2 3 4 6" xfId="12495"/>
    <cellStyle name="强调文字颜色 6 2 3 4 6 2" xfId="12497"/>
    <cellStyle name="强调文字颜色 6 2 3 4 6 3" xfId="29552"/>
    <cellStyle name="强调文字颜色 6 2 3 4 7" xfId="28196"/>
    <cellStyle name="强调文字颜色 6 2 3 5" xfId="29553"/>
    <cellStyle name="强调文字颜色 6 2 3 5 2" xfId="8137"/>
    <cellStyle name="强调文字颜色 6 2 3 5 2 2" xfId="25834"/>
    <cellStyle name="强调文字颜色 6 2 3 5 2 3" xfId="29554"/>
    <cellStyle name="强调文字颜色 6 2 3 5 3" xfId="18869"/>
    <cellStyle name="强调文字颜色 6 2 3 5 3 2" xfId="29555"/>
    <cellStyle name="强调文字颜色 6 2 3 5 3 3" xfId="29556"/>
    <cellStyle name="强调文字颜色 6 2 3 5 4" xfId="18872"/>
    <cellStyle name="强调文字颜色 6 2 3 5 5" xfId="18875"/>
    <cellStyle name="强调文字颜色 6 2 3 5 5 2" xfId="29557"/>
    <cellStyle name="强调文字颜色 6 2 3 5 5 3" xfId="29558"/>
    <cellStyle name="强调文字颜色 6 2 3 5 6" xfId="29559"/>
    <cellStyle name="强调文字颜色 6 2 3 6" xfId="29560"/>
    <cellStyle name="强调文字颜色 6 2 3 6 2" xfId="2261"/>
    <cellStyle name="强调文字颜色 6 2 3 6 3" xfId="2625"/>
    <cellStyle name="强调文字颜色 6 2 3 7" xfId="10137"/>
    <cellStyle name="强调文字颜色 6 2 3 7 2" xfId="6929"/>
    <cellStyle name="强调文字颜色 6 2 3 7 3" xfId="6933"/>
    <cellStyle name="强调文字颜色 6 2 3 8" xfId="10139"/>
    <cellStyle name="强调文字颜色 6 2 3 9" xfId="29561"/>
    <cellStyle name="强调文字颜色 6 2 3 9 2" xfId="23555"/>
    <cellStyle name="强调文字颜色 6 2 3 9 3" xfId="23557"/>
    <cellStyle name="强调文字颜色 6 2 4" xfId="1241"/>
    <cellStyle name="强调文字颜色 6 2 4 10" xfId="29562"/>
    <cellStyle name="强调文字颜色 6 2 4 2" xfId="29564"/>
    <cellStyle name="强调文字颜色 6 2 4 2 2" xfId="9640"/>
    <cellStyle name="强调文字颜色 6 2 4 2 2 2" xfId="9642"/>
    <cellStyle name="强调文字颜色 6 2 4 2 2 2 2" xfId="18610"/>
    <cellStyle name="强调文字颜色 6 2 4 2 2 2 2 2" xfId="20143"/>
    <cellStyle name="强调文字颜色 6 2 4 2 2 2 2 3" xfId="9743"/>
    <cellStyle name="强调文字颜色 6 2 4 2 2 2 3" xfId="2269"/>
    <cellStyle name="强调文字颜色 6 2 4 2 2 2 3 2" xfId="2281"/>
    <cellStyle name="强调文字颜色 6 2 4 2 2 2 3 3" xfId="2365"/>
    <cellStyle name="强调文字颜色 6 2 4 2 2 2 4" xfId="2450"/>
    <cellStyle name="强调文字颜色 6 2 4 2 2 2 5" xfId="2545"/>
    <cellStyle name="强调文字颜色 6 2 4 2 2 2 5 2" xfId="20168"/>
    <cellStyle name="强调文字颜色 6 2 4 2 2 2 5 3" xfId="2578"/>
    <cellStyle name="强调文字颜色 6 2 4 2 2 2 6" xfId="29565"/>
    <cellStyle name="强调文字颜色 6 2 4 2 2 3" xfId="9649"/>
    <cellStyle name="强调文字颜色 6 2 4 2 2 3 2" xfId="18618"/>
    <cellStyle name="强调文字颜色 6 2 4 2 2 3 3" xfId="2634"/>
    <cellStyle name="强调文字颜色 6 2 4 2 2 4" xfId="551"/>
    <cellStyle name="强调文字颜色 6 2 4 2 2 4 2" xfId="18638"/>
    <cellStyle name="强调文字颜色 6 2 4 2 2 4 3" xfId="18644"/>
    <cellStyle name="强调文字颜色 6 2 4 2 2 5" xfId="1652"/>
    <cellStyle name="强调文字颜色 6 2 4 2 2 6" xfId="29566"/>
    <cellStyle name="强调文字颜色 6 2 4 2 2 6 2" xfId="12579"/>
    <cellStyle name="强调文字颜色 6 2 4 2 2 6 3" xfId="27174"/>
    <cellStyle name="强调文字颜色 6 2 4 2 2 7" xfId="29567"/>
    <cellStyle name="强调文字颜色 6 2 4 2 3" xfId="9654"/>
    <cellStyle name="强调文字颜色 6 2 4 2 3 2" xfId="28823"/>
    <cellStyle name="强调文字颜色 6 2 4 2 3 2 2" xfId="25598"/>
    <cellStyle name="强调文字颜色 6 2 4 2 3 2 3" xfId="29568"/>
    <cellStyle name="强调文字颜色 6 2 4 2 3 3" xfId="29569"/>
    <cellStyle name="强调文字颜色 6 2 4 2 3 3 2" xfId="29570"/>
    <cellStyle name="强调文字颜色 6 2 4 2 3 3 3" xfId="25252"/>
    <cellStyle name="强调文字颜色 6 2 4 2 3 4" xfId="29571"/>
    <cellStyle name="强调文字颜色 6 2 4 2 3 5" xfId="29572"/>
    <cellStyle name="强调文字颜色 6 2 4 2 3 5 2" xfId="27457"/>
    <cellStyle name="强调文字颜色 6 2 4 2 3 5 3" xfId="5691"/>
    <cellStyle name="强调文字颜色 6 2 4 2 3 6" xfId="29573"/>
    <cellStyle name="强调文字颜色 6 2 4 2 4" xfId="24675"/>
    <cellStyle name="强调文字颜色 6 2 4 2 4 2" xfId="24677"/>
    <cellStyle name="强调文字颜色 6 2 4 2 4 3" xfId="29574"/>
    <cellStyle name="强调文字颜色 6 2 4 2 5" xfId="29575"/>
    <cellStyle name="强调文字颜色 6 2 4 2 5 2" xfId="28829"/>
    <cellStyle name="强调文字颜色 6 2 4 2 5 3" xfId="29576"/>
    <cellStyle name="强调文字颜色 6 2 4 2 6" xfId="29577"/>
    <cellStyle name="强调文字颜色 6 2 4 2 7" xfId="29578"/>
    <cellStyle name="强调文字颜色 6 2 4 2 7 2" xfId="16342"/>
    <cellStyle name="强调文字颜色 6 2 4 2 7 3" xfId="16344"/>
    <cellStyle name="强调文字颜色 6 2 4 2 8" xfId="29579"/>
    <cellStyle name="强调文字颜色 6 2 4 3" xfId="29581"/>
    <cellStyle name="强调文字颜色 6 2 4 3 2" xfId="9664"/>
    <cellStyle name="强调文字颜色 6 2 4 3 2 2" xfId="28838"/>
    <cellStyle name="强调文字颜色 6 2 4 3 2 2 2" xfId="29582"/>
    <cellStyle name="强调文字颜色 6 2 4 3 2 2 3" xfId="29583"/>
    <cellStyle name="强调文字颜色 6 2 4 3 2 3" xfId="29584"/>
    <cellStyle name="强调文字颜色 6 2 4 3 2 3 2" xfId="29585"/>
    <cellStyle name="强调文字颜色 6 2 4 3 2 3 3" xfId="29586"/>
    <cellStyle name="强调文字颜色 6 2 4 3 2 4" xfId="13155"/>
    <cellStyle name="强调文字颜色 6 2 4 3 2 5" xfId="13157"/>
    <cellStyle name="强调文字颜色 6 2 4 3 2 5 2" xfId="5289"/>
    <cellStyle name="强调文字颜色 6 2 4 3 2 5 3" xfId="29587"/>
    <cellStyle name="强调文字颜色 6 2 4 3 2 6" xfId="13159"/>
    <cellStyle name="强调文字颜色 6 2 4 3 3" xfId="29589"/>
    <cellStyle name="强调文字颜色 6 2 4 3 3 2" xfId="29591"/>
    <cellStyle name="强调文字颜色 6 2 4 3 3 3" xfId="29592"/>
    <cellStyle name="强调文字颜色 6 2 4 3 4" xfId="29593"/>
    <cellStyle name="强调文字颜色 6 2 4 3 4 2" xfId="28847"/>
    <cellStyle name="强调文字颜色 6 2 4 3 4 3" xfId="29594"/>
    <cellStyle name="强调文字颜色 6 2 4 3 5" xfId="29595"/>
    <cellStyle name="强调文字颜色 6 2 4 3 6" xfId="29596"/>
    <cellStyle name="强调文字颜色 6 2 4 3 6 2" xfId="10832"/>
    <cellStyle name="强调文字颜色 6 2 4 3 6 3" xfId="29597"/>
    <cellStyle name="强调文字颜色 6 2 4 3 7" xfId="29598"/>
    <cellStyle name="强调文字颜色 6 2 4 4" xfId="29600"/>
    <cellStyle name="强调文字颜色 6 2 4 4 2" xfId="9672"/>
    <cellStyle name="强调文字颜色 6 2 4 4 2 2" xfId="11824"/>
    <cellStyle name="强调文字颜色 6 2 4 4 2 2 2" xfId="29602"/>
    <cellStyle name="强调文字颜色 6 2 4 4 2 2 3" xfId="29603"/>
    <cellStyle name="强调文字颜色 6 2 4 4 2 3" xfId="19538"/>
    <cellStyle name="强调文字颜色 6 2 4 4 2 3 2" xfId="29605"/>
    <cellStyle name="强调文字颜色 6 2 4 4 2 3 3" xfId="29607"/>
    <cellStyle name="强调文字颜色 6 2 4 4 2 4" xfId="19540"/>
    <cellStyle name="强调文字颜色 6 2 4 4 2 5" xfId="19542"/>
    <cellStyle name="强调文字颜色 6 2 4 4 2 5 2" xfId="29608"/>
    <cellStyle name="强调文字颜色 6 2 4 4 2 5 3" xfId="29609"/>
    <cellStyle name="强调文字颜色 6 2 4 4 2 6" xfId="19544"/>
    <cellStyle name="强调文字颜色 6 2 4 4 3" xfId="29610"/>
    <cellStyle name="强调文字颜色 6 2 4 4 3 2" xfId="29611"/>
    <cellStyle name="强调文字颜色 6 2 4 4 3 3" xfId="29612"/>
    <cellStyle name="强调文字颜色 6 2 4 4 4" xfId="29613"/>
    <cellStyle name="强调文字颜色 6 2 4 4 4 2" xfId="29614"/>
    <cellStyle name="强调文字颜色 6 2 4 4 4 3" xfId="29615"/>
    <cellStyle name="强调文字颜色 6 2 4 4 5" xfId="29616"/>
    <cellStyle name="强调文字颜色 6 2 4 4 6" xfId="29617"/>
    <cellStyle name="强调文字颜色 6 2 4 4 6 2" xfId="29618"/>
    <cellStyle name="强调文字颜色 6 2 4 4 6 3" xfId="29619"/>
    <cellStyle name="强调文字颜色 6 2 4 4 7" xfId="29620"/>
    <cellStyle name="强调文字颜色 6 2 4 5" xfId="29622"/>
    <cellStyle name="强调文字颜色 6 2 4 5 2" xfId="8168"/>
    <cellStyle name="强调文字颜色 6 2 4 5 2 2" xfId="29624"/>
    <cellStyle name="强调文字颜色 6 2 4 5 2 3" xfId="29625"/>
    <cellStyle name="强调文字颜色 6 2 4 5 3" xfId="10610"/>
    <cellStyle name="强调文字颜色 6 2 4 5 3 2" xfId="29626"/>
    <cellStyle name="强调文字颜色 6 2 4 5 3 3" xfId="29627"/>
    <cellStyle name="强调文字颜色 6 2 4 5 4" xfId="10614"/>
    <cellStyle name="强调文字颜色 6 2 4 5 5" xfId="12201"/>
    <cellStyle name="强调文字颜色 6 2 4 5 5 2" xfId="29628"/>
    <cellStyle name="强调文字颜色 6 2 4 5 5 3" xfId="29629"/>
    <cellStyle name="强调文字颜色 6 2 4 5 6" xfId="12213"/>
    <cellStyle name="强调文字颜色 6 2 4 6" xfId="29631"/>
    <cellStyle name="强调文字颜色 6 2 4 6 2" xfId="29632"/>
    <cellStyle name="强调文字颜色 6 2 4 6 3" xfId="29633"/>
    <cellStyle name="强调文字颜色 6 2 4 7" xfId="10145"/>
    <cellStyle name="强调文字颜色 6 2 4 7 2" xfId="29634"/>
    <cellStyle name="强调文字颜色 6 2 4 7 3" xfId="29635"/>
    <cellStyle name="强调文字颜色 6 2 4 8" xfId="10149"/>
    <cellStyle name="强调文字颜色 6 2 4 9" xfId="29636"/>
    <cellStyle name="强调文字颜色 6 2 4 9 2" xfId="29637"/>
    <cellStyle name="强调文字颜色 6 2 4 9 3" xfId="11626"/>
    <cellStyle name="强调文字颜色 6 2 5" xfId="2774"/>
    <cellStyle name="强调文字颜色 6 2 5 2" xfId="29639"/>
    <cellStyle name="强调文字颜色 6 2 5 2 2" xfId="2170"/>
    <cellStyle name="强调文字颜色 6 2 5 2 2 2" xfId="9732"/>
    <cellStyle name="强调文字颜色 6 2 5 2 2 2 2" xfId="3277"/>
    <cellStyle name="强调文字颜色 6 2 5 2 2 2 3" xfId="29152"/>
    <cellStyle name="强调文字颜色 6 2 5 2 2 3" xfId="8615"/>
    <cellStyle name="强调文字颜色 6 2 5 2 2 3 2" xfId="8619"/>
    <cellStyle name="强调文字颜色 6 2 5 2 2 3 3" xfId="8460"/>
    <cellStyle name="强调文字颜色 6 2 5 2 2 4" xfId="8632"/>
    <cellStyle name="强调文字颜色 6 2 5 2 2 5" xfId="8637"/>
    <cellStyle name="强调文字颜色 6 2 5 2 2 5 2" xfId="29640"/>
    <cellStyle name="强调文字颜色 6 2 5 2 2 5 3" xfId="28726"/>
    <cellStyle name="强调文字颜色 6 2 5 2 2 6" xfId="29642"/>
    <cellStyle name="强调文字颜色 6 2 5 2 3" xfId="9736"/>
    <cellStyle name="强调文字颜色 6 2 5 2 3 2" xfId="29161"/>
    <cellStyle name="强调文字颜色 6 2 5 2 3 3" xfId="8651"/>
    <cellStyle name="强调文字颜色 6 2 5 2 4" xfId="29643"/>
    <cellStyle name="强调文字颜色 6 2 5 2 4 2" xfId="28867"/>
    <cellStyle name="强调文字颜色 6 2 5 2 4 3" xfId="196"/>
    <cellStyle name="强调文字颜色 6 2 5 2 5" xfId="29644"/>
    <cellStyle name="强调文字颜色 6 2 5 2 6" xfId="29645"/>
    <cellStyle name="强调文字颜色 6 2 5 2 6 2" xfId="29646"/>
    <cellStyle name="强调文字颜色 6 2 5 2 6 3" xfId="29647"/>
    <cellStyle name="强调文字颜色 6 2 5 2 7" xfId="29648"/>
    <cellStyle name="强调文字颜色 6 2 5 3" xfId="29650"/>
    <cellStyle name="强调文字颜色 6 2 5 3 2" xfId="869"/>
    <cellStyle name="强调文字颜色 6 2 5 3 2 2" xfId="29174"/>
    <cellStyle name="强调文字颜色 6 2 5 3 2 3" xfId="29651"/>
    <cellStyle name="强调文字颜色 6 2 5 3 3" xfId="29652"/>
    <cellStyle name="强调文字颜色 6 2 5 3 3 2" xfId="29653"/>
    <cellStyle name="强调文字颜色 6 2 5 3 3 3" xfId="29654"/>
    <cellStyle name="强调文字颜色 6 2 5 3 4" xfId="29655"/>
    <cellStyle name="强调文字颜色 6 2 5 3 5" xfId="29656"/>
    <cellStyle name="强调文字颜色 6 2 5 3 5 2" xfId="29657"/>
    <cellStyle name="强调文字颜色 6 2 5 3 5 3" xfId="29658"/>
    <cellStyle name="强调文字颜色 6 2 5 3 6" xfId="29659"/>
    <cellStyle name="强调文字颜色 6 2 5 4" xfId="29660"/>
    <cellStyle name="强调文字颜色 6 2 5 4 2" xfId="9741"/>
    <cellStyle name="强调文字颜色 6 2 5 4 3" xfId="29661"/>
    <cellStyle name="强调文字颜色 6 2 5 5" xfId="29662"/>
    <cellStyle name="强调文字颜色 6 2 5 5 2" xfId="29663"/>
    <cellStyle name="强调文字颜色 6 2 5 5 3" xfId="29664"/>
    <cellStyle name="强调文字颜色 6 2 5 6" xfId="29665"/>
    <cellStyle name="强调文字颜色 6 2 5 7" xfId="29666"/>
    <cellStyle name="强调文字颜色 6 2 5 7 2" xfId="29667"/>
    <cellStyle name="强调文字颜色 6 2 5 7 3" xfId="29668"/>
    <cellStyle name="强调文字颜色 6 2 5 8" xfId="29669"/>
    <cellStyle name="强调文字颜色 6 2 6" xfId="11026"/>
    <cellStyle name="强调文字颜色 6 2 6 2" xfId="29671"/>
    <cellStyle name="强调文字颜色 6 2 6 2 2" xfId="2541"/>
    <cellStyle name="强调文字颜色 6 2 6 2 2 2" xfId="9809"/>
    <cellStyle name="强调文字颜色 6 2 6 2 2 3" xfId="5768"/>
    <cellStyle name="强调文字颜色 6 2 6 2 3" xfId="123"/>
    <cellStyle name="强调文字颜色 6 2 6 2 3 2" xfId="23938"/>
    <cellStyle name="强调文字颜色 6 2 6 2 3 3" xfId="5879"/>
    <cellStyle name="强调文字颜色 6 2 6 2 4" xfId="29672"/>
    <cellStyle name="强调文字颜色 6 2 6 2 5" xfId="29673"/>
    <cellStyle name="强调文字颜色 6 2 6 2 5 2" xfId="23955"/>
    <cellStyle name="强调文字颜色 6 2 6 2 5 3" xfId="23957"/>
    <cellStyle name="强调文字颜色 6 2 6 2 6" xfId="11380"/>
    <cellStyle name="强调文字颜色 6 2 6 3" xfId="29675"/>
    <cellStyle name="强调文字颜色 6 2 6 3 2" xfId="2614"/>
    <cellStyle name="强调文字颜色 6 2 6 3 3" xfId="29676"/>
    <cellStyle name="强调文字颜色 6 2 6 4" xfId="29677"/>
    <cellStyle name="强调文字颜色 6 2 6 4 2" xfId="9817"/>
    <cellStyle name="强调文字颜色 6 2 6 4 3" xfId="29678"/>
    <cellStyle name="强调文字颜色 6 2 6 5" xfId="29679"/>
    <cellStyle name="强调文字颜色 6 2 6 6" xfId="29680"/>
    <cellStyle name="强调文字颜色 6 2 6 6 2" xfId="29681"/>
    <cellStyle name="强调文字颜色 6 2 6 6 3" xfId="29682"/>
    <cellStyle name="强调文字颜色 6 2 6 7" xfId="29683"/>
    <cellStyle name="强调文字颜色 6 2 7" xfId="17119"/>
    <cellStyle name="强调文字颜色 6 2 7 2" xfId="29684"/>
    <cellStyle name="强调文字颜色 6 2 7 2 2" xfId="2409"/>
    <cellStyle name="强调文字颜色 6 2 7 2 2 2" xfId="29254"/>
    <cellStyle name="强调文字颜色 6 2 7 2 2 3" xfId="6179"/>
    <cellStyle name="强调文字颜色 6 2 7 2 3" xfId="14275"/>
    <cellStyle name="强调文字颜色 6 2 7 2 3 2" xfId="29685"/>
    <cellStyle name="强调文字颜色 6 2 7 2 3 3" xfId="6323"/>
    <cellStyle name="强调文字颜色 6 2 7 2 4" xfId="6017"/>
    <cellStyle name="强调文字颜色 6 2 7 2 5" xfId="6025"/>
    <cellStyle name="强调文字颜色 6 2 7 2 5 2" xfId="15095"/>
    <cellStyle name="强调文字颜色 6 2 7 2 5 3" xfId="6541"/>
    <cellStyle name="强调文字颜色 6 2 7 2 6" xfId="14760"/>
    <cellStyle name="强调文字颜色 6 2 7 3" xfId="8104"/>
    <cellStyle name="强调文字颜色 6 2 7 3 2" xfId="29686"/>
    <cellStyle name="强调文字颜色 6 2 7 3 3" xfId="19981"/>
    <cellStyle name="强调文字颜色 6 2 7 4" xfId="8106"/>
    <cellStyle name="强调文字颜色 6 2 7 4 2" xfId="29687"/>
    <cellStyle name="强调文字颜色 6 2 7 4 3" xfId="19984"/>
    <cellStyle name="强调文字颜色 6 2 7 5" xfId="29688"/>
    <cellStyle name="强调文字颜色 6 2 7 6" xfId="12028"/>
    <cellStyle name="强调文字颜色 6 2 7 6 2" xfId="12032"/>
    <cellStyle name="强调文字颜色 6 2 7 6 3" xfId="5525"/>
    <cellStyle name="强调文字颜色 6 2 7 7" xfId="12744"/>
    <cellStyle name="强调文字颜色 6 2 8" xfId="17124"/>
    <cellStyle name="强调文字颜色 6 2 8 2" xfId="29690"/>
    <cellStyle name="强调文字颜色 6 2 8 2 2" xfId="29691"/>
    <cellStyle name="强调文字颜色 6 2 8 2 3" xfId="20019"/>
    <cellStyle name="强调文字颜色 6 2 8 3" xfId="29488"/>
    <cellStyle name="强调文字颜色 6 2 8 3 2" xfId="29693"/>
    <cellStyle name="强调文字颜色 6 2 8 3 3" xfId="20026"/>
    <cellStyle name="强调文字颜色 6 2 8 4" xfId="29490"/>
    <cellStyle name="强调文字颜色 6 2 8 5" xfId="29694"/>
    <cellStyle name="强调文字颜色 6 2 8 5 2" xfId="29695"/>
    <cellStyle name="强调文字颜色 6 2 8 5 3" xfId="20037"/>
    <cellStyle name="强调文字颜色 6 2 8 6" xfId="12746"/>
    <cellStyle name="强调文字颜色 6 2 9" xfId="17129"/>
    <cellStyle name="强调文字颜色 6 2 9 2" xfId="12529"/>
    <cellStyle name="强调文字颜色 6 2 9 2 2" xfId="4353"/>
    <cellStyle name="强调文字颜色 6 2 9 2 3" xfId="29696"/>
    <cellStyle name="强调文字颜色 6 2 9 3" xfId="29492"/>
    <cellStyle name="强调文字颜色 6 2 9 4" xfId="29494"/>
    <cellStyle name="强调文字颜色 6 2 9 4 2" xfId="29697"/>
    <cellStyle name="强调文字颜色 6 2 9 4 3" xfId="29698"/>
    <cellStyle name="强调文字颜色 6 2 9 5" xfId="29699"/>
    <cellStyle name="强调文字颜色 6 3" xfId="25654"/>
    <cellStyle name="强调文字颜色 6 3 2" xfId="25656"/>
    <cellStyle name="强调文字颜色 6 3 3" xfId="25658"/>
    <cellStyle name="强调文字颜色 6 4" xfId="25661"/>
    <cellStyle name="适中 2" xfId="29700"/>
    <cellStyle name="适中 2 10" xfId="19877"/>
    <cellStyle name="适中 2 10 2" xfId="19879"/>
    <cellStyle name="适中 2 10 3" xfId="14923"/>
    <cellStyle name="适中 2 11" xfId="19881"/>
    <cellStyle name="适中 2 12" xfId="19884"/>
    <cellStyle name="适中 2 12 2" xfId="29701"/>
    <cellStyle name="适中 2 12 3" xfId="29702"/>
    <cellStyle name="适中 2 13" xfId="19886"/>
    <cellStyle name="适中 2 2" xfId="29703"/>
    <cellStyle name="适中 2 2 10" xfId="16256"/>
    <cellStyle name="适中 2 2 2" xfId="9591"/>
    <cellStyle name="适中 2 2 2 2" xfId="19967"/>
    <cellStyle name="适中 2 2 2 2 2" xfId="27805"/>
    <cellStyle name="适中 2 2 2 2 2 2" xfId="6800"/>
    <cellStyle name="适中 2 2 2 2 2 2 2" xfId="6805"/>
    <cellStyle name="适中 2 2 2 2 2 2 3" xfId="6875"/>
    <cellStyle name="适中 2 2 2 2 2 3" xfId="6622"/>
    <cellStyle name="适中 2 2 2 2 2 3 2" xfId="6631"/>
    <cellStyle name="适中 2 2 2 2 2 3 3" xfId="6690"/>
    <cellStyle name="适中 2 2 2 2 2 4" xfId="6725"/>
    <cellStyle name="适中 2 2 2 2 2 5" xfId="6765"/>
    <cellStyle name="适中 2 2 2 2 2 5 2" xfId="1657"/>
    <cellStyle name="适中 2 2 2 2 2 5 3" xfId="5886"/>
    <cellStyle name="适中 2 2 2 2 2 6" xfId="1964"/>
    <cellStyle name="适中 2 2 2 2 3" xfId="23409"/>
    <cellStyle name="适中 2 2 2 2 3 2" xfId="21990"/>
    <cellStyle name="适中 2 2 2 2 3 3" xfId="21994"/>
    <cellStyle name="适中 2 2 2 2 4" xfId="23411"/>
    <cellStyle name="适中 2 2 2 2 4 2" xfId="22007"/>
    <cellStyle name="适中 2 2 2 2 4 3" xfId="22011"/>
    <cellStyle name="适中 2 2 2 2 5" xfId="23413"/>
    <cellStyle name="适中 2 2 2 2 6" xfId="23415"/>
    <cellStyle name="适中 2 2 2 2 6 2" xfId="22051"/>
    <cellStyle name="适中 2 2 2 2 6 3" xfId="22055"/>
    <cellStyle name="适中 2 2 2 2 7" xfId="23418"/>
    <cellStyle name="适中 2 2 2 3" xfId="19969"/>
    <cellStyle name="适中 2 2 2 3 2" xfId="29704"/>
    <cellStyle name="适中 2 2 2 3 2 2" xfId="7159"/>
    <cellStyle name="适中 2 2 2 3 2 3" xfId="7211"/>
    <cellStyle name="适中 2 2 2 3 3" xfId="23424"/>
    <cellStyle name="适中 2 2 2 3 3 2" xfId="15136"/>
    <cellStyle name="适中 2 2 2 3 3 3" xfId="15140"/>
    <cellStyle name="适中 2 2 2 3 4" xfId="23426"/>
    <cellStyle name="适中 2 2 2 3 5" xfId="13287"/>
    <cellStyle name="适中 2 2 2 3 5 2" xfId="13291"/>
    <cellStyle name="适中 2 2 2 3 5 3" xfId="13296"/>
    <cellStyle name="适中 2 2 2 3 6" xfId="13306"/>
    <cellStyle name="适中 2 2 2 4" xfId="19971"/>
    <cellStyle name="适中 2 2 2 4 2" xfId="6399"/>
    <cellStyle name="适中 2 2 2 4 3" xfId="23430"/>
    <cellStyle name="适中 2 2 2 5" xfId="19974"/>
    <cellStyle name="适中 2 2 2 5 2" xfId="6401"/>
    <cellStyle name="适中 2 2 2 5 3" xfId="23442"/>
    <cellStyle name="适中 2 2 2 6" xfId="19977"/>
    <cellStyle name="适中 2 2 2 7" xfId="9041"/>
    <cellStyle name="适中 2 2 2 7 2" xfId="29705"/>
    <cellStyle name="适中 2 2 2 7 3" xfId="23457"/>
    <cellStyle name="适中 2 2 2 8" xfId="9046"/>
    <cellStyle name="适中 2 2 3" xfId="5068"/>
    <cellStyle name="适中 2 2 3 2" xfId="17027"/>
    <cellStyle name="适中 2 2 3 2 2" xfId="17031"/>
    <cellStyle name="适中 2 2 3 2 2 2" xfId="29706"/>
    <cellStyle name="适中 2 2 3 2 2 3" xfId="24628"/>
    <cellStyle name="适中 2 2 3 2 3" xfId="17034"/>
    <cellStyle name="适中 2 2 3 2 3 2" xfId="22188"/>
    <cellStyle name="适中 2 2 3 2 3 3" xfId="22191"/>
    <cellStyle name="适中 2 2 3 2 4" xfId="17037"/>
    <cellStyle name="适中 2 2 3 2 5" xfId="17040"/>
    <cellStyle name="适中 2 2 3 2 5 2" xfId="8024"/>
    <cellStyle name="适中 2 2 3 2 5 3" xfId="22206"/>
    <cellStyle name="适中 2 2 3 2 6" xfId="17042"/>
    <cellStyle name="适中 2 2 3 3" xfId="17048"/>
    <cellStyle name="适中 2 2 3 3 2" xfId="17051"/>
    <cellStyle name="适中 2 2 3 3 3" xfId="17053"/>
    <cellStyle name="适中 2 2 3 4" xfId="17060"/>
    <cellStyle name="适中 2 2 3 4 2" xfId="3755"/>
    <cellStyle name="适中 2 2 3 4 3" xfId="6547"/>
    <cellStyle name="适中 2 2 3 5" xfId="17069"/>
    <cellStyle name="适中 2 2 3 6" xfId="57"/>
    <cellStyle name="适中 2 2 3 6 2" xfId="17075"/>
    <cellStyle name="适中 2 2 3 6 3" xfId="17077"/>
    <cellStyle name="适中 2 2 3 7" xfId="6788"/>
    <cellStyle name="适中 2 2 4" xfId="3023"/>
    <cellStyle name="适中 2 2 4 2" xfId="1240"/>
    <cellStyle name="适中 2 2 4 2 2" xfId="29563"/>
    <cellStyle name="适中 2 2 4 2 2 2" xfId="9639"/>
    <cellStyle name="适中 2 2 4 2 2 3" xfId="9653"/>
    <cellStyle name="适中 2 2 4 2 3" xfId="29580"/>
    <cellStyle name="适中 2 2 4 2 3 2" xfId="9663"/>
    <cellStyle name="适中 2 2 4 2 3 3" xfId="29588"/>
    <cellStyle name="适中 2 2 4 2 4" xfId="29599"/>
    <cellStyle name="适中 2 2 4 2 5" xfId="29621"/>
    <cellStyle name="适中 2 2 4 2 5 2" xfId="8167"/>
    <cellStyle name="适中 2 2 4 2 5 3" xfId="10609"/>
    <cellStyle name="适中 2 2 4 2 6" xfId="29630"/>
    <cellStyle name="适中 2 2 4 3" xfId="2773"/>
    <cellStyle name="适中 2 2 4 3 2" xfId="29638"/>
    <cellStyle name="适中 2 2 4 3 3" xfId="29649"/>
    <cellStyle name="适中 2 2 4 4" xfId="11025"/>
    <cellStyle name="适中 2 2 4 4 2" xfId="29670"/>
    <cellStyle name="适中 2 2 4 4 3" xfId="29674"/>
    <cellStyle name="适中 2 2 4 5" xfId="17118"/>
    <cellStyle name="适中 2 2 4 6" xfId="17123"/>
    <cellStyle name="适中 2 2 4 6 2" xfId="29689"/>
    <cellStyle name="适中 2 2 4 6 3" xfId="29487"/>
    <cellStyle name="适中 2 2 4 7" xfId="17128"/>
    <cellStyle name="适中 2 2 5" xfId="3036"/>
    <cellStyle name="适中 2 2 5 2" xfId="17136"/>
    <cellStyle name="适中 2 2 5 2 2" xfId="29707"/>
    <cellStyle name="适中 2 2 5 2 3" xfId="29708"/>
    <cellStyle name="适中 2 2 5 3" xfId="17139"/>
    <cellStyle name="适中 2 2 5 3 2" xfId="29709"/>
    <cellStyle name="适中 2 2 5 3 3" xfId="29710"/>
    <cellStyle name="适中 2 2 5 4" xfId="17142"/>
    <cellStyle name="适中 2 2 5 5" xfId="17145"/>
    <cellStyle name="适中 2 2 5 5 2" xfId="184"/>
    <cellStyle name="适中 2 2 5 5 3" xfId="11289"/>
    <cellStyle name="适中 2 2 5 6" xfId="5278"/>
    <cellStyle name="适中 2 2 6" xfId="4131"/>
    <cellStyle name="适中 2 2 6 2" xfId="4136"/>
    <cellStyle name="适中 2 2 6 3" xfId="4140"/>
    <cellStyle name="适中 2 2 7" xfId="2704"/>
    <cellStyle name="适中 2 2 7 2" xfId="17163"/>
    <cellStyle name="适中 2 2 7 3" xfId="17167"/>
    <cellStyle name="适中 2 2 8" xfId="2709"/>
    <cellStyle name="适中 2 2 9" xfId="4977"/>
    <cellStyle name="适中 2 2 9 2" xfId="17181"/>
    <cellStyle name="适中 2 2 9 3" xfId="17184"/>
    <cellStyle name="适中 2 3" xfId="29711"/>
    <cellStyle name="适中 2 3 10" xfId="10562"/>
    <cellStyle name="适中 2 3 2" xfId="9608"/>
    <cellStyle name="适中 2 3 2 2" xfId="25899"/>
    <cellStyle name="适中 2 3 2 2 2" xfId="25901"/>
    <cellStyle name="适中 2 3 2 2 2 2" xfId="23522"/>
    <cellStyle name="适中 2 3 2 2 2 2 2" xfId="29712"/>
    <cellStyle name="适中 2 3 2 2 2 2 3" xfId="29713"/>
    <cellStyle name="适中 2 3 2 2 2 3" xfId="24796"/>
    <cellStyle name="适中 2 3 2 2 2 3 2" xfId="24798"/>
    <cellStyle name="适中 2 3 2 2 2 3 3" xfId="24800"/>
    <cellStyle name="适中 2 3 2 2 2 4" xfId="24802"/>
    <cellStyle name="适中 2 3 2 2 2 5" xfId="24811"/>
    <cellStyle name="适中 2 3 2 2 2 5 2" xfId="29714"/>
    <cellStyle name="适中 2 3 2 2 2 5 3" xfId="15843"/>
    <cellStyle name="适中 2 3 2 2 2 6" xfId="29715"/>
    <cellStyle name="适中 2 3 2 2 3" xfId="29716"/>
    <cellStyle name="适中 2 3 2 2 3 2" xfId="19469"/>
    <cellStyle name="适中 2 3 2 2 3 3" xfId="22831"/>
    <cellStyle name="适中 2 3 2 2 4" xfId="29717"/>
    <cellStyle name="适中 2 3 2 2 4 2" xfId="22841"/>
    <cellStyle name="适中 2 3 2 2 4 3" xfId="22843"/>
    <cellStyle name="适中 2 3 2 2 5" xfId="29718"/>
    <cellStyle name="适中 2 3 2 2 6" xfId="29719"/>
    <cellStyle name="适中 2 3 2 2 6 2" xfId="22860"/>
    <cellStyle name="适中 2 3 2 2 6 3" xfId="22862"/>
    <cellStyle name="适中 2 3 2 2 7" xfId="29721"/>
    <cellStyle name="适中 2 3 2 3" xfId="29722"/>
    <cellStyle name="适中 2 3 2 3 2" xfId="940"/>
    <cellStyle name="适中 2 3 2 3 2 2" xfId="945"/>
    <cellStyle name="适中 2 3 2 3 2 3" xfId="1010"/>
    <cellStyle name="适中 2 3 2 3 3" xfId="1028"/>
    <cellStyle name="适中 2 3 2 3 3 2" xfId="1032"/>
    <cellStyle name="适中 2 3 2 3 3 3" xfId="1050"/>
    <cellStyle name="适中 2 3 2 3 4" xfId="1060"/>
    <cellStyle name="适中 2 3 2 3 5" xfId="1079"/>
    <cellStyle name="适中 2 3 2 3 5 2" xfId="128"/>
    <cellStyle name="适中 2 3 2 3 5 3" xfId="15996"/>
    <cellStyle name="适中 2 3 2 3 6" xfId="2877"/>
    <cellStyle name="适中 2 3 2 4" xfId="29723"/>
    <cellStyle name="适中 2 3 2 4 2" xfId="1111"/>
    <cellStyle name="适中 2 3 2 4 3" xfId="29724"/>
    <cellStyle name="适中 2 3 2 5" xfId="29725"/>
    <cellStyle name="适中 2 3 2 5 2" xfId="1176"/>
    <cellStyle name="适中 2 3 2 5 3" xfId="29726"/>
    <cellStyle name="适中 2 3 2 6" xfId="29727"/>
    <cellStyle name="适中 2 3 2 7" xfId="29728"/>
    <cellStyle name="适中 2 3 2 7 2" xfId="1273"/>
    <cellStyle name="适中 2 3 2 7 3" xfId="1278"/>
    <cellStyle name="适中 2 3 2 8" xfId="29730"/>
    <cellStyle name="适中 2 3 3" xfId="9614"/>
    <cellStyle name="适中 2 3 3 2" xfId="17240"/>
    <cellStyle name="适中 2 3 3 2 2" xfId="29731"/>
    <cellStyle name="适中 2 3 3 2 2 2" xfId="29732"/>
    <cellStyle name="适中 2 3 3 2 2 3" xfId="24844"/>
    <cellStyle name="适中 2 3 3 2 3" xfId="29733"/>
    <cellStyle name="适中 2 3 3 2 3 2" xfId="29734"/>
    <cellStyle name="适中 2 3 3 2 3 3" xfId="29735"/>
    <cellStyle name="适中 2 3 3 2 4" xfId="29736"/>
    <cellStyle name="适中 2 3 3 2 5" xfId="29737"/>
    <cellStyle name="适中 2 3 3 2 5 2" xfId="26228"/>
    <cellStyle name="适中 2 3 3 2 5 3" xfId="29738"/>
    <cellStyle name="适中 2 3 3 2 6" xfId="29739"/>
    <cellStyle name="适中 2 3 3 3" xfId="1302"/>
    <cellStyle name="适中 2 3 3 3 2" xfId="29740"/>
    <cellStyle name="适中 2 3 3 3 3" xfId="29741"/>
    <cellStyle name="适中 2 3 3 4" xfId="1410"/>
    <cellStyle name="适中 2 3 3 4 2" xfId="1416"/>
    <cellStyle name="适中 2 3 3 4 3" xfId="29742"/>
    <cellStyle name="适中 2 3 3 5" xfId="1474"/>
    <cellStyle name="适中 2 3 3 6" xfId="1584"/>
    <cellStyle name="适中 2 3 3 6 2" xfId="29743"/>
    <cellStyle name="适中 2 3 3 6 3" xfId="29538"/>
    <cellStyle name="适中 2 3 3 7" xfId="1609"/>
    <cellStyle name="适中 2 3 4" xfId="1797"/>
    <cellStyle name="适中 2 3 4 2" xfId="17242"/>
    <cellStyle name="适中 2 3 4 2 2" xfId="29744"/>
    <cellStyle name="适中 2 3 4 2 2 2" xfId="9930"/>
    <cellStyle name="适中 2 3 4 2 2 3" xfId="9940"/>
    <cellStyle name="适中 2 3 4 2 3" xfId="29745"/>
    <cellStyle name="适中 2 3 4 2 3 2" xfId="9523"/>
    <cellStyle name="适中 2 3 4 2 3 3" xfId="29747"/>
    <cellStyle name="适中 2 3 4 2 4" xfId="29748"/>
    <cellStyle name="适中 2 3 4 2 5" xfId="29749"/>
    <cellStyle name="适中 2 3 4 2 5 2" xfId="29750"/>
    <cellStyle name="适中 2 3 4 2 5 3" xfId="29751"/>
    <cellStyle name="适中 2 3 4 2 6" xfId="29752"/>
    <cellStyle name="适中 2 3 4 3" xfId="1641"/>
    <cellStyle name="适中 2 3 4 3 2" xfId="29753"/>
    <cellStyle name="适中 2 3 4 3 3" xfId="29754"/>
    <cellStyle name="适中 2 3 4 4" xfId="1709"/>
    <cellStyle name="适中 2 3 4 4 2" xfId="29755"/>
    <cellStyle name="适中 2 3 4 4 3" xfId="29756"/>
    <cellStyle name="适中 2 3 4 5" xfId="1754"/>
    <cellStyle name="适中 2 3 4 6" xfId="1779"/>
    <cellStyle name="适中 2 3 4 6 2" xfId="29757"/>
    <cellStyle name="适中 2 3 4 6 3" xfId="25833"/>
    <cellStyle name="适中 2 3 4 7" xfId="17244"/>
    <cellStyle name="适中 2 3 5" xfId="1806"/>
    <cellStyle name="适中 2 3 5 2" xfId="17248"/>
    <cellStyle name="适中 2 3 5 2 2" xfId="29759"/>
    <cellStyle name="适中 2 3 5 2 3" xfId="6638"/>
    <cellStyle name="适中 2 3 5 3" xfId="1791"/>
    <cellStyle name="适中 2 3 5 3 2" xfId="29761"/>
    <cellStyle name="适中 2 3 5 3 3" xfId="1821"/>
    <cellStyle name="适中 2 3 5 4" xfId="332"/>
    <cellStyle name="适中 2 3 5 5" xfId="1670"/>
    <cellStyle name="适中 2 3 5 5 2" xfId="29763"/>
    <cellStyle name="适中 2 3 5 5 3" xfId="1696"/>
    <cellStyle name="适中 2 3 5 6" xfId="17251"/>
    <cellStyle name="适中 2 3 6" xfId="4142"/>
    <cellStyle name="适中 2 3 6 2" xfId="17258"/>
    <cellStyle name="适中 2 3 6 3" xfId="1842"/>
    <cellStyle name="适中 2 3 7" xfId="4161"/>
    <cellStyle name="适中 2 3 7 2" xfId="17261"/>
    <cellStyle name="适中 2 3 7 3" xfId="1896"/>
    <cellStyle name="适中 2 3 8" xfId="4496"/>
    <cellStyle name="适中 2 3 9" xfId="4992"/>
    <cellStyle name="适中 2 3 9 2" xfId="17268"/>
    <cellStyle name="适中 2 3 9 3" xfId="17271"/>
    <cellStyle name="适中 2 4" xfId="29764"/>
    <cellStyle name="适中 2 4 10" xfId="27932"/>
    <cellStyle name="适中 2 4 2" xfId="156"/>
    <cellStyle name="适中 2 4 2 2" xfId="18463"/>
    <cellStyle name="适中 2 4 2 2 2" xfId="21764"/>
    <cellStyle name="适中 2 4 2 2 2 2" xfId="29765"/>
    <cellStyle name="适中 2 4 2 2 2 2 2" xfId="1763"/>
    <cellStyle name="适中 2 4 2 2 2 2 3" xfId="1773"/>
    <cellStyle name="适中 2 4 2 2 2 3" xfId="24904"/>
    <cellStyle name="适中 2 4 2 2 2 3 2" xfId="4704"/>
    <cellStyle name="适中 2 4 2 2 2 3 3" xfId="4712"/>
    <cellStyle name="适中 2 4 2 2 2 4" xfId="24906"/>
    <cellStyle name="适中 2 4 2 2 2 5" xfId="29766"/>
    <cellStyle name="适中 2 4 2 2 2 5 2" xfId="1563"/>
    <cellStyle name="适中 2 4 2 2 2 5 3" xfId="6067"/>
    <cellStyle name="适中 2 4 2 2 2 6" xfId="29767"/>
    <cellStyle name="适中 2 4 2 2 3" xfId="21766"/>
    <cellStyle name="适中 2 4 2 2 3 2" xfId="23417"/>
    <cellStyle name="适中 2 4 2 2 3 3" xfId="23420"/>
    <cellStyle name="适中 2 4 2 2 4" xfId="21768"/>
    <cellStyle name="适中 2 4 2 2 4 2" xfId="13323"/>
    <cellStyle name="适中 2 4 2 2 4 3" xfId="13331"/>
    <cellStyle name="适中 2 4 2 2 5" xfId="3771"/>
    <cellStyle name="适中 2 4 2 2 6" xfId="3816"/>
    <cellStyle name="适中 2 4 2 2 6 2" xfId="12607"/>
    <cellStyle name="适中 2 4 2 2 6 3" xfId="11126"/>
    <cellStyle name="适中 2 4 2 2 7" xfId="13126"/>
    <cellStyle name="适中 2 4 2 3" xfId="29768"/>
    <cellStyle name="适中 2 4 2 3 2" xfId="21774"/>
    <cellStyle name="适中 2 4 2 3 2 2" xfId="29769"/>
    <cellStyle name="适中 2 4 2 3 2 3" xfId="29770"/>
    <cellStyle name="适中 2 4 2 3 3" xfId="21776"/>
    <cellStyle name="适中 2 4 2 3 3 2" xfId="17044"/>
    <cellStyle name="适中 2 4 2 3 3 3" xfId="17046"/>
    <cellStyle name="适中 2 4 2 3 4" xfId="21778"/>
    <cellStyle name="适中 2 4 2 3 5" xfId="13143"/>
    <cellStyle name="适中 2 4 2 3 5 2" xfId="17065"/>
    <cellStyle name="适中 2 4 2 3 5 3" xfId="17067"/>
    <cellStyle name="适中 2 4 2 3 6" xfId="12126"/>
    <cellStyle name="适中 2 4 2 4" xfId="29771"/>
    <cellStyle name="适中 2 4 2 4 2" xfId="7935"/>
    <cellStyle name="适中 2 4 2 4 3" xfId="10142"/>
    <cellStyle name="适中 2 4 2 5" xfId="28832"/>
    <cellStyle name="适中 2 4 2 5 2" xfId="7945"/>
    <cellStyle name="适中 2 4 2 5 3" xfId="9658"/>
    <cellStyle name="适中 2 4 2 6" xfId="28834"/>
    <cellStyle name="适中 2 4 2 7" xfId="28841"/>
    <cellStyle name="适中 2 4 2 7 2" xfId="29772"/>
    <cellStyle name="适中 2 4 2 7 3" xfId="29590"/>
    <cellStyle name="适中 2 4 2 8" xfId="28844"/>
    <cellStyle name="适中 2 4 3" xfId="14782"/>
    <cellStyle name="适中 2 4 3 2" xfId="18474"/>
    <cellStyle name="适中 2 4 3 2 2" xfId="23678"/>
    <cellStyle name="适中 2 4 3 2 2 2" xfId="29773"/>
    <cellStyle name="适中 2 4 3 2 2 3" xfId="29774"/>
    <cellStyle name="适中 2 4 3 2 3" xfId="23680"/>
    <cellStyle name="适中 2 4 3 2 3 2" xfId="29720"/>
    <cellStyle name="适中 2 4 3 2 3 3" xfId="29775"/>
    <cellStyle name="适中 2 4 3 2 4" xfId="23682"/>
    <cellStyle name="适中 2 4 3 2 5" xfId="29776"/>
    <cellStyle name="适中 2 4 3 2 5 2" xfId="26665"/>
    <cellStyle name="适中 2 4 3 2 5 3" xfId="29777"/>
    <cellStyle name="适中 2 4 3 2 6" xfId="26300"/>
    <cellStyle name="适中 2 4 3 3" xfId="29778"/>
    <cellStyle name="适中 2 4 3 3 2" xfId="29779"/>
    <cellStyle name="适中 2 4 3 3 3" xfId="29780"/>
    <cellStyle name="适中 2 4 3 4" xfId="19517"/>
    <cellStyle name="适中 2 4 3 4 2" xfId="7971"/>
    <cellStyle name="适中 2 4 3 4 3" xfId="19519"/>
    <cellStyle name="适中 2 4 3 5" xfId="19526"/>
    <cellStyle name="适中 2 4 3 6" xfId="19535"/>
    <cellStyle name="适中 2 4 3 6 2" xfId="11817"/>
    <cellStyle name="适中 2 4 3 6 3" xfId="11823"/>
    <cellStyle name="适中 2 4 3 7" xfId="19546"/>
    <cellStyle name="适中 2 4 4" xfId="14788"/>
    <cellStyle name="适中 2 4 4 2" xfId="18481"/>
    <cellStyle name="适中 2 4 4 2 2" xfId="17548"/>
    <cellStyle name="适中 2 4 4 2 2 2" xfId="13117"/>
    <cellStyle name="适中 2 4 4 2 2 3" xfId="13119"/>
    <cellStyle name="适中 2 4 4 2 3" xfId="17552"/>
    <cellStyle name="适中 2 4 4 2 3 2" xfId="13125"/>
    <cellStyle name="适中 2 4 4 2 3 3" xfId="13130"/>
    <cellStyle name="适中 2 4 4 2 4" xfId="29781"/>
    <cellStyle name="适中 2 4 4 2 5" xfId="29782"/>
    <cellStyle name="适中 2 4 4 2 5 2" xfId="4217"/>
    <cellStyle name="适中 2 4 4 2 5 3" xfId="4243"/>
    <cellStyle name="适中 2 4 4 2 6" xfId="4255"/>
    <cellStyle name="适中 2 4 4 3" xfId="29783"/>
    <cellStyle name="适中 2 4 4 3 2" xfId="29784"/>
    <cellStyle name="适中 2 4 4 3 3" xfId="12988"/>
    <cellStyle name="适中 2 4 4 4" xfId="29785"/>
    <cellStyle name="适中 2 4 4 4 2" xfId="18733"/>
    <cellStyle name="适中 2 4 4 4 3" xfId="29786"/>
    <cellStyle name="适中 2 4 4 5" xfId="28852"/>
    <cellStyle name="适中 2 4 4 6" xfId="28854"/>
    <cellStyle name="适中 2 4 4 6 2" xfId="29787"/>
    <cellStyle name="适中 2 4 4 6 3" xfId="29623"/>
    <cellStyle name="适中 2 4 4 7" xfId="29788"/>
    <cellStyle name="适中 2 4 5" xfId="14793"/>
    <cellStyle name="适中 2 4 5 2" xfId="18488"/>
    <cellStyle name="适中 2 4 5 2 2" xfId="29790"/>
    <cellStyle name="适中 2 4 5 2 3" xfId="29792"/>
    <cellStyle name="适中 2 4 5 3" xfId="29794"/>
    <cellStyle name="适中 2 4 5 3 2" xfId="29796"/>
    <cellStyle name="适中 2 4 5 3 3" xfId="29798"/>
    <cellStyle name="适中 2 4 5 4" xfId="86"/>
    <cellStyle name="适中 2 4 5 5" xfId="29800"/>
    <cellStyle name="适中 2 4 5 5 2" xfId="29802"/>
    <cellStyle name="适中 2 4 5 5 3" xfId="29804"/>
    <cellStyle name="适中 2 4 5 6" xfId="29806"/>
    <cellStyle name="适中 2 4 6" xfId="17297"/>
    <cellStyle name="适中 2 4 6 2" xfId="18499"/>
    <cellStyle name="适中 2 4 6 3" xfId="29808"/>
    <cellStyle name="适中 2 4 7" xfId="17299"/>
    <cellStyle name="适中 2 4 7 2" xfId="29810"/>
    <cellStyle name="适中 2 4 7 3" xfId="29812"/>
    <cellStyle name="适中 2 4 8" xfId="17301"/>
    <cellStyle name="适中 2 4 9" xfId="17303"/>
    <cellStyle name="适中 2 4 9 2" xfId="29814"/>
    <cellStyle name="适中 2 4 9 3" xfId="29816"/>
    <cellStyle name="适中 2 5" xfId="29817"/>
    <cellStyle name="适中 2 5 2" xfId="14811"/>
    <cellStyle name="适中 2 5 2 2" xfId="29819"/>
    <cellStyle name="适中 2 5 2 2 2" xfId="29820"/>
    <cellStyle name="适中 2 5 2 2 2 2" xfId="29821"/>
    <cellStyle name="适中 2 5 2 2 2 3" xfId="29822"/>
    <cellStyle name="适中 2 5 2 2 3" xfId="28634"/>
    <cellStyle name="适中 2 5 2 2 3 2" xfId="29823"/>
    <cellStyle name="适中 2 5 2 2 3 3" xfId="29824"/>
    <cellStyle name="适中 2 5 2 2 4" xfId="28636"/>
    <cellStyle name="适中 2 5 2 2 5" xfId="29825"/>
    <cellStyle name="适中 2 5 2 2 5 2" xfId="29826"/>
    <cellStyle name="适中 2 5 2 2 5 3" xfId="29827"/>
    <cellStyle name="适中 2 5 2 2 6" xfId="29828"/>
    <cellStyle name="适中 2 5 2 3" xfId="29830"/>
    <cellStyle name="适中 2 5 2 3 2" xfId="29832"/>
    <cellStyle name="适中 2 5 2 3 3" xfId="28639"/>
    <cellStyle name="适中 2 5 2 4" xfId="29834"/>
    <cellStyle name="适中 2 5 2 4 2" xfId="8082"/>
    <cellStyle name="适中 2 5 2 4 3" xfId="300"/>
    <cellStyle name="适中 2 5 2 5" xfId="28872"/>
    <cellStyle name="适中 2 5 2 6" xfId="28874"/>
    <cellStyle name="适中 2 5 2 6 2" xfId="29169"/>
    <cellStyle name="适中 2 5 2 6 3" xfId="29173"/>
    <cellStyle name="适中 2 5 2 7" xfId="29835"/>
    <cellStyle name="适中 2 5 3" xfId="14816"/>
    <cellStyle name="适中 2 5 3 2" xfId="29837"/>
    <cellStyle name="适中 2 5 3 2 2" xfId="29839"/>
    <cellStyle name="适中 2 5 3 2 3" xfId="29841"/>
    <cellStyle name="适中 2 5 3 3" xfId="29843"/>
    <cellStyle name="适中 2 5 3 3 2" xfId="29846"/>
    <cellStyle name="适中 2 5 3 3 3" xfId="28676"/>
    <cellStyle name="适中 2 5 3 4" xfId="29848"/>
    <cellStyle name="适中 2 5 3 5" xfId="28876"/>
    <cellStyle name="适中 2 5 3 5 2" xfId="29850"/>
    <cellStyle name="适中 2 5 3 5 3" xfId="29852"/>
    <cellStyle name="适中 2 5 3 6" xfId="28878"/>
    <cellStyle name="适中 2 5 4" xfId="14822"/>
    <cellStyle name="适中 2 5 4 2" xfId="29854"/>
    <cellStyle name="适中 2 5 4 3" xfId="29856"/>
    <cellStyle name="适中 2 5 5" xfId="14826"/>
    <cellStyle name="适中 2 5 5 2" xfId="29859"/>
    <cellStyle name="适中 2 5 5 3" xfId="29862"/>
    <cellStyle name="适中 2 5 6" xfId="17308"/>
    <cellStyle name="适中 2 5 7" xfId="17310"/>
    <cellStyle name="适中 2 5 7 2" xfId="29864"/>
    <cellStyle name="适中 2 5 7 3" xfId="29866"/>
    <cellStyle name="适中 2 5 8" xfId="17312"/>
    <cellStyle name="适中 2 6" xfId="29867"/>
    <cellStyle name="适中 2 6 2" xfId="228"/>
    <cellStyle name="适中 2 6 2 2" xfId="9267"/>
    <cellStyle name="适中 2 6 2 2 2" xfId="9270"/>
    <cellStyle name="适中 2 6 2 2 3" xfId="9374"/>
    <cellStyle name="适中 2 6 2 3" xfId="29868"/>
    <cellStyle name="适中 2 6 2 3 2" xfId="17838"/>
    <cellStyle name="适中 2 6 2 3 3" xfId="17841"/>
    <cellStyle name="适中 2 6 2 4" xfId="29869"/>
    <cellStyle name="适中 2 6 2 5" xfId="28892"/>
    <cellStyle name="适中 2 6 2 5 2" xfId="828"/>
    <cellStyle name="适中 2 6 2 5 3" xfId="2596"/>
    <cellStyle name="适中 2 6 2 6" xfId="28894"/>
    <cellStyle name="适中 2 6 3" xfId="483"/>
    <cellStyle name="适中 2 6 3 2" xfId="9531"/>
    <cellStyle name="适中 2 6 3 3" xfId="29870"/>
    <cellStyle name="适中 2 6 4" xfId="516"/>
    <cellStyle name="适中 2 6 4 2" xfId="9867"/>
    <cellStyle name="适中 2 6 4 3" xfId="29871"/>
    <cellStyle name="适中 2 6 5" xfId="14830"/>
    <cellStyle name="适中 2 6 6" xfId="17315"/>
    <cellStyle name="适中 2 6 6 2" xfId="10476"/>
    <cellStyle name="适中 2 6 6 3" xfId="10490"/>
    <cellStyle name="适中 2 6 7" xfId="17317"/>
    <cellStyle name="适中 2 7" xfId="29872"/>
    <cellStyle name="适中 2 7 2" xfId="14845"/>
    <cellStyle name="适中 2 7 2 2" xfId="29873"/>
    <cellStyle name="适中 2 7 2 2 2" xfId="15059"/>
    <cellStyle name="适中 2 7 2 2 3" xfId="29874"/>
    <cellStyle name="适中 2 7 2 3" xfId="29875"/>
    <cellStyle name="适中 2 7 2 3 2" xfId="15070"/>
    <cellStyle name="适中 2 7 2 3 3" xfId="29876"/>
    <cellStyle name="适中 2 7 2 4" xfId="29877"/>
    <cellStyle name="适中 2 7 2 5" xfId="28910"/>
    <cellStyle name="适中 2 7 2 5 2" xfId="1233"/>
    <cellStyle name="适中 2 7 2 5 3" xfId="29878"/>
    <cellStyle name="适中 2 7 2 6" xfId="28912"/>
    <cellStyle name="适中 2 7 3" xfId="14849"/>
    <cellStyle name="适中 2 7 3 2" xfId="29879"/>
    <cellStyle name="适中 2 7 3 3" xfId="29880"/>
    <cellStyle name="适中 2 7 4" xfId="11579"/>
    <cellStyle name="适中 2 7 4 2" xfId="29881"/>
    <cellStyle name="适中 2 7 4 3" xfId="29882"/>
    <cellStyle name="适中 2 7 5" xfId="11584"/>
    <cellStyle name="适中 2 7 6" xfId="17321"/>
    <cellStyle name="适中 2 7 6 2" xfId="10543"/>
    <cellStyle name="适中 2 7 6 3" xfId="29884"/>
    <cellStyle name="适中 2 7 7" xfId="17323"/>
    <cellStyle name="适中 2 8" xfId="9452"/>
    <cellStyle name="适中 2 8 2" xfId="9800"/>
    <cellStyle name="适中 2 8 2 2" xfId="11668"/>
    <cellStyle name="适中 2 8 2 3" xfId="11695"/>
    <cellStyle name="适中 2 8 3" xfId="14861"/>
    <cellStyle name="适中 2 8 3 2" xfId="29885"/>
    <cellStyle name="适中 2 8 3 3" xfId="29886"/>
    <cellStyle name="适中 2 8 4" xfId="29887"/>
    <cellStyle name="适中 2 8 5" xfId="29888"/>
    <cellStyle name="适中 2 8 5 2" xfId="29890"/>
    <cellStyle name="适中 2 8 5 3" xfId="29892"/>
    <cellStyle name="适中 2 8 6" xfId="29893"/>
    <cellStyle name="适中 2 9" xfId="9454"/>
    <cellStyle name="适中 2 9 2" xfId="8984"/>
    <cellStyle name="适中 2 9 2 2" xfId="17461"/>
    <cellStyle name="适中 2 9 2 3" xfId="29894"/>
    <cellStyle name="适中 2 9 3" xfId="13370"/>
    <cellStyle name="适中 2 9 4" xfId="13374"/>
    <cellStyle name="适中 2 9 4 2" xfId="17493"/>
    <cellStyle name="适中 2 9 4 3" xfId="29895"/>
    <cellStyle name="适中 2 9 5" xfId="13377"/>
    <cellStyle name="适中 3" xfId="29896"/>
    <cellStyle name="适中 3 2" xfId="29897"/>
    <cellStyle name="适中 3 3" xfId="29898"/>
    <cellStyle name="适中 4" xfId="29899"/>
    <cellStyle name="输出 2" xfId="29900"/>
    <cellStyle name="输出 2 10" xfId="6927"/>
    <cellStyle name="输出 2 10 2" xfId="29901"/>
    <cellStyle name="输出 2 10 3" xfId="29902"/>
    <cellStyle name="输出 2 11" xfId="6906"/>
    <cellStyle name="输出 2 12" xfId="29903"/>
    <cellStyle name="输出 2 12 2" xfId="29904"/>
    <cellStyle name="输出 2 12 3" xfId="29905"/>
    <cellStyle name="输出 2 13" xfId="29906"/>
    <cellStyle name="输出 2 2" xfId="17395"/>
    <cellStyle name="输出 2 2 10" xfId="29907"/>
    <cellStyle name="输出 2 2 2" xfId="13365"/>
    <cellStyle name="输出 2 2 2 2" xfId="29908"/>
    <cellStyle name="输出 2 2 2 2 2" xfId="26979"/>
    <cellStyle name="输出 2 2 2 2 2 2" xfId="26981"/>
    <cellStyle name="输出 2 2 2 2 2 2 2" xfId="23846"/>
    <cellStyle name="输出 2 2 2 2 2 2 3" xfId="23848"/>
    <cellStyle name="输出 2 2 2 2 2 3" xfId="26983"/>
    <cellStyle name="输出 2 2 2 2 2 3 2" xfId="23858"/>
    <cellStyle name="输出 2 2 2 2 2 3 3" xfId="23860"/>
    <cellStyle name="输出 2 2 2 2 2 4" xfId="28594"/>
    <cellStyle name="输出 2 2 2 2 2 5" xfId="29909"/>
    <cellStyle name="输出 2 2 2 2 2 5 2" xfId="10640"/>
    <cellStyle name="输出 2 2 2 2 2 5 3" xfId="29910"/>
    <cellStyle name="输出 2 2 2 2 2 6" xfId="28227"/>
    <cellStyle name="输出 2 2 2 2 3" xfId="26986"/>
    <cellStyle name="输出 2 2 2 2 3 2" xfId="29911"/>
    <cellStyle name="输出 2 2 2 2 3 3" xfId="29912"/>
    <cellStyle name="输出 2 2 2 2 4" xfId="29913"/>
    <cellStyle name="输出 2 2 2 2 4 2" xfId="25993"/>
    <cellStyle name="输出 2 2 2 2 4 3" xfId="28598"/>
    <cellStyle name="输出 2 2 2 2 5" xfId="29914"/>
    <cellStyle name="输出 2 2 2 2 6" xfId="29915"/>
    <cellStyle name="输出 2 2 2 2 6 2" xfId="29916"/>
    <cellStyle name="输出 2 2 2 2 6 3" xfId="8302"/>
    <cellStyle name="输出 2 2 2 2 7" xfId="29917"/>
    <cellStyle name="输出 2 2 2 3" xfId="29918"/>
    <cellStyle name="输出 2 2 2 3 2" xfId="26995"/>
    <cellStyle name="输出 2 2 2 3 2 2" xfId="26997"/>
    <cellStyle name="输出 2 2 2 3 2 3" xfId="26999"/>
    <cellStyle name="输出 2 2 2 3 3" xfId="27001"/>
    <cellStyle name="输出 2 2 2 3 3 2" xfId="29919"/>
    <cellStyle name="输出 2 2 2 3 3 3" xfId="28609"/>
    <cellStyle name="输出 2 2 2 3 4" xfId="29920"/>
    <cellStyle name="输出 2 2 2 3 5" xfId="29921"/>
    <cellStyle name="输出 2 2 2 3 5 2" xfId="14720"/>
    <cellStyle name="输出 2 2 2 3 5 3" xfId="14724"/>
    <cellStyle name="输出 2 2 2 3 6" xfId="29922"/>
    <cellStyle name="输出 2 2 2 4" xfId="29923"/>
    <cellStyle name="输出 2 2 2 4 2" xfId="27009"/>
    <cellStyle name="输出 2 2 2 4 3" xfId="29924"/>
    <cellStyle name="输出 2 2 2 5" xfId="29925"/>
    <cellStyle name="输出 2 2 2 5 2" xfId="17798"/>
    <cellStyle name="输出 2 2 2 5 3" xfId="17804"/>
    <cellStyle name="输出 2 2 2 6" xfId="29926"/>
    <cellStyle name="输出 2 2 2 7" xfId="29927"/>
    <cellStyle name="输出 2 2 2 7 2" xfId="5936"/>
    <cellStyle name="输出 2 2 2 7 3" xfId="29479"/>
    <cellStyle name="输出 2 2 2 8" xfId="29928"/>
    <cellStyle name="输出 2 2 3" xfId="13367"/>
    <cellStyle name="输出 2 2 3 2" xfId="19447"/>
    <cellStyle name="输出 2 2 3 2 2" xfId="13880"/>
    <cellStyle name="输出 2 2 3 2 2 2" xfId="27024"/>
    <cellStyle name="输出 2 2 3 2 2 3" xfId="27026"/>
    <cellStyle name="输出 2 2 3 2 3" xfId="13886"/>
    <cellStyle name="输出 2 2 3 2 3 2" xfId="29929"/>
    <cellStyle name="输出 2 2 3 2 3 3" xfId="28657"/>
    <cellStyle name="输出 2 2 3 2 4" xfId="6944"/>
    <cellStyle name="输出 2 2 3 2 5" xfId="6953"/>
    <cellStyle name="输出 2 2 3 2 5 2" xfId="23867"/>
    <cellStyle name="输出 2 2 3 2 5 3" xfId="23880"/>
    <cellStyle name="输出 2 2 3 2 6" xfId="10410"/>
    <cellStyle name="输出 2 2 3 3" xfId="19449"/>
    <cellStyle name="输出 2 2 3 3 2" xfId="13898"/>
    <cellStyle name="输出 2 2 3 3 3" xfId="13904"/>
    <cellStyle name="输出 2 2 3 4" xfId="19452"/>
    <cellStyle name="输出 2 2 3 4 2" xfId="13929"/>
    <cellStyle name="输出 2 2 3 4 3" xfId="13935"/>
    <cellStyle name="输出 2 2 3 5" xfId="19455"/>
    <cellStyle name="输出 2 2 3 6" xfId="29930"/>
    <cellStyle name="输出 2 2 3 6 2" xfId="29931"/>
    <cellStyle name="输出 2 2 3 6 3" xfId="29932"/>
    <cellStyle name="输出 2 2 3 7" xfId="29933"/>
    <cellStyle name="输出 2 2 4" xfId="10938"/>
    <cellStyle name="输出 2 2 4 2" xfId="19014"/>
    <cellStyle name="输出 2 2 4 2 2" xfId="14148"/>
    <cellStyle name="输出 2 2 4 2 2 2" xfId="27057"/>
    <cellStyle name="输出 2 2 4 2 2 3" xfId="27059"/>
    <cellStyle name="输出 2 2 4 2 3" xfId="14154"/>
    <cellStyle name="输出 2 2 4 2 3 2" xfId="29934"/>
    <cellStyle name="输出 2 2 4 2 3 3" xfId="29935"/>
    <cellStyle name="输出 2 2 4 2 4" xfId="14160"/>
    <cellStyle name="输出 2 2 4 2 5" xfId="14165"/>
    <cellStyle name="输出 2 2 4 2 5 2" xfId="20556"/>
    <cellStyle name="输出 2 2 4 2 5 3" xfId="12297"/>
    <cellStyle name="输出 2 2 4 2 6" xfId="14170"/>
    <cellStyle name="输出 2 2 4 3" xfId="19017"/>
    <cellStyle name="输出 2 2 4 3 2" xfId="14179"/>
    <cellStyle name="输出 2 2 4 3 3" xfId="14185"/>
    <cellStyle name="输出 2 2 4 4" xfId="19020"/>
    <cellStyle name="输出 2 2 4 4 2" xfId="14204"/>
    <cellStyle name="输出 2 2 4 4 3" xfId="14211"/>
    <cellStyle name="输出 2 2 4 5" xfId="19023"/>
    <cellStyle name="输出 2 2 4 6" xfId="29936"/>
    <cellStyle name="输出 2 2 4 6 2" xfId="29937"/>
    <cellStyle name="输出 2 2 4 6 3" xfId="29938"/>
    <cellStyle name="输出 2 2 4 7" xfId="29939"/>
    <cellStyle name="输出 2 2 5" xfId="29940"/>
    <cellStyle name="输出 2 2 5 2" xfId="19033"/>
    <cellStyle name="输出 2 2 5 2 2" xfId="27077"/>
    <cellStyle name="输出 2 2 5 2 3" xfId="26024"/>
    <cellStyle name="输出 2 2 5 3" xfId="19036"/>
    <cellStyle name="输出 2 2 5 3 2" xfId="683"/>
    <cellStyle name="输出 2 2 5 3 3" xfId="2506"/>
    <cellStyle name="输出 2 2 5 4" xfId="19040"/>
    <cellStyle name="输出 2 2 5 5" xfId="29942"/>
    <cellStyle name="输出 2 2 5 5 2" xfId="10341"/>
    <cellStyle name="输出 2 2 5 5 3" xfId="29943"/>
    <cellStyle name="输出 2 2 5 6" xfId="29944"/>
    <cellStyle name="输出 2 2 6" xfId="29945"/>
    <cellStyle name="输出 2 2 6 2" xfId="19049"/>
    <cellStyle name="输出 2 2 6 3" xfId="19052"/>
    <cellStyle name="输出 2 2 7" xfId="29946"/>
    <cellStyle name="输出 2 2 7 2" xfId="19066"/>
    <cellStyle name="输出 2 2 7 3" xfId="19069"/>
    <cellStyle name="输出 2 2 8" xfId="29947"/>
    <cellStyle name="输出 2 2 9" xfId="29948"/>
    <cellStyle name="输出 2 2 9 2" xfId="19082"/>
    <cellStyle name="输出 2 2 9 3" xfId="19085"/>
    <cellStyle name="输出 2 3" xfId="28921"/>
    <cellStyle name="输出 2 3 10" xfId="16380"/>
    <cellStyle name="输出 2 3 2" xfId="6199"/>
    <cellStyle name="输出 2 3 2 2" xfId="5656"/>
    <cellStyle name="输出 2 3 2 2 2" xfId="27117"/>
    <cellStyle name="输出 2 3 2 2 2 2" xfId="27119"/>
    <cellStyle name="输出 2 3 2 2 2 2 2" xfId="17157"/>
    <cellStyle name="输出 2 3 2 2 2 2 3" xfId="17159"/>
    <cellStyle name="输出 2 3 2 2 2 3" xfId="27121"/>
    <cellStyle name="输出 2 3 2 2 2 3 2" xfId="3719"/>
    <cellStyle name="输出 2 3 2 2 2 3 3" xfId="17172"/>
    <cellStyle name="输出 2 3 2 2 2 4" xfId="29949"/>
    <cellStyle name="输出 2 3 2 2 2 5" xfId="29950"/>
    <cellStyle name="输出 2 3 2 2 2 5 2" xfId="205"/>
    <cellStyle name="输出 2 3 2 2 2 5 3" xfId="17189"/>
    <cellStyle name="输出 2 3 2 2 2 6" xfId="25526"/>
    <cellStyle name="输出 2 3 2 2 3" xfId="27123"/>
    <cellStyle name="输出 2 3 2 2 3 2" xfId="29951"/>
    <cellStyle name="输出 2 3 2 2 3 3" xfId="29952"/>
    <cellStyle name="输出 2 3 2 2 4" xfId="14563"/>
    <cellStyle name="输出 2 3 2 2 4 2" xfId="14565"/>
    <cellStyle name="输出 2 3 2 2 4 3" xfId="14570"/>
    <cellStyle name="输出 2 3 2 2 5" xfId="14582"/>
    <cellStyle name="输出 2 3 2 2 6" xfId="10504"/>
    <cellStyle name="输出 2 3 2 2 6 2" xfId="29953"/>
    <cellStyle name="输出 2 3 2 2 6 3" xfId="29954"/>
    <cellStyle name="输出 2 3 2 2 7" xfId="10510"/>
    <cellStyle name="输出 2 3 2 3" xfId="3106"/>
    <cellStyle name="输出 2 3 2 3 2" xfId="27129"/>
    <cellStyle name="输出 2 3 2 3 2 2" xfId="27131"/>
    <cellStyle name="输出 2 3 2 3 2 3" xfId="27133"/>
    <cellStyle name="输出 2 3 2 3 3" xfId="24765"/>
    <cellStyle name="输出 2 3 2 3 3 2" xfId="29955"/>
    <cellStyle name="输出 2 3 2 3 3 3" xfId="29956"/>
    <cellStyle name="输出 2 3 2 3 4" xfId="24768"/>
    <cellStyle name="输出 2 3 2 3 5" xfId="29957"/>
    <cellStyle name="输出 2 3 2 3 5 2" xfId="19287"/>
    <cellStyle name="输出 2 3 2 3 5 3" xfId="29958"/>
    <cellStyle name="输出 2 3 2 3 6" xfId="29959"/>
    <cellStyle name="输出 2 3 2 4" xfId="4343"/>
    <cellStyle name="输出 2 3 2 4 2" xfId="9857"/>
    <cellStyle name="输出 2 3 2 4 3" xfId="9865"/>
    <cellStyle name="输出 2 3 2 5" xfId="7643"/>
    <cellStyle name="输出 2 3 2 5 2" xfId="2467"/>
    <cellStyle name="输出 2 3 2 5 3" xfId="2481"/>
    <cellStyle name="输出 2 3 2 6" xfId="7649"/>
    <cellStyle name="输出 2 3 2 7" xfId="21259"/>
    <cellStyle name="输出 2 3 2 7 2" xfId="29960"/>
    <cellStyle name="输出 2 3 2 7 3" xfId="29692"/>
    <cellStyle name="输出 2 3 2 8" xfId="29961"/>
    <cellStyle name="输出 2 3 3" xfId="6205"/>
    <cellStyle name="输出 2 3 3 2" xfId="5676"/>
    <cellStyle name="输出 2 3 3 2 2" xfId="6819"/>
    <cellStyle name="输出 2 3 3 2 2 2" xfId="27149"/>
    <cellStyle name="输出 2 3 3 2 2 3" xfId="27151"/>
    <cellStyle name="输出 2 3 3 2 3" xfId="6826"/>
    <cellStyle name="输出 2 3 3 2 3 2" xfId="29962"/>
    <cellStyle name="输出 2 3 3 2 3 3" xfId="29963"/>
    <cellStyle name="输出 2 3 3 2 4" xfId="14387"/>
    <cellStyle name="输出 2 3 3 2 5" xfId="14393"/>
    <cellStyle name="输出 2 3 3 2 5 2" xfId="29964"/>
    <cellStyle name="输出 2 3 3 2 5 3" xfId="29965"/>
    <cellStyle name="输出 2 3 3 2 6" xfId="14400"/>
    <cellStyle name="输出 2 3 3 3" xfId="4363"/>
    <cellStyle name="输出 2 3 3 3 2" xfId="14911"/>
    <cellStyle name="输出 2 3 3 3 3" xfId="14918"/>
    <cellStyle name="输出 2 3 3 4" xfId="4372"/>
    <cellStyle name="输出 2 3 3 4 2" xfId="7084"/>
    <cellStyle name="输出 2 3 3 4 3" xfId="7108"/>
    <cellStyle name="输出 2 3 3 5" xfId="7137"/>
    <cellStyle name="输出 2 3 3 6" xfId="4315"/>
    <cellStyle name="输出 2 3 3 6 2" xfId="29966"/>
    <cellStyle name="输出 2 3 3 6 3" xfId="4352"/>
    <cellStyle name="输出 2 3 3 7" xfId="29967"/>
    <cellStyle name="输出 2 3 4" xfId="24258"/>
    <cellStyle name="输出 2 3 4 2" xfId="5732"/>
    <cellStyle name="输出 2 3 4 2 2" xfId="24260"/>
    <cellStyle name="输出 2 3 4 2 2 2" xfId="24263"/>
    <cellStyle name="输出 2 3 4 2 2 3" xfId="24272"/>
    <cellStyle name="输出 2 3 4 2 3" xfId="24293"/>
    <cellStyle name="输出 2 3 4 2 3 2" xfId="24296"/>
    <cellStyle name="输出 2 3 4 2 3 3" xfId="24310"/>
    <cellStyle name="输出 2 3 4 2 4" xfId="24321"/>
    <cellStyle name="输出 2 3 4 2 5" xfId="24330"/>
    <cellStyle name="输出 2 3 4 2 5 2" xfId="24332"/>
    <cellStyle name="输出 2 3 4 2 5 3" xfId="24336"/>
    <cellStyle name="输出 2 3 4 2 6" xfId="24339"/>
    <cellStyle name="输出 2 3 4 3" xfId="4228"/>
    <cellStyle name="输出 2 3 4 3 2" xfId="24341"/>
    <cellStyle name="输出 2 3 4 3 3" xfId="24350"/>
    <cellStyle name="输出 2 3 4 4" xfId="370"/>
    <cellStyle name="输出 2 3 4 4 2" xfId="1070"/>
    <cellStyle name="输出 2 3 4 4 3" xfId="2350"/>
    <cellStyle name="输出 2 3 4 5" xfId="307"/>
    <cellStyle name="输出 2 3 4 6" xfId="24381"/>
    <cellStyle name="输出 2 3 4 6 2" xfId="29968"/>
    <cellStyle name="输出 2 3 4 6 3" xfId="24255"/>
    <cellStyle name="输出 2 3 4 7" xfId="29969"/>
    <cellStyle name="输出 2 3 5" xfId="6832"/>
    <cellStyle name="输出 2 3 5 2" xfId="7222"/>
    <cellStyle name="输出 2 3 5 2 2" xfId="1118"/>
    <cellStyle name="输出 2 3 5 2 3" xfId="2683"/>
    <cellStyle name="输出 2 3 5 3" xfId="7226"/>
    <cellStyle name="输出 2 3 5 3 2" xfId="1139"/>
    <cellStyle name="输出 2 3 5 3 3" xfId="24391"/>
    <cellStyle name="输出 2 3 5 4" xfId="7218"/>
    <cellStyle name="输出 2 3 5 5" xfId="24403"/>
    <cellStyle name="输出 2 3 5 5 2" xfId="24405"/>
    <cellStyle name="输出 2 3 5 5 3" xfId="24410"/>
    <cellStyle name="输出 2 3 5 6" xfId="24412"/>
    <cellStyle name="输出 2 3 6" xfId="7233"/>
    <cellStyle name="输出 2 3 6 2" xfId="7236"/>
    <cellStyle name="输出 2 3 6 3" xfId="7241"/>
    <cellStyle name="输出 2 3 7" xfId="7251"/>
    <cellStyle name="输出 2 3 7 2" xfId="7849"/>
    <cellStyle name="输出 2 3 7 3" xfId="7854"/>
    <cellStyle name="输出 2 3 8" xfId="24501"/>
    <cellStyle name="输出 2 3 9" xfId="8282"/>
    <cellStyle name="输出 2 3 9 2" xfId="18777"/>
    <cellStyle name="输出 2 3 9 3" xfId="18782"/>
    <cellStyle name="输出 2 4" xfId="28923"/>
    <cellStyle name="输出 2 4 10" xfId="16423"/>
    <cellStyle name="输出 2 4 2" xfId="6220"/>
    <cellStyle name="输出 2 4 2 2" xfId="16941"/>
    <cellStyle name="输出 2 4 2 2 2" xfId="27300"/>
    <cellStyle name="输出 2 4 2 2 2 2" xfId="27303"/>
    <cellStyle name="输出 2 4 2 2 2 2 2" xfId="27305"/>
    <cellStyle name="输出 2 4 2 2 2 2 3" xfId="27307"/>
    <cellStyle name="输出 2 4 2 2 2 3" xfId="27309"/>
    <cellStyle name="输出 2 4 2 2 2 3 2" xfId="27311"/>
    <cellStyle name="输出 2 4 2 2 2 3 3" xfId="27317"/>
    <cellStyle name="输出 2 4 2 2 2 4" xfId="27320"/>
    <cellStyle name="输出 2 4 2 2 2 5" xfId="29970"/>
    <cellStyle name="输出 2 4 2 2 2 5 2" xfId="17776"/>
    <cellStyle name="输出 2 4 2 2 2 5 3" xfId="17779"/>
    <cellStyle name="输出 2 4 2 2 2 6" xfId="18980"/>
    <cellStyle name="输出 2 4 2 2 3" xfId="27322"/>
    <cellStyle name="输出 2 4 2 2 3 2" xfId="27324"/>
    <cellStyle name="输出 2 4 2 2 3 3" xfId="27329"/>
    <cellStyle name="输出 2 4 2 2 4" xfId="4804"/>
    <cellStyle name="输出 2 4 2 2 4 2" xfId="247"/>
    <cellStyle name="输出 2 4 2 2 4 3" xfId="4809"/>
    <cellStyle name="输出 2 4 2 2 5" xfId="4849"/>
    <cellStyle name="输出 2 4 2 2 6" xfId="1693"/>
    <cellStyle name="输出 2 4 2 2 6 2" xfId="1976"/>
    <cellStyle name="输出 2 4 2 2 6 3" xfId="2024"/>
    <cellStyle name="输出 2 4 2 2 7" xfId="2104"/>
    <cellStyle name="输出 2 4 2 3" xfId="29971"/>
    <cellStyle name="输出 2 4 2 3 2" xfId="27343"/>
    <cellStyle name="输出 2 4 2 3 2 2" xfId="27346"/>
    <cellStyle name="输出 2 4 2 3 2 3" xfId="27348"/>
    <cellStyle name="输出 2 4 2 3 3" xfId="24777"/>
    <cellStyle name="输出 2 4 2 3 3 2" xfId="27355"/>
    <cellStyle name="输出 2 4 2 3 3 3" xfId="27357"/>
    <cellStyle name="输出 2 4 2 3 4" xfId="4869"/>
    <cellStyle name="输出 2 4 2 3 5" xfId="4879"/>
    <cellStyle name="输出 2 4 2 3 5 2" xfId="2324"/>
    <cellStyle name="输出 2 4 2 3 5 3" xfId="4881"/>
    <cellStyle name="输出 2 4 2 3 6" xfId="2277"/>
    <cellStyle name="输出 2 4 2 4" xfId="29972"/>
    <cellStyle name="输出 2 4 2 4 2" xfId="27371"/>
    <cellStyle name="输出 2 4 2 4 3" xfId="24781"/>
    <cellStyle name="输出 2 4 2 5" xfId="29973"/>
    <cellStyle name="输出 2 4 2 5 2" xfId="27393"/>
    <cellStyle name="输出 2 4 2 5 3" xfId="27396"/>
    <cellStyle name="输出 2 4 2 6" xfId="7669"/>
    <cellStyle name="输出 2 4 2 7" xfId="8235"/>
    <cellStyle name="输出 2 4 2 7 2" xfId="29974"/>
    <cellStyle name="输出 2 4 2 7 3" xfId="29975"/>
    <cellStyle name="输出 2 4 2 8" xfId="29976"/>
    <cellStyle name="输出 2 4 3" xfId="29977"/>
    <cellStyle name="输出 2 4 3 2" xfId="6841"/>
    <cellStyle name="输出 2 4 3 2 2" xfId="15169"/>
    <cellStyle name="输出 2 4 3 2 2 2" xfId="20004"/>
    <cellStyle name="输出 2 4 3 2 2 3" xfId="20007"/>
    <cellStyle name="输出 2 4 3 2 3" xfId="15173"/>
    <cellStyle name="输出 2 4 3 2 3 2" xfId="16712"/>
    <cellStyle name="输出 2 4 3 2 3 3" xfId="16720"/>
    <cellStyle name="输出 2 4 3 2 4" xfId="4944"/>
    <cellStyle name="输出 2 4 3 2 5" xfId="4965"/>
    <cellStyle name="输出 2 4 3 2 5 2" xfId="2708"/>
    <cellStyle name="输出 2 4 3 2 5 3" xfId="4976"/>
    <cellStyle name="输出 2 4 3 2 6" xfId="4982"/>
    <cellStyle name="输出 2 4 3 3" xfId="6845"/>
    <cellStyle name="输出 2 4 3 3 2" xfId="15179"/>
    <cellStyle name="输出 2 4 3 3 3" xfId="15183"/>
    <cellStyle name="输出 2 4 3 4" xfId="19639"/>
    <cellStyle name="输出 2 4 3 4 2" xfId="15191"/>
    <cellStyle name="输出 2 4 3 4 3" xfId="15195"/>
    <cellStyle name="输出 2 4 3 5" xfId="15770"/>
    <cellStyle name="输出 2 4 3 6" xfId="29978"/>
    <cellStyle name="输出 2 4 3 6 2" xfId="27478"/>
    <cellStyle name="输出 2 4 3 6 3" xfId="27480"/>
    <cellStyle name="输出 2 4 3 7" xfId="29979"/>
    <cellStyle name="输出 2 4 4" xfId="24506"/>
    <cellStyle name="输出 2 4 4 2" xfId="19643"/>
    <cellStyle name="输出 2 4 4 2 2" xfId="24508"/>
    <cellStyle name="输出 2 4 4 2 2 2" xfId="24511"/>
    <cellStyle name="输出 2 4 4 2 2 3" xfId="24524"/>
    <cellStyle name="输出 2 4 4 2 3" xfId="24527"/>
    <cellStyle name="输出 2 4 4 2 3 2" xfId="20756"/>
    <cellStyle name="输出 2 4 4 2 3 3" xfId="20768"/>
    <cellStyle name="输出 2 4 4 2 4" xfId="2831"/>
    <cellStyle name="输出 2 4 4 2 5" xfId="3787"/>
    <cellStyle name="输出 2 4 4 2 5 2" xfId="14"/>
    <cellStyle name="输出 2 4 4 2 5 3" xfId="3045"/>
    <cellStyle name="输出 2 4 4 2 6" xfId="3795"/>
    <cellStyle name="输出 2 4 4 3" xfId="19646"/>
    <cellStyle name="输出 2 4 4 3 2" xfId="24533"/>
    <cellStyle name="输出 2 4 4 3 3" xfId="24554"/>
    <cellStyle name="输出 2 4 4 4" xfId="19649"/>
    <cellStyle name="输出 2 4 4 4 2" xfId="24557"/>
    <cellStyle name="输出 2 4 4 4 3" xfId="24564"/>
    <cellStyle name="输出 2 4 4 5" xfId="24568"/>
    <cellStyle name="输出 2 4 4 6" xfId="24578"/>
    <cellStyle name="输出 2 4 4 6 2" xfId="29980"/>
    <cellStyle name="输出 2 4 4 6 3" xfId="29981"/>
    <cellStyle name="输出 2 4 4 7" xfId="29982"/>
    <cellStyle name="输出 2 4 5" xfId="7257"/>
    <cellStyle name="输出 2 4 5 2" xfId="7260"/>
    <cellStyle name="输出 2 4 5 2 2" xfId="24580"/>
    <cellStyle name="输出 2 4 5 2 3" xfId="24583"/>
    <cellStyle name="输出 2 4 5 3" xfId="7264"/>
    <cellStyle name="输出 2 4 5 3 2" xfId="24586"/>
    <cellStyle name="输出 2 4 5 3 3" xfId="24589"/>
    <cellStyle name="输出 2 4 5 4" xfId="19661"/>
    <cellStyle name="输出 2 4 5 5" xfId="24598"/>
    <cellStyle name="输出 2 4 5 5 2" xfId="27598"/>
    <cellStyle name="输出 2 4 5 5 3" xfId="27600"/>
    <cellStyle name="输出 2 4 5 6" xfId="29983"/>
    <cellStyle name="输出 2 4 6" xfId="7271"/>
    <cellStyle name="输出 2 4 6 2" xfId="19672"/>
    <cellStyle name="输出 2 4 6 3" xfId="19675"/>
    <cellStyle name="输出 2 4 7" xfId="24636"/>
    <cellStyle name="输出 2 4 7 2" xfId="19688"/>
    <cellStyle name="输出 2 4 7 3" xfId="9877"/>
    <cellStyle name="输出 2 4 8" xfId="24682"/>
    <cellStyle name="输出 2 4 9" xfId="24698"/>
    <cellStyle name="输出 2 4 9 2" xfId="19707"/>
    <cellStyle name="输出 2 4 9 3" xfId="19711"/>
    <cellStyle name="输出 2 5" xfId="29984"/>
    <cellStyle name="输出 2 5 2" xfId="6229"/>
    <cellStyle name="输出 2 5 2 2" xfId="17188"/>
    <cellStyle name="输出 2 5 2 2 2" xfId="16955"/>
    <cellStyle name="输出 2 5 2 2 2 2" xfId="29985"/>
    <cellStyle name="输出 2 5 2 2 2 3" xfId="28336"/>
    <cellStyle name="输出 2 5 2 2 3" xfId="16958"/>
    <cellStyle name="输出 2 5 2 2 3 2" xfId="29986"/>
    <cellStyle name="输出 2 5 2 2 3 3" xfId="28339"/>
    <cellStyle name="输出 2 5 2 2 4" xfId="16961"/>
    <cellStyle name="输出 2 5 2 2 5" xfId="16964"/>
    <cellStyle name="输出 2 5 2 2 5 2" xfId="27660"/>
    <cellStyle name="输出 2 5 2 2 5 3" xfId="25420"/>
    <cellStyle name="输出 2 5 2 2 6" xfId="29987"/>
    <cellStyle name="输出 2 5 2 3" xfId="20214"/>
    <cellStyle name="输出 2 5 2 3 2" xfId="16978"/>
    <cellStyle name="输出 2 5 2 3 3" xfId="16982"/>
    <cellStyle name="输出 2 5 2 4" xfId="20216"/>
    <cellStyle name="输出 2 5 2 4 2" xfId="17004"/>
    <cellStyle name="输出 2 5 2 4 3" xfId="17008"/>
    <cellStyle name="输出 2 5 2 5" xfId="15888"/>
    <cellStyle name="输出 2 5 2 6" xfId="15892"/>
    <cellStyle name="输出 2 5 2 6 2" xfId="29988"/>
    <cellStyle name="输出 2 5 2 6 3" xfId="29989"/>
    <cellStyle name="输出 2 5 2 7" xfId="15898"/>
    <cellStyle name="输出 2 5 3" xfId="6859"/>
    <cellStyle name="输出 2 5 3 2" xfId="17216"/>
    <cellStyle name="输出 2 5 3 2 2" xfId="29990"/>
    <cellStyle name="输出 2 5 3 2 3" xfId="29991"/>
    <cellStyle name="输出 2 5 3 3" xfId="19741"/>
    <cellStyle name="输出 2 5 3 3 2" xfId="29992"/>
    <cellStyle name="输出 2 5 3 3 3" xfId="29993"/>
    <cellStyle name="输出 2 5 3 4" xfId="19745"/>
    <cellStyle name="输出 2 5 3 5" xfId="15908"/>
    <cellStyle name="输出 2 5 3 5 2" xfId="22354"/>
    <cellStyle name="输出 2 5 3 5 3" xfId="11937"/>
    <cellStyle name="输出 2 5 3 6" xfId="15912"/>
    <cellStyle name="输出 2 5 4" xfId="6864"/>
    <cellStyle name="输出 2 5 4 2" xfId="19749"/>
    <cellStyle name="输出 2 5 4 3" xfId="19755"/>
    <cellStyle name="输出 2 5 5" xfId="6190"/>
    <cellStyle name="输出 2 5 5 2" xfId="19765"/>
    <cellStyle name="输出 2 5 5 3" xfId="19768"/>
    <cellStyle name="输出 2 5 6" xfId="6214"/>
    <cellStyle name="输出 2 5 7" xfId="20218"/>
    <cellStyle name="输出 2 5 7 2" xfId="19790"/>
    <cellStyle name="输出 2 5 7 3" xfId="19794"/>
    <cellStyle name="输出 2 5 8" xfId="20221"/>
    <cellStyle name="输出 2 6" xfId="29994"/>
    <cellStyle name="输出 2 6 2" xfId="29995"/>
    <cellStyle name="输出 2 6 2 2" xfId="17275"/>
    <cellStyle name="输出 2 6 2 2 2" xfId="29996"/>
    <cellStyle name="输出 2 6 2 2 3" xfId="29997"/>
    <cellStyle name="输出 2 6 2 3" xfId="29998"/>
    <cellStyle name="输出 2 6 2 3 2" xfId="29999"/>
    <cellStyle name="输出 2 6 2 3 3" xfId="24818"/>
    <cellStyle name="输出 2 6 2 4" xfId="30000"/>
    <cellStyle name="输出 2 6 2 5" xfId="30001"/>
    <cellStyle name="输出 2 6 2 5 2" xfId="30002"/>
    <cellStyle name="输出 2 6 2 5 3" xfId="30003"/>
    <cellStyle name="输出 2 6 2 6" xfId="30004"/>
    <cellStyle name="输出 2 6 3" xfId="27619"/>
    <cellStyle name="输出 2 6 3 2" xfId="17291"/>
    <cellStyle name="输出 2 6 3 3" xfId="30005"/>
    <cellStyle name="输出 2 6 4" xfId="24856"/>
    <cellStyle name="输出 2 6 4 2" xfId="24859"/>
    <cellStyle name="输出 2 6 4 3" xfId="24871"/>
    <cellStyle name="输出 2 6 5" xfId="24881"/>
    <cellStyle name="输出 2 6 6" xfId="24911"/>
    <cellStyle name="输出 2 6 6 2" xfId="24913"/>
    <cellStyle name="输出 2 6 6 3" xfId="24923"/>
    <cellStyle name="输出 2 6 7" xfId="24933"/>
    <cellStyle name="输出 2 7" xfId="30007"/>
    <cellStyle name="输出 2 7 2" xfId="30009"/>
    <cellStyle name="输出 2 7 2 2" xfId="30011"/>
    <cellStyle name="输出 2 7 2 2 2" xfId="20624"/>
    <cellStyle name="输出 2 7 2 2 3" xfId="20626"/>
    <cellStyle name="输出 2 7 2 3" xfId="30013"/>
    <cellStyle name="输出 2 7 2 3 2" xfId="20635"/>
    <cellStyle name="输出 2 7 2 3 3" xfId="20637"/>
    <cellStyle name="输出 2 7 2 4" xfId="30014"/>
    <cellStyle name="输出 2 7 2 5" xfId="30015"/>
    <cellStyle name="输出 2 7 2 5 2" xfId="20655"/>
    <cellStyle name="输出 2 7 2 5 3" xfId="20657"/>
    <cellStyle name="输出 2 7 2 6" xfId="30016"/>
    <cellStyle name="输出 2 7 3" xfId="30018"/>
    <cellStyle name="输出 2 7 3 2" xfId="25541"/>
    <cellStyle name="输出 2 7 3 3" xfId="30019"/>
    <cellStyle name="输出 2 7 4" xfId="24958"/>
    <cellStyle name="输出 2 7 4 2" xfId="9968"/>
    <cellStyle name="输出 2 7 4 3" xfId="24963"/>
    <cellStyle name="输出 2 7 5" xfId="24966"/>
    <cellStyle name="输出 2 7 6" xfId="24972"/>
    <cellStyle name="输出 2 7 6 2" xfId="19732"/>
    <cellStyle name="输出 2 7 6 3" xfId="19735"/>
    <cellStyle name="输出 2 7 7" xfId="24974"/>
    <cellStyle name="输出 2 8" xfId="30021"/>
    <cellStyle name="输出 2 8 2" xfId="30023"/>
    <cellStyle name="输出 2 8 2 2" xfId="30024"/>
    <cellStyle name="输出 2 8 2 3" xfId="30025"/>
    <cellStyle name="输出 2 8 3" xfId="4061"/>
    <cellStyle name="输出 2 8 3 2" xfId="30026"/>
    <cellStyle name="输出 2 8 3 3" xfId="30027"/>
    <cellStyle name="输出 2 8 4" xfId="885"/>
    <cellStyle name="输出 2 8 5" xfId="24981"/>
    <cellStyle name="输出 2 8 5 2" xfId="24983"/>
    <cellStyle name="输出 2 8 5 3" xfId="24985"/>
    <cellStyle name="输出 2 8 6" xfId="24989"/>
    <cellStyle name="输出 2 9" xfId="26292"/>
    <cellStyle name="输出 2 9 2" xfId="30029"/>
    <cellStyle name="输出 2 9 2 2" xfId="30030"/>
    <cellStyle name="输出 2 9 2 3" xfId="30031"/>
    <cellStyle name="输出 2 9 3" xfId="30033"/>
    <cellStyle name="输出 2 9 4" xfId="24998"/>
    <cellStyle name="输出 2 9 4 2" xfId="25001"/>
    <cellStyle name="输出 2 9 4 3" xfId="25004"/>
    <cellStyle name="输出 2 9 5" xfId="25007"/>
    <cellStyle name="输出 3" xfId="30034"/>
    <cellStyle name="输出 3 2" xfId="30035"/>
    <cellStyle name="输出 3 3" xfId="30036"/>
    <cellStyle name="输出 4" xfId="28958"/>
    <cellStyle name="输入 2" xfId="24995"/>
    <cellStyle name="输入 2 10" xfId="30038"/>
    <cellStyle name="输入 2 10 2" xfId="30039"/>
    <cellStyle name="输入 2 10 3" xfId="30041"/>
    <cellStyle name="输入 2 11" xfId="30042"/>
    <cellStyle name="输入 2 12" xfId="30043"/>
    <cellStyle name="输入 2 12 2" xfId="30045"/>
    <cellStyle name="输入 2 12 3" xfId="30047"/>
    <cellStyle name="输入 2 13" xfId="8464"/>
    <cellStyle name="输入 2 2" xfId="24997"/>
    <cellStyle name="输入 2 2 10" xfId="23068"/>
    <cellStyle name="输入 2 2 2" xfId="25000"/>
    <cellStyle name="输入 2 2 2 2" xfId="18322"/>
    <cellStyle name="输入 2 2 2 2 2" xfId="12205"/>
    <cellStyle name="输入 2 2 2 2 2 2" xfId="8251"/>
    <cellStyle name="输入 2 2 2 2 2 2 2" xfId="26791"/>
    <cellStyle name="输入 2 2 2 2 2 2 3" xfId="30048"/>
    <cellStyle name="输入 2 2 2 2 2 3" xfId="30049"/>
    <cellStyle name="输入 2 2 2 2 2 3 2" xfId="30050"/>
    <cellStyle name="输入 2 2 2 2 2 3 3" xfId="30051"/>
    <cellStyle name="输入 2 2 2 2 2 4" xfId="30052"/>
    <cellStyle name="输入 2 2 2 2 2 5" xfId="30053"/>
    <cellStyle name="输入 2 2 2 2 2 5 2" xfId="30054"/>
    <cellStyle name="输入 2 2 2 2 2 5 3" xfId="30055"/>
    <cellStyle name="输入 2 2 2 2 2 6" xfId="30056"/>
    <cellStyle name="输入 2 2 2 2 3" xfId="14200"/>
    <cellStyle name="输入 2 2 2 2 3 2" xfId="30057"/>
    <cellStyle name="输入 2 2 2 2 3 3" xfId="30058"/>
    <cellStyle name="输入 2 2 2 2 4" xfId="14207"/>
    <cellStyle name="输入 2 2 2 2 4 2" xfId="30059"/>
    <cellStyle name="输入 2 2 2 2 4 3" xfId="30060"/>
    <cellStyle name="输入 2 2 2 2 5" xfId="14213"/>
    <cellStyle name="输入 2 2 2 2 6" xfId="3537"/>
    <cellStyle name="输入 2 2 2 2 6 2" xfId="30061"/>
    <cellStyle name="输入 2 2 2 2 6 3" xfId="30062"/>
    <cellStyle name="输入 2 2 2 2 7" xfId="3553"/>
    <cellStyle name="输入 2 2 2 3" xfId="18330"/>
    <cellStyle name="输入 2 2 2 3 2" xfId="14220"/>
    <cellStyle name="输入 2 2 2 3 2 2" xfId="30063"/>
    <cellStyle name="输入 2 2 2 3 2 3" xfId="30064"/>
    <cellStyle name="输入 2 2 2 3 3" xfId="14226"/>
    <cellStyle name="输入 2 2 2 3 3 2" xfId="30065"/>
    <cellStyle name="输入 2 2 2 3 3 3" xfId="30066"/>
    <cellStyle name="输入 2 2 2 3 4" xfId="14233"/>
    <cellStyle name="输入 2 2 2 3 5" xfId="14240"/>
    <cellStyle name="输入 2 2 2 3 5 2" xfId="30067"/>
    <cellStyle name="输入 2 2 2 3 5 3" xfId="335"/>
    <cellStyle name="输入 2 2 2 3 6" xfId="4632"/>
    <cellStyle name="输入 2 2 2 4" xfId="30068"/>
    <cellStyle name="输入 2 2 2 4 2" xfId="30069"/>
    <cellStyle name="输入 2 2 2 4 3" xfId="22673"/>
    <cellStyle name="输入 2 2 2 5" xfId="22880"/>
    <cellStyle name="输入 2 2 2 5 2" xfId="30070"/>
    <cellStyle name="输入 2 2 2 5 3" xfId="30071"/>
    <cellStyle name="输入 2 2 2 6" xfId="22882"/>
    <cellStyle name="输入 2 2 2 7" xfId="22885"/>
    <cellStyle name="输入 2 2 2 7 2" xfId="7450"/>
    <cellStyle name="输入 2 2 2 7 3" xfId="10442"/>
    <cellStyle name="输入 2 2 2 8" xfId="22888"/>
    <cellStyle name="输入 2 2 3" xfId="25003"/>
    <cellStyle name="输入 2 2 3 2" xfId="18374"/>
    <cellStyle name="输入 2 2 3 2 2" xfId="14538"/>
    <cellStyle name="输入 2 2 3 2 2 2" xfId="30072"/>
    <cellStyle name="输入 2 2 3 2 2 3" xfId="30073"/>
    <cellStyle name="输入 2 2 3 2 3" xfId="9419"/>
    <cellStyle name="输入 2 2 3 2 3 2" xfId="30074"/>
    <cellStyle name="输入 2 2 3 2 3 3" xfId="30037"/>
    <cellStyle name="输入 2 2 3 2 4" xfId="9803"/>
    <cellStyle name="输入 2 2 3 2 5" xfId="14542"/>
    <cellStyle name="输入 2 2 3 2 5 2" xfId="30075"/>
    <cellStyle name="输入 2 2 3 2 5 3" xfId="5810"/>
    <cellStyle name="输入 2 2 3 2 6" xfId="4647"/>
    <cellStyle name="输入 2 2 3 3" xfId="9427"/>
    <cellStyle name="输入 2 2 3 3 2" xfId="10332"/>
    <cellStyle name="输入 2 2 3 3 3" xfId="10337"/>
    <cellStyle name="输入 2 2 3 4" xfId="30076"/>
    <cellStyle name="输入 2 2 3 4 2" xfId="9021"/>
    <cellStyle name="输入 2 2 3 4 3" xfId="9038"/>
    <cellStyle name="输入 2 2 3 5" xfId="22898"/>
    <cellStyle name="输入 2 2 3 6" xfId="16577"/>
    <cellStyle name="输入 2 2 3 6 2" xfId="9084"/>
    <cellStyle name="输入 2 2 3 6 3" xfId="8321"/>
    <cellStyle name="输入 2 2 3 7" xfId="16581"/>
    <cellStyle name="输入 2 2 4" xfId="26354"/>
    <cellStyle name="输入 2 2 4 2" xfId="21848"/>
    <cellStyle name="输入 2 2 4 2 2" xfId="14624"/>
    <cellStyle name="输入 2 2 4 2 2 2" xfId="30077"/>
    <cellStyle name="输入 2 2 4 2 2 3" xfId="30078"/>
    <cellStyle name="输入 2 2 4 2 3" xfId="14628"/>
    <cellStyle name="输入 2 2 4 2 3 2" xfId="30079"/>
    <cellStyle name="输入 2 2 4 2 3 3" xfId="30080"/>
    <cellStyle name="输入 2 2 4 2 4" xfId="14633"/>
    <cellStyle name="输入 2 2 4 2 5" xfId="14637"/>
    <cellStyle name="输入 2 2 4 2 5 2" xfId="4832"/>
    <cellStyle name="输入 2 2 4 2 5 3" xfId="12724"/>
    <cellStyle name="输入 2 2 4 2 6" xfId="14640"/>
    <cellStyle name="输入 2 2 4 3" xfId="30081"/>
    <cellStyle name="输入 2 2 4 3 2" xfId="14647"/>
    <cellStyle name="输入 2 2 4 3 3" xfId="14649"/>
    <cellStyle name="输入 2 2 4 4" xfId="9922"/>
    <cellStyle name="输入 2 2 4 4 2" xfId="9130"/>
    <cellStyle name="输入 2 2 4 4 3" xfId="9148"/>
    <cellStyle name="输入 2 2 4 5" xfId="3985"/>
    <cellStyle name="输入 2 2 4 6" xfId="2306"/>
    <cellStyle name="输入 2 2 4 6 2" xfId="9178"/>
    <cellStyle name="输入 2 2 4 6 3" xfId="9189"/>
    <cellStyle name="输入 2 2 4 7" xfId="10982"/>
    <cellStyle name="输入 2 2 5" xfId="30082"/>
    <cellStyle name="输入 2 2 5 2" xfId="21858"/>
    <cellStyle name="输入 2 2 5 2 2" xfId="30083"/>
    <cellStyle name="输入 2 2 5 2 3" xfId="8313"/>
    <cellStyle name="输入 2 2 5 3" xfId="30084"/>
    <cellStyle name="输入 2 2 5 3 2" xfId="30085"/>
    <cellStyle name="输入 2 2 5 3 3" xfId="8333"/>
    <cellStyle name="输入 2 2 5 4" xfId="9935"/>
    <cellStyle name="输入 2 2 5 5" xfId="10642"/>
    <cellStyle name="输入 2 2 5 5 2" xfId="8809"/>
    <cellStyle name="输入 2 2 5 5 3" xfId="8789"/>
    <cellStyle name="输入 2 2 5 6" xfId="16599"/>
    <cellStyle name="输入 2 2 6" xfId="30086"/>
    <cellStyle name="输入 2 2 6 2" xfId="21871"/>
    <cellStyle name="输入 2 2 6 3" xfId="30087"/>
    <cellStyle name="输入 2 2 7" xfId="30088"/>
    <cellStyle name="输入 2 2 7 2" xfId="20897"/>
    <cellStyle name="输入 2 2 7 3" xfId="30089"/>
    <cellStyle name="输入 2 2 8" xfId="30090"/>
    <cellStyle name="输入 2 2 9" xfId="27666"/>
    <cellStyle name="输入 2 2 9 2" xfId="15523"/>
    <cellStyle name="输入 2 2 9 3" xfId="15526"/>
    <cellStyle name="输入 2 3" xfId="25006"/>
    <cellStyle name="输入 2 3 10" xfId="30091"/>
    <cellStyle name="输入 2 3 2" xfId="25009"/>
    <cellStyle name="输入 2 3 2 2" xfId="12575"/>
    <cellStyle name="输入 2 3 2 2 2" xfId="15035"/>
    <cellStyle name="输入 2 3 2 2 2 2" xfId="30092"/>
    <cellStyle name="输入 2 3 2 2 2 2 2" xfId="30093"/>
    <cellStyle name="输入 2 3 2 2 2 2 3" xfId="30094"/>
    <cellStyle name="输入 2 3 2 2 2 3" xfId="30095"/>
    <cellStyle name="输入 2 3 2 2 2 3 2" xfId="30096"/>
    <cellStyle name="输入 2 3 2 2 2 3 3" xfId="30097"/>
    <cellStyle name="输入 2 3 2 2 2 4" xfId="30098"/>
    <cellStyle name="输入 2 3 2 2 2 5" xfId="30099"/>
    <cellStyle name="输入 2 3 2 2 2 5 2" xfId="30100"/>
    <cellStyle name="输入 2 3 2 2 2 5 3" xfId="192"/>
    <cellStyle name="输入 2 3 2 2 2 6" xfId="30101"/>
    <cellStyle name="输入 2 3 2 2 3" xfId="1066"/>
    <cellStyle name="输入 2 3 2 2 3 2" xfId="28391"/>
    <cellStyle name="输入 2 3 2 2 3 3" xfId="28419"/>
    <cellStyle name="输入 2 3 2 2 4" xfId="2347"/>
    <cellStyle name="输入 2 3 2 2 4 2" xfId="30102"/>
    <cellStyle name="输入 2 3 2 2 4 3" xfId="30103"/>
    <cellStyle name="输入 2 3 2 2 5" xfId="530"/>
    <cellStyle name="输入 2 3 2 2 6" xfId="4684"/>
    <cellStyle name="输入 2 3 2 2 6 2" xfId="30104"/>
    <cellStyle name="输入 2 3 2 2 6 3" xfId="30105"/>
    <cellStyle name="输入 2 3 2 2 7" xfId="4694"/>
    <cellStyle name="输入 2 3 2 3" xfId="21666"/>
    <cellStyle name="输入 2 3 2 3 2" xfId="133"/>
    <cellStyle name="输入 2 3 2 3 2 2" xfId="30106"/>
    <cellStyle name="输入 2 3 2 3 2 3" xfId="30107"/>
    <cellStyle name="输入 2 3 2 3 3" xfId="2191"/>
    <cellStyle name="输入 2 3 2 3 3 2" xfId="28458"/>
    <cellStyle name="输入 2 3 2 3 3 3" xfId="28504"/>
    <cellStyle name="输入 2 3 2 3 4" xfId="7193"/>
    <cellStyle name="输入 2 3 2 3 5" xfId="7201"/>
    <cellStyle name="输入 2 3 2 3 5 2" xfId="19176"/>
    <cellStyle name="输入 2 3 2 3 5 3" xfId="19180"/>
    <cellStyle name="输入 2 3 2 3 6" xfId="8737"/>
    <cellStyle name="输入 2 3 2 4" xfId="16021"/>
    <cellStyle name="输入 2 3 2 4 2" xfId="30108"/>
    <cellStyle name="输入 2 3 2 4 3" xfId="28734"/>
    <cellStyle name="输入 2 3 2 5" xfId="16023"/>
    <cellStyle name="输入 2 3 2 5 2" xfId="30109"/>
    <cellStyle name="输入 2 3 2 5 3" xfId="29085"/>
    <cellStyle name="输入 2 3 2 6" xfId="16025"/>
    <cellStyle name="输入 2 3 2 7" xfId="16027"/>
    <cellStyle name="输入 2 3 2 7 2" xfId="27387"/>
    <cellStyle name="输入 2 3 2 7 3" xfId="29455"/>
    <cellStyle name="输入 2 3 2 8" xfId="5572"/>
    <cellStyle name="输入 2 3 3" xfId="25011"/>
    <cellStyle name="输入 2 3 3 2" xfId="12597"/>
    <cellStyle name="输入 2 3 3 2 2" xfId="21724"/>
    <cellStyle name="输入 2 3 3 2 2 2" xfId="23392"/>
    <cellStyle name="输入 2 3 3 2 2 3" xfId="30110"/>
    <cellStyle name="输入 2 3 3 2 3" xfId="21726"/>
    <cellStyle name="输入 2 3 3 2 3 2" xfId="30111"/>
    <cellStyle name="输入 2 3 3 2 3 3" xfId="30112"/>
    <cellStyle name="输入 2 3 3 2 4" xfId="21728"/>
    <cellStyle name="输入 2 3 3 2 5" xfId="21731"/>
    <cellStyle name="输入 2 3 3 2 5 2" xfId="30113"/>
    <cellStyle name="输入 2 3 3 2 5 3" xfId="30114"/>
    <cellStyle name="输入 2 3 3 2 6" xfId="6232"/>
    <cellStyle name="输入 2 3 3 3" xfId="2911"/>
    <cellStyle name="输入 2 3 3 3 2" xfId="21733"/>
    <cellStyle name="输入 2 3 3 3 3" xfId="21735"/>
    <cellStyle name="输入 2 3 3 4" xfId="16031"/>
    <cellStyle name="输入 2 3 3 4 2" xfId="30115"/>
    <cellStyle name="输入 2 3 3 4 3" xfId="30116"/>
    <cellStyle name="输入 2 3 3 5" xfId="12432"/>
    <cellStyle name="输入 2 3 3 6" xfId="12435"/>
    <cellStyle name="输入 2 3 3 6 2" xfId="12438"/>
    <cellStyle name="输入 2 3 3 6 3" xfId="7318"/>
    <cellStyle name="输入 2 3 3 7" xfId="16033"/>
    <cellStyle name="输入 2 3 4" xfId="25013"/>
    <cellStyle name="输入 2 3 4 2" xfId="21896"/>
    <cellStyle name="输入 2 3 4 2 2" xfId="13174"/>
    <cellStyle name="输入 2 3 4 2 2 2" xfId="30117"/>
    <cellStyle name="输入 2 3 4 2 2 3" xfId="30118"/>
    <cellStyle name="输入 2 3 4 2 3" xfId="7331"/>
    <cellStyle name="输入 2 3 4 2 3 2" xfId="30119"/>
    <cellStyle name="输入 2 3 4 2 3 3" xfId="30120"/>
    <cellStyle name="输入 2 3 4 2 4" xfId="7355"/>
    <cellStyle name="输入 2 3 4 2 5" xfId="7366"/>
    <cellStyle name="输入 2 3 4 2 5 2" xfId="30121"/>
    <cellStyle name="输入 2 3 4 2 5 3" xfId="30122"/>
    <cellStyle name="输入 2 3 4 2 6" xfId="8928"/>
    <cellStyle name="输入 2 3 4 3" xfId="30123"/>
    <cellStyle name="输入 2 3 4 3 2" xfId="13179"/>
    <cellStyle name="输入 2 3 4 3 3" xfId="7369"/>
    <cellStyle name="输入 2 3 4 4" xfId="9943"/>
    <cellStyle name="输入 2 3 4 4 2" xfId="1825"/>
    <cellStyle name="输入 2 3 4 4 3" xfId="1877"/>
    <cellStyle name="输入 2 3 4 5" xfId="3945"/>
    <cellStyle name="输入 2 3 4 6" xfId="30124"/>
    <cellStyle name="输入 2 3 4 6 2" xfId="13212"/>
    <cellStyle name="输入 2 3 4 6 3" xfId="13215"/>
    <cellStyle name="输入 2 3 4 7" xfId="30125"/>
    <cellStyle name="输入 2 3 5" xfId="30126"/>
    <cellStyle name="输入 2 3 5 2" xfId="21907"/>
    <cellStyle name="输入 2 3 5 2 2" xfId="30127"/>
    <cellStyle name="输入 2 3 5 2 3" xfId="7389"/>
    <cellStyle name="输入 2 3 5 3" xfId="30128"/>
    <cellStyle name="输入 2 3 5 3 2" xfId="30129"/>
    <cellStyle name="输入 2 3 5 3 3" xfId="27419"/>
    <cellStyle name="输入 2 3 5 4" xfId="10651"/>
    <cellStyle name="输入 2 3 5 5" xfId="10654"/>
    <cellStyle name="输入 2 3 5 5 2" xfId="5702"/>
    <cellStyle name="输入 2 3 5 5 3" xfId="9259"/>
    <cellStyle name="输入 2 3 5 6" xfId="30130"/>
    <cellStyle name="输入 2 3 6" xfId="30131"/>
    <cellStyle name="输入 2 3 6 2" xfId="21923"/>
    <cellStyle name="输入 2 3 6 3" xfId="30132"/>
    <cellStyle name="输入 2 3 7" xfId="30133"/>
    <cellStyle name="输入 2 3 7 2" xfId="21935"/>
    <cellStyle name="输入 2 3 7 3" xfId="30134"/>
    <cellStyle name="输入 2 3 8" xfId="30135"/>
    <cellStyle name="输入 2 3 9" xfId="27670"/>
    <cellStyle name="输入 2 3 9 2" xfId="30136"/>
    <cellStyle name="输入 2 3 9 3" xfId="30137"/>
    <cellStyle name="输入 2 4" xfId="25015"/>
    <cellStyle name="输入 2 4 10" xfId="20504"/>
    <cellStyle name="输入 2 4 2" xfId="30138"/>
    <cellStyle name="输入 2 4 2 2" xfId="12614"/>
    <cellStyle name="输入 2 4 2 2 2" xfId="12330"/>
    <cellStyle name="输入 2 4 2 2 2 2" xfId="30139"/>
    <cellStyle name="输入 2 4 2 2 2 2 2" xfId="30140"/>
    <cellStyle name="输入 2 4 2 2 2 2 3" xfId="30141"/>
    <cellStyle name="输入 2 4 2 2 2 3" xfId="30142"/>
    <cellStyle name="输入 2 4 2 2 2 3 2" xfId="30143"/>
    <cellStyle name="输入 2 4 2 2 2 3 3" xfId="30144"/>
    <cellStyle name="输入 2 4 2 2 2 4" xfId="30145"/>
    <cellStyle name="输入 2 4 2 2 2 5" xfId="30146"/>
    <cellStyle name="输入 2 4 2 2 2 5 2" xfId="30147"/>
    <cellStyle name="输入 2 4 2 2 2 5 3" xfId="2565"/>
    <cellStyle name="输入 2 4 2 2 2 6" xfId="30148"/>
    <cellStyle name="输入 2 4 2 2 3" xfId="30149"/>
    <cellStyle name="输入 2 4 2 2 3 2" xfId="13088"/>
    <cellStyle name="输入 2 4 2 2 3 3" xfId="9529"/>
    <cellStyle name="输入 2 4 2 2 4" xfId="30150"/>
    <cellStyle name="输入 2 4 2 2 4 2" xfId="30151"/>
    <cellStyle name="输入 2 4 2 2 4 3" xfId="30152"/>
    <cellStyle name="输入 2 4 2 2 5" xfId="30153"/>
    <cellStyle name="输入 2 4 2 2 6" xfId="30154"/>
    <cellStyle name="输入 2 4 2 2 6 2" xfId="30155"/>
    <cellStyle name="输入 2 4 2 2 6 3" xfId="30156"/>
    <cellStyle name="输入 2 4 2 2 7" xfId="30157"/>
    <cellStyle name="输入 2 4 2 3" xfId="12407"/>
    <cellStyle name="输入 2 4 2 3 2" xfId="12410"/>
    <cellStyle name="输入 2 4 2 3 2 2" xfId="16253"/>
    <cellStyle name="输入 2 4 2 3 2 3" xfId="16255"/>
    <cellStyle name="输入 2 4 2 3 3" xfId="12412"/>
    <cellStyle name="输入 2 4 2 3 3 2" xfId="12233"/>
    <cellStyle name="输入 2 4 2 3 3 3" xfId="12239"/>
    <cellStyle name="输入 2 4 2 3 4" xfId="30158"/>
    <cellStyle name="输入 2 4 2 3 5" xfId="25809"/>
    <cellStyle name="输入 2 4 2 3 5 2" xfId="14329"/>
    <cellStyle name="输入 2 4 2 3 5 3" xfId="14335"/>
    <cellStyle name="输入 2 4 2 3 6" xfId="25811"/>
    <cellStyle name="输入 2 4 2 4" xfId="12414"/>
    <cellStyle name="输入 2 4 2 4 2" xfId="30159"/>
    <cellStyle name="输入 2 4 2 4 3" xfId="30160"/>
    <cellStyle name="输入 2 4 2 5" xfId="12416"/>
    <cellStyle name="输入 2 4 2 5 2" xfId="17235"/>
    <cellStyle name="输入 2 4 2 5 3" xfId="17237"/>
    <cellStyle name="输入 2 4 2 6" xfId="30161"/>
    <cellStyle name="输入 2 4 2 7" xfId="30162"/>
    <cellStyle name="输入 2 4 2 7 2" xfId="17929"/>
    <cellStyle name="输入 2 4 2 7 3" xfId="30163"/>
    <cellStyle name="输入 2 4 2 8" xfId="30164"/>
    <cellStyle name="输入 2 4 3" xfId="30165"/>
    <cellStyle name="输入 2 4 3 2" xfId="22105"/>
    <cellStyle name="输入 2 4 3 2 2" xfId="30166"/>
    <cellStyle name="输入 2 4 3 2 2 2" xfId="30167"/>
    <cellStyle name="输入 2 4 3 2 2 3" xfId="30168"/>
    <cellStyle name="输入 2 4 3 2 3" xfId="30169"/>
    <cellStyle name="输入 2 4 3 2 3 2" xfId="30170"/>
    <cellStyle name="输入 2 4 3 2 3 3" xfId="30171"/>
    <cellStyle name="输入 2 4 3 2 4" xfId="30172"/>
    <cellStyle name="输入 2 4 3 2 5" xfId="30173"/>
    <cellStyle name="输入 2 4 3 2 5 2" xfId="30174"/>
    <cellStyle name="输入 2 4 3 2 5 3" xfId="30175"/>
    <cellStyle name="输入 2 4 3 2 6" xfId="30176"/>
    <cellStyle name="输入 2 4 3 3" xfId="30177"/>
    <cellStyle name="输入 2 4 3 3 2" xfId="30178"/>
    <cellStyle name="输入 2 4 3 3 3" xfId="30179"/>
    <cellStyle name="输入 2 4 3 4" xfId="30180"/>
    <cellStyle name="输入 2 4 3 4 2" xfId="30181"/>
    <cellStyle name="输入 2 4 3 4 3" xfId="30182"/>
    <cellStyle name="输入 2 4 3 5" xfId="30183"/>
    <cellStyle name="输入 2 4 3 6" xfId="30184"/>
    <cellStyle name="输入 2 4 3 6 2" xfId="14022"/>
    <cellStyle name="输入 2 4 3 6 3" xfId="14025"/>
    <cellStyle name="输入 2 4 3 7" xfId="27803"/>
    <cellStyle name="输入 2 4 4" xfId="30185"/>
    <cellStyle name="输入 2 4 4 2" xfId="22113"/>
    <cellStyle name="输入 2 4 4 2 2" xfId="23578"/>
    <cellStyle name="输入 2 4 4 2 2 2" xfId="15417"/>
    <cellStyle name="输入 2 4 4 2 2 3" xfId="15419"/>
    <cellStyle name="输入 2 4 4 2 3" xfId="23580"/>
    <cellStyle name="输入 2 4 4 2 3 2" xfId="30186"/>
    <cellStyle name="输入 2 4 4 2 3 3" xfId="30187"/>
    <cellStyle name="输入 2 4 4 2 4" xfId="23582"/>
    <cellStyle name="输入 2 4 4 2 5" xfId="30188"/>
    <cellStyle name="输入 2 4 4 2 5 2" xfId="30189"/>
    <cellStyle name="输入 2 4 4 2 5 3" xfId="30190"/>
    <cellStyle name="输入 2 4 4 2 6" xfId="30191"/>
    <cellStyle name="输入 2 4 4 3" xfId="30192"/>
    <cellStyle name="输入 2 4 4 3 2" xfId="30193"/>
    <cellStyle name="输入 2 4 4 3 3" xfId="30194"/>
    <cellStyle name="输入 2 4 4 4" xfId="10658"/>
    <cellStyle name="输入 2 4 4 4 2" xfId="10660"/>
    <cellStyle name="输入 2 4 4 4 3" xfId="10662"/>
    <cellStyle name="输入 2 4 4 5" xfId="10664"/>
    <cellStyle name="输入 2 4 4 6" xfId="30195"/>
    <cellStyle name="输入 2 4 4 6 2" xfId="30196"/>
    <cellStyle name="输入 2 4 4 6 3" xfId="30197"/>
    <cellStyle name="输入 2 4 4 7" xfId="30198"/>
    <cellStyle name="输入 2 4 5" xfId="30199"/>
    <cellStyle name="输入 2 4 5 2" xfId="22124"/>
    <cellStyle name="输入 2 4 5 2 2" xfId="30200"/>
    <cellStyle name="输入 2 4 5 2 3" xfId="8371"/>
    <cellStyle name="输入 2 4 5 3" xfId="30201"/>
    <cellStyle name="输入 2 4 5 3 2" xfId="30202"/>
    <cellStyle name="输入 2 4 5 3 3" xfId="27423"/>
    <cellStyle name="输入 2 4 5 4" xfId="10666"/>
    <cellStyle name="输入 2 4 5 5" xfId="10669"/>
    <cellStyle name="输入 2 4 5 5 2" xfId="8961"/>
    <cellStyle name="输入 2 4 5 5 3" xfId="30203"/>
    <cellStyle name="输入 2 4 5 6" xfId="30204"/>
    <cellStyle name="输入 2 4 6" xfId="30205"/>
    <cellStyle name="输入 2 4 6 2" xfId="22134"/>
    <cellStyle name="输入 2 4 6 3" xfId="30206"/>
    <cellStyle name="输入 2 4 7" xfId="30207"/>
    <cellStyle name="输入 2 4 7 2" xfId="22147"/>
    <cellStyle name="输入 2 4 7 3" xfId="22472"/>
    <cellStyle name="输入 2 4 8" xfId="30208"/>
    <cellStyle name="输入 2 4 9" xfId="30209"/>
    <cellStyle name="输入 2 4 9 2" xfId="22520"/>
    <cellStyle name="输入 2 4 9 3" xfId="22522"/>
    <cellStyle name="输入 2 5" xfId="30210"/>
    <cellStyle name="输入 2 5 2" xfId="30211"/>
    <cellStyle name="输入 2 5 2 2" xfId="22273"/>
    <cellStyle name="输入 2 5 2 2 2" xfId="30212"/>
    <cellStyle name="输入 2 5 2 2 2 2" xfId="10381"/>
    <cellStyle name="输入 2 5 2 2 2 3" xfId="30213"/>
    <cellStyle name="输入 2 5 2 2 3" xfId="20971"/>
    <cellStyle name="输入 2 5 2 2 3 2" xfId="30214"/>
    <cellStyle name="输入 2 5 2 2 3 3" xfId="30215"/>
    <cellStyle name="输入 2 5 2 2 4" xfId="20973"/>
    <cellStyle name="输入 2 5 2 2 5" xfId="20975"/>
    <cellStyle name="输入 2 5 2 2 5 2" xfId="30216"/>
    <cellStyle name="输入 2 5 2 2 5 3" xfId="30217"/>
    <cellStyle name="输入 2 5 2 2 6" xfId="20977"/>
    <cellStyle name="输入 2 5 2 3" xfId="30218"/>
    <cellStyle name="输入 2 5 2 3 2" xfId="30219"/>
    <cellStyle name="输入 2 5 2 3 3" xfId="20980"/>
    <cellStyle name="输入 2 5 2 4" xfId="30220"/>
    <cellStyle name="输入 2 5 2 4 2" xfId="30221"/>
    <cellStyle name="输入 2 5 2 4 3" xfId="20990"/>
    <cellStyle name="输入 2 5 2 5" xfId="30222"/>
    <cellStyle name="输入 2 5 2 6" xfId="30223"/>
    <cellStyle name="输入 2 5 2 6 2" xfId="27567"/>
    <cellStyle name="输入 2 5 2 6 3" xfId="30224"/>
    <cellStyle name="输入 2 5 2 7" xfId="30225"/>
    <cellStyle name="输入 2 5 3" xfId="30226"/>
    <cellStyle name="输入 2 5 3 2" xfId="20786"/>
    <cellStyle name="输入 2 5 3 2 2" xfId="12084"/>
    <cellStyle name="输入 2 5 3 2 3" xfId="30227"/>
    <cellStyle name="输入 2 5 3 3" xfId="30228"/>
    <cellStyle name="输入 2 5 3 3 2" xfId="30229"/>
    <cellStyle name="输入 2 5 3 3 3" xfId="30230"/>
    <cellStyle name="输入 2 5 3 4" xfId="30231"/>
    <cellStyle name="输入 2 5 3 5" xfId="30232"/>
    <cellStyle name="输入 2 5 3 5 2" xfId="30233"/>
    <cellStyle name="输入 2 5 3 5 3" xfId="30234"/>
    <cellStyle name="输入 2 5 3 6" xfId="30235"/>
    <cellStyle name="输入 2 5 4" xfId="30236"/>
    <cellStyle name="输入 2 5 4 2" xfId="4670"/>
    <cellStyle name="输入 2 5 4 3" xfId="30237"/>
    <cellStyle name="输入 2 5 5" xfId="30238"/>
    <cellStyle name="输入 2 5 5 2" xfId="10300"/>
    <cellStyle name="输入 2 5 5 3" xfId="23385"/>
    <cellStyle name="输入 2 5 6" xfId="30239"/>
    <cellStyle name="输入 2 5 7" xfId="30240"/>
    <cellStyle name="输入 2 5 7 2" xfId="9308"/>
    <cellStyle name="输入 2 5 7 3" xfId="9325"/>
    <cellStyle name="输入 2 5 8" xfId="30241"/>
    <cellStyle name="输入 2 6" xfId="30242"/>
    <cellStyle name="输入 2 6 2" xfId="30243"/>
    <cellStyle name="输入 2 6 2 2" xfId="22032"/>
    <cellStyle name="输入 2 6 2 2 2" xfId="30244"/>
    <cellStyle name="输入 2 6 2 2 3" xfId="30245"/>
    <cellStyle name="输入 2 6 2 3" xfId="30246"/>
    <cellStyle name="输入 2 6 2 3 2" xfId="23230"/>
    <cellStyle name="输入 2 6 2 3 3" xfId="30247"/>
    <cellStyle name="输入 2 6 2 4" xfId="30248"/>
    <cellStyle name="输入 2 6 2 5" xfId="30249"/>
    <cellStyle name="输入 2 6 2 5 2" xfId="23524"/>
    <cellStyle name="输入 2 6 2 5 3" xfId="30250"/>
    <cellStyle name="输入 2 6 2 6" xfId="30251"/>
    <cellStyle name="输入 2 6 3" xfId="30252"/>
    <cellStyle name="输入 2 6 3 2" xfId="5891"/>
    <cellStyle name="输入 2 6 3 3" xfId="30253"/>
    <cellStyle name="输入 2 6 4" xfId="30254"/>
    <cellStyle name="输入 2 6 4 2" xfId="2101"/>
    <cellStyle name="输入 2 6 4 3" xfId="30255"/>
    <cellStyle name="输入 2 6 5" xfId="5919"/>
    <cellStyle name="输入 2 6 6" xfId="6420"/>
    <cellStyle name="输入 2 6 6 2" xfId="2670"/>
    <cellStyle name="输入 2 6 6 3" xfId="2736"/>
    <cellStyle name="输入 2 6 7" xfId="6422"/>
    <cellStyle name="输入 2 7" xfId="30256"/>
    <cellStyle name="输入 2 7 2" xfId="30257"/>
    <cellStyle name="输入 2 7 2 2" xfId="13301"/>
    <cellStyle name="输入 2 7 2 2 2" xfId="30258"/>
    <cellStyle name="输入 2 7 2 2 3" xfId="30259"/>
    <cellStyle name="输入 2 7 2 3" xfId="2315"/>
    <cellStyle name="输入 2 7 2 3 2" xfId="30260"/>
    <cellStyle name="输入 2 7 2 3 3" xfId="30261"/>
    <cellStyle name="输入 2 7 2 4" xfId="8397"/>
    <cellStyle name="输入 2 7 2 5" xfId="13304"/>
    <cellStyle name="输入 2 7 2 5 2" xfId="30262"/>
    <cellStyle name="输入 2 7 2 5 3" xfId="30263"/>
    <cellStyle name="输入 2 7 2 6" xfId="4304"/>
    <cellStyle name="输入 2 7 3" xfId="30264"/>
    <cellStyle name="输入 2 7 3 2" xfId="990"/>
    <cellStyle name="输入 2 7 3 3" xfId="5928"/>
    <cellStyle name="输入 2 7 4" xfId="30265"/>
    <cellStyle name="输入 2 7 4 2" xfId="5001"/>
    <cellStyle name="输入 2 7 4 3" xfId="13327"/>
    <cellStyle name="输入 2 7 5" xfId="6432"/>
    <cellStyle name="输入 2 7 6" xfId="6450"/>
    <cellStyle name="输入 2 7 6 2" xfId="8060"/>
    <cellStyle name="输入 2 7 6 3" xfId="8079"/>
    <cellStyle name="输入 2 7 7" xfId="30266"/>
    <cellStyle name="输入 2 8" xfId="30267"/>
    <cellStyle name="输入 2 8 2" xfId="30268"/>
    <cellStyle name="输入 2 8 2 2" xfId="24079"/>
    <cellStyle name="输入 2 8 2 3" xfId="30269"/>
    <cellStyle name="输入 2 8 3" xfId="30270"/>
    <cellStyle name="输入 2 8 3 2" xfId="24091"/>
    <cellStyle name="输入 2 8 3 3" xfId="30271"/>
    <cellStyle name="输入 2 8 4" xfId="30272"/>
    <cellStyle name="输入 2 8 5" xfId="4585"/>
    <cellStyle name="输入 2 8 5 2" xfId="24289"/>
    <cellStyle name="输入 2 8 5 3" xfId="24291"/>
    <cellStyle name="输入 2 8 6" xfId="24"/>
    <cellStyle name="输入 2 9" xfId="12064"/>
    <cellStyle name="输入 2 9 2" xfId="12788"/>
    <cellStyle name="输入 2 9 2 2" xfId="24246"/>
    <cellStyle name="输入 2 9 2 3" xfId="30273"/>
    <cellStyle name="输入 2 9 3" xfId="30274"/>
    <cellStyle name="输入 2 9 4" xfId="30275"/>
    <cellStyle name="输入 2 9 4 2" xfId="12621"/>
    <cellStyle name="输入 2 9 4 3" xfId="24318"/>
    <cellStyle name="输入 2 9 5" xfId="30276"/>
    <cellStyle name="输入 3" xfId="25017"/>
    <cellStyle name="输入 3 2" xfId="4252"/>
    <cellStyle name="输入 3 3" xfId="20341"/>
    <cellStyle name="输入 4" xfId="30277"/>
    <cellStyle name="注释 2" xfId="25839"/>
    <cellStyle name="注释 2 10" xfId="11774"/>
    <cellStyle name="注释 2 10 2" xfId="29034"/>
    <cellStyle name="注释 2 10 2 2" xfId="8930"/>
    <cellStyle name="注释 2 10 2 2 2" xfId="5636"/>
    <cellStyle name="注释 2 10 2 2 3" xfId="30278"/>
    <cellStyle name="注释 2 10 2 3" xfId="9122"/>
    <cellStyle name="注释 2 10 2 4" xfId="9125"/>
    <cellStyle name="注释 2 10 2 4 2" xfId="30279"/>
    <cellStyle name="注释 2 10 2 4 3" xfId="25797"/>
    <cellStyle name="注释 2 10 2 5" xfId="30280"/>
    <cellStyle name="注释 2 10 3" xfId="29036"/>
    <cellStyle name="注释 2 10 3 2" xfId="8940"/>
    <cellStyle name="注释 2 10 3 3" xfId="29038"/>
    <cellStyle name="注释 2 10 4" xfId="29040"/>
    <cellStyle name="注释 2 10 4 2" xfId="19370"/>
    <cellStyle name="注释 2 10 4 3" xfId="9460"/>
    <cellStyle name="注释 2 10 5" xfId="29042"/>
    <cellStyle name="注释 2 10 6" xfId="29045"/>
    <cellStyle name="注释 2 10 6 2" xfId="28741"/>
    <cellStyle name="注释 2 10 6 3" xfId="30281"/>
    <cellStyle name="注释 2 10 7" xfId="30282"/>
    <cellStyle name="注释 2 10 7 2" xfId="30283"/>
    <cellStyle name="注释 2 10 7 3" xfId="28817"/>
    <cellStyle name="注释 2 10 8" xfId="30284"/>
    <cellStyle name="注释 2 11" xfId="21265"/>
    <cellStyle name="注释 2 11 2" xfId="25696"/>
    <cellStyle name="注释 2 11 2 2" xfId="25699"/>
    <cellStyle name="注释 2 11 2 3" xfId="25702"/>
    <cellStyle name="注释 2 11 3" xfId="25705"/>
    <cellStyle name="注释 2 11 3 2" xfId="25708"/>
    <cellStyle name="注释 2 11 3 3" xfId="24008"/>
    <cellStyle name="注释 2 11 4" xfId="25714"/>
    <cellStyle name="注释 2 11 5" xfId="29055"/>
    <cellStyle name="注释 2 11 5 2" xfId="29057"/>
    <cellStyle name="注释 2 11 5 3" xfId="29059"/>
    <cellStyle name="注释 2 11 6" xfId="26785"/>
    <cellStyle name="注释 2 12" xfId="21268"/>
    <cellStyle name="注释 2 12 2" xfId="25717"/>
    <cellStyle name="注释 2 12 2 2" xfId="25720"/>
    <cellStyle name="注释 2 12 2 3" xfId="25723"/>
    <cellStyle name="注释 2 12 3" xfId="25727"/>
    <cellStyle name="注释 2 12 4" xfId="25730"/>
    <cellStyle name="注释 2 12 4 2" xfId="29065"/>
    <cellStyle name="注释 2 12 4 3" xfId="29067"/>
    <cellStyle name="注释 2 12 5" xfId="29069"/>
    <cellStyle name="注释 2 12 5 2" xfId="30285"/>
    <cellStyle name="注释 2 12 5 3" xfId="30286"/>
    <cellStyle name="注释 2 12 6" xfId="30287"/>
    <cellStyle name="注释 2 13" xfId="21271"/>
    <cellStyle name="注释 2 13 2" xfId="29075"/>
    <cellStyle name="注释 2 13 2 2" xfId="30288"/>
    <cellStyle name="注释 2 13 2 3" xfId="30289"/>
    <cellStyle name="注释 2 13 3" xfId="29077"/>
    <cellStyle name="注释 2 13 4" xfId="29081"/>
    <cellStyle name="注释 2 13 4 2" xfId="30290"/>
    <cellStyle name="注释 2 13 4 3" xfId="30291"/>
    <cellStyle name="注释 2 13 5" xfId="30292"/>
    <cellStyle name="注释 2 13 5 2" xfId="30293"/>
    <cellStyle name="注释 2 13 5 3" xfId="30294"/>
    <cellStyle name="注释 2 13 6" xfId="30295"/>
    <cellStyle name="注释 2 14" xfId="21274"/>
    <cellStyle name="注释 2 14 2" xfId="30296"/>
    <cellStyle name="注释 2 14 2 2" xfId="30297"/>
    <cellStyle name="注释 2 14 2 3" xfId="30298"/>
    <cellStyle name="注释 2 14 3" xfId="30299"/>
    <cellStyle name="注释 2 14 3 2" xfId="30300"/>
    <cellStyle name="注释 2 14 3 3" xfId="30301"/>
    <cellStyle name="注释 2 14 4" xfId="30302"/>
    <cellStyle name="注释 2 14 4 2" xfId="391"/>
    <cellStyle name="注释 2 14 4 3" xfId="28"/>
    <cellStyle name="注释 2 14 5" xfId="30303"/>
    <cellStyle name="注释 2 15" xfId="21276"/>
    <cellStyle name="注释 2 16" xfId="21278"/>
    <cellStyle name="注释 2 16 2" xfId="30304"/>
    <cellStyle name="注释 2 16 3" xfId="30305"/>
    <cellStyle name="注释 2 17" xfId="24631"/>
    <cellStyle name="注释 2 18" xfId="30306"/>
    <cellStyle name="注释 2 18 2" xfId="30307"/>
    <cellStyle name="注释 2 2" xfId="23763"/>
    <cellStyle name="注释 2 2 10" xfId="27178"/>
    <cellStyle name="注释 2 2 10 2" xfId="27180"/>
    <cellStyle name="注释 2 2 10 3" xfId="27186"/>
    <cellStyle name="注释 2 2 11" xfId="27190"/>
    <cellStyle name="注释 2 2 11 2" xfId="25105"/>
    <cellStyle name="注释 2 2 11 3" xfId="1117"/>
    <cellStyle name="注释 2 2 12" xfId="12588"/>
    <cellStyle name="注释 2 2 13" xfId="12600"/>
    <cellStyle name="注释 2 2 13 2" xfId="30308"/>
    <cellStyle name="注释 2 2 13 3" xfId="24396"/>
    <cellStyle name="注释 2 2 14" xfId="2913"/>
    <cellStyle name="注释 2 2 15" xfId="30309"/>
    <cellStyle name="注释 2 2 2" xfId="25841"/>
    <cellStyle name="注释 2 2 2 10" xfId="10315"/>
    <cellStyle name="注释 2 2 2 11" xfId="10318"/>
    <cellStyle name="注释 2 2 2 11 2" xfId="29746"/>
    <cellStyle name="注释 2 2 2 11 3" xfId="30310"/>
    <cellStyle name="注释 2 2 2 12" xfId="26642"/>
    <cellStyle name="注释 2 2 2 2" xfId="30311"/>
    <cellStyle name="注释 2 2 2 2 10" xfId="194"/>
    <cellStyle name="注释 2 2 2 2 10 2" xfId="28217"/>
    <cellStyle name="注释 2 2 2 2 10 3" xfId="28246"/>
    <cellStyle name="注释 2 2 2 2 11" xfId="30312"/>
    <cellStyle name="注释 2 2 2 2 2" xfId="30313"/>
    <cellStyle name="注释 2 2 2 2 2 2" xfId="30314"/>
    <cellStyle name="注释 2 2 2 2 2 2 2" xfId="30315"/>
    <cellStyle name="注释 2 2 2 2 2 2 3" xfId="30316"/>
    <cellStyle name="注释 2 2 2 2 2 3" xfId="456"/>
    <cellStyle name="注释 2 2 2 2 2 3 2" xfId="29053"/>
    <cellStyle name="注释 2 2 2 2 2 3 3" xfId="30317"/>
    <cellStyle name="注释 2 2 2 2 2 4" xfId="470"/>
    <cellStyle name="注释 2 2 2 2 2 4 2" xfId="30318"/>
    <cellStyle name="注释 2 2 2 2 2 4 3" xfId="30319"/>
    <cellStyle name="注释 2 2 2 2 2 5" xfId="30320"/>
    <cellStyle name="注释 2 2 2 2 2 6" xfId="30322"/>
    <cellStyle name="注释 2 2 2 2 2 6 2" xfId="30324"/>
    <cellStyle name="注释 2 2 2 2 2 6 3" xfId="30326"/>
    <cellStyle name="注释 2 2 2 2 2 7" xfId="30328"/>
    <cellStyle name="注释 2 2 2 2 3" xfId="30329"/>
    <cellStyle name="注释 2 2 2 2 3 2" xfId="30330"/>
    <cellStyle name="注释 2 2 2 2 3 2 2" xfId="30331"/>
    <cellStyle name="注释 2 2 2 2 3 2 3" xfId="30332"/>
    <cellStyle name="注释 2 2 2 2 3 3" xfId="30333"/>
    <cellStyle name="注释 2 2 2 2 3 3 2" xfId="30334"/>
    <cellStyle name="注释 2 2 2 2 3 3 3" xfId="30335"/>
    <cellStyle name="注释 2 2 2 2 3 4" xfId="30336"/>
    <cellStyle name="注释 2 2 2 2 3 4 2" xfId="30337"/>
    <cellStyle name="注释 2 2 2 2 3 4 3" xfId="30338"/>
    <cellStyle name="注释 2 2 2 2 3 5" xfId="30339"/>
    <cellStyle name="注释 2 2 2 2 3 6" xfId="30341"/>
    <cellStyle name="注释 2 2 2 2 3 6 2" xfId="11156"/>
    <cellStyle name="注释 2 2 2 2 3 6 3" xfId="30342"/>
    <cellStyle name="注释 2 2 2 2 3 7" xfId="30344"/>
    <cellStyle name="注释 2 2 2 2 4" xfId="30345"/>
    <cellStyle name="注释 2 2 2 2 4 2" xfId="12066"/>
    <cellStyle name="注释 2 2 2 2 4 2 2" xfId="12068"/>
    <cellStyle name="注释 2 2 2 2 4 2 2 2" xfId="30346"/>
    <cellStyle name="注释 2 2 2 2 4 2 2 3" xfId="30347"/>
    <cellStyle name="注释 2 2 2 2 4 2 3" xfId="30348"/>
    <cellStyle name="注释 2 2 2 2 4 2 4" xfId="30349"/>
    <cellStyle name="注释 2 2 2 2 4 2 4 2" xfId="12658"/>
    <cellStyle name="注释 2 2 2 2 4 2 4 3" xfId="24327"/>
    <cellStyle name="注释 2 2 2 2 4 2 5" xfId="30350"/>
    <cellStyle name="注释 2 2 2 2 4 3" xfId="30351"/>
    <cellStyle name="注释 2 2 2 2 4 3 2" xfId="30352"/>
    <cellStyle name="注释 2 2 2 2 4 3 3" xfId="30353"/>
    <cellStyle name="注释 2 2 2 2 4 4" xfId="30354"/>
    <cellStyle name="注释 2 2 2 2 4 4 2" xfId="30355"/>
    <cellStyle name="注释 2 2 2 2 4 4 3" xfId="30356"/>
    <cellStyle name="注释 2 2 2 2 4 5" xfId="30357"/>
    <cellStyle name="注释 2 2 2 2 4 6" xfId="30359"/>
    <cellStyle name="注释 2 2 2 2 4 6 2" xfId="30360"/>
    <cellStyle name="注释 2 2 2 2 4 6 3" xfId="30361"/>
    <cellStyle name="注释 2 2 2 2 4 7" xfId="30363"/>
    <cellStyle name="注释 2 2 2 2 4 7 2" xfId="30364"/>
    <cellStyle name="注释 2 2 2 2 4 7 3" xfId="30365"/>
    <cellStyle name="注释 2 2 2 2 4 8" xfId="30366"/>
    <cellStyle name="注释 2 2 2 2 5" xfId="30367"/>
    <cellStyle name="注释 2 2 2 2 5 2" xfId="26402"/>
    <cellStyle name="注释 2 2 2 2 5 2 2" xfId="26089"/>
    <cellStyle name="注释 2 2 2 2 5 2 3" xfId="26100"/>
    <cellStyle name="注释 2 2 2 2 5 3" xfId="30368"/>
    <cellStyle name="注释 2 2 2 2 5 3 2" xfId="26116"/>
    <cellStyle name="注释 2 2 2 2 5 3 3" xfId="26122"/>
    <cellStyle name="注释 2 2 2 2 5 4" xfId="30369"/>
    <cellStyle name="注释 2 2 2 2 5 5" xfId="30370"/>
    <cellStyle name="注释 2 2 2 2 5 5 2" xfId="26137"/>
    <cellStyle name="注释 2 2 2 2 5 5 3" xfId="26139"/>
    <cellStyle name="注释 2 2 2 2 5 6" xfId="30372"/>
    <cellStyle name="注释 2 2 2 2 6" xfId="30373"/>
    <cellStyle name="注释 2 2 2 2 6 2" xfId="30374"/>
    <cellStyle name="注释 2 2 2 2 6 3" xfId="30375"/>
    <cellStyle name="注释 2 2 2 2 7" xfId="30376"/>
    <cellStyle name="注释 2 2 2 2 7 2" xfId="30377"/>
    <cellStyle name="注释 2 2 2 2 7 3" xfId="30378"/>
    <cellStyle name="注释 2 2 2 2 8" xfId="30379"/>
    <cellStyle name="注释 2 2 2 2 8 2" xfId="30380"/>
    <cellStyle name="注释 2 2 2 2 8 3" xfId="30381"/>
    <cellStyle name="注释 2 2 2 2 9" xfId="30382"/>
    <cellStyle name="注释 2 2 2 3" xfId="17247"/>
    <cellStyle name="注释 2 2 2 3 2" xfId="29758"/>
    <cellStyle name="注释 2 2 2 3 2 2" xfId="30383"/>
    <cellStyle name="注释 2 2 2 3 2 3" xfId="10621"/>
    <cellStyle name="注释 2 2 2 3 3" xfId="6637"/>
    <cellStyle name="注释 2 2 2 3 3 2" xfId="6645"/>
    <cellStyle name="注释 2 2 2 3 3 3" xfId="6673"/>
    <cellStyle name="注释 2 2 2 3 4" xfId="6694"/>
    <cellStyle name="注释 2 2 2 3 4 2" xfId="1920"/>
    <cellStyle name="注释 2 2 2 3 4 3" xfId="6713"/>
    <cellStyle name="注释 2 2 2 3 5" xfId="1019"/>
    <cellStyle name="注释 2 2 2 3 6" xfId="255"/>
    <cellStyle name="注释 2 2 2 3 6 2" xfId="30384"/>
    <cellStyle name="注释 2 2 2 3 6 3" xfId="30385"/>
    <cellStyle name="注释 2 2 2 3 7" xfId="30386"/>
    <cellStyle name="注释 2 2 2 4" xfId="1790"/>
    <cellStyle name="注释 2 2 2 4 2" xfId="29760"/>
    <cellStyle name="注释 2 2 2 4 2 2" xfId="30387"/>
    <cellStyle name="注释 2 2 2 4 2 3" xfId="30388"/>
    <cellStyle name="注释 2 2 2 4 3" xfId="1820"/>
    <cellStyle name="注释 2 2 2 4 3 2" xfId="6740"/>
    <cellStyle name="注释 2 2 2 4 3 3" xfId="6751"/>
    <cellStyle name="注释 2 2 2 4 4" xfId="6756"/>
    <cellStyle name="注释 2 2 2 4 4 2" xfId="5264"/>
    <cellStyle name="注释 2 2 2 4 4 3" xfId="6763"/>
    <cellStyle name="注释 2 2 2 4 5" xfId="759"/>
    <cellStyle name="注释 2 2 2 4 6" xfId="30389"/>
    <cellStyle name="注释 2 2 2 4 6 2" xfId="30390"/>
    <cellStyle name="注释 2 2 2 4 6 3" xfId="30391"/>
    <cellStyle name="注释 2 2 2 4 7" xfId="30392"/>
    <cellStyle name="注释 2 2 2 5" xfId="331"/>
    <cellStyle name="注释 2 2 2 5 2" xfId="30393"/>
    <cellStyle name="注释 2 2 2 5 2 2" xfId="30394"/>
    <cellStyle name="注释 2 2 2 5 2 2 2" xfId="30395"/>
    <cellStyle name="注释 2 2 2 5 2 2 3" xfId="30396"/>
    <cellStyle name="注释 2 2 2 5 2 3" xfId="30397"/>
    <cellStyle name="注释 2 2 2 5 2 4" xfId="30398"/>
    <cellStyle name="注释 2 2 2 5 2 4 2" xfId="30399"/>
    <cellStyle name="注释 2 2 2 5 2 4 3" xfId="30400"/>
    <cellStyle name="注释 2 2 2 5 2 5" xfId="30401"/>
    <cellStyle name="注释 2 2 2 5 3" xfId="1664"/>
    <cellStyle name="注释 2 2 2 5 3 2" xfId="6780"/>
    <cellStyle name="注释 2 2 2 5 3 3" xfId="6798"/>
    <cellStyle name="注释 2 2 2 5 4" xfId="5896"/>
    <cellStyle name="注释 2 2 2 5 4 2" xfId="5902"/>
    <cellStyle name="注释 2 2 2 5 4 3" xfId="5915"/>
    <cellStyle name="注释 2 2 2 5 5" xfId="2663"/>
    <cellStyle name="注释 2 2 2 5 6" xfId="30402"/>
    <cellStyle name="注释 2 2 2 5 6 2" xfId="30403"/>
    <cellStyle name="注释 2 2 2 5 6 3" xfId="30404"/>
    <cellStyle name="注释 2 2 2 5 7" xfId="30405"/>
    <cellStyle name="注释 2 2 2 5 7 2" xfId="30040"/>
    <cellStyle name="注释 2 2 2 5 7 3" xfId="30406"/>
    <cellStyle name="注释 2 2 2 5 8" xfId="30407"/>
    <cellStyle name="注释 2 2 2 6" xfId="1669"/>
    <cellStyle name="注释 2 2 2 6 2" xfId="29762"/>
    <cellStyle name="注释 2 2 2 6 2 2" xfId="30408"/>
    <cellStyle name="注释 2 2 2 6 2 3" xfId="4858"/>
    <cellStyle name="注释 2 2 2 6 3" xfId="1695"/>
    <cellStyle name="注释 2 2 2 6 3 2" xfId="1982"/>
    <cellStyle name="注释 2 2 2 6 3 3" xfId="2029"/>
    <cellStyle name="注释 2 2 2 6 4" xfId="2107"/>
    <cellStyle name="注释 2 2 2 6 5" xfId="30409"/>
    <cellStyle name="注释 2 2 2 6 5 2" xfId="30410"/>
    <cellStyle name="注释 2 2 2 6 5 3" xfId="16483"/>
    <cellStyle name="注释 2 2 2 6 6" xfId="30411"/>
    <cellStyle name="注释 2 2 2 7" xfId="17250"/>
    <cellStyle name="注释 2 2 2 7 2" xfId="30412"/>
    <cellStyle name="注释 2 2 2 7 3" xfId="2279"/>
    <cellStyle name="注释 2 2 2 8" xfId="17253"/>
    <cellStyle name="注释 2 2 2 8 2" xfId="12541"/>
    <cellStyle name="注释 2 2 2 8 3" xfId="30413"/>
    <cellStyle name="注释 2 2 2 9" xfId="17255"/>
    <cellStyle name="注释 2 2 2 9 2" xfId="30414"/>
    <cellStyle name="注释 2 2 2 9 3" xfId="30415"/>
    <cellStyle name="注释 2 2 3" xfId="25843"/>
    <cellStyle name="注释 2 2 3 10" xfId="11326"/>
    <cellStyle name="注释 2 2 3 10 2" xfId="30416"/>
    <cellStyle name="注释 2 2 3 10 3" xfId="30417"/>
    <cellStyle name="注释 2 2 3 11" xfId="11329"/>
    <cellStyle name="注释 2 2 3 2" xfId="25846"/>
    <cellStyle name="注释 2 2 3 2 2" xfId="30418"/>
    <cellStyle name="注释 2 2 3 2 2 2" xfId="21941"/>
    <cellStyle name="注释 2 2 3 2 2 3" xfId="10912"/>
    <cellStyle name="注释 2 2 3 2 3" xfId="30419"/>
    <cellStyle name="注释 2 2 3 2 3 2" xfId="21951"/>
    <cellStyle name="注释 2 2 3 2 3 3" xfId="30420"/>
    <cellStyle name="注释 2 2 3 2 4" xfId="30044"/>
    <cellStyle name="注释 2 2 3 2 4 2" xfId="30421"/>
    <cellStyle name="注释 2 2 3 2 4 3" xfId="30422"/>
    <cellStyle name="注释 2 2 3 2 5" xfId="30046"/>
    <cellStyle name="注释 2 2 3 2 6" xfId="30423"/>
    <cellStyle name="注释 2 2 3 2 6 2" xfId="30424"/>
    <cellStyle name="注释 2 2 3 2 6 3" xfId="30425"/>
    <cellStyle name="注释 2 2 3 2 7" xfId="29119"/>
    <cellStyle name="注释 2 2 3 3" xfId="17257"/>
    <cellStyle name="注释 2 2 3 3 2" xfId="30426"/>
    <cellStyle name="注释 2 2 3 3 2 2" xfId="30427"/>
    <cellStyle name="注释 2 2 3 3 2 3" xfId="10936"/>
    <cellStyle name="注释 2 2 3 3 3" xfId="6810"/>
    <cellStyle name="注释 2 2 3 3 3 2" xfId="6207"/>
    <cellStyle name="注释 2 2 3 3 3 3" xfId="6829"/>
    <cellStyle name="注释 2 2 3 3 4" xfId="6835"/>
    <cellStyle name="注释 2 2 3 3 4 2" xfId="6839"/>
    <cellStyle name="注释 2 2 3 3 4 3" xfId="6848"/>
    <cellStyle name="注释 2 2 3 3 5" xfId="6853"/>
    <cellStyle name="注释 2 2 3 3 6" xfId="6872"/>
    <cellStyle name="注释 2 2 3 3 6 2" xfId="30428"/>
    <cellStyle name="注释 2 2 3 3 6 3" xfId="30429"/>
    <cellStyle name="注释 2 2 3 3 7" xfId="29601"/>
    <cellStyle name="注释 2 2 3 4" xfId="1841"/>
    <cellStyle name="注释 2 2 3 4 2" xfId="30430"/>
    <cellStyle name="注释 2 2 3 4 2 2" xfId="1869"/>
    <cellStyle name="注释 2 2 3 4 2 2 2" xfId="30431"/>
    <cellStyle name="注释 2 2 3 4 2 2 3" xfId="30432"/>
    <cellStyle name="注释 2 2 3 4 2 3" xfId="1872"/>
    <cellStyle name="注释 2 2 3 4 2 4" xfId="14712"/>
    <cellStyle name="注释 2 2 3 4 2 4 2" xfId="19191"/>
    <cellStyle name="注释 2 2 3 4 2 4 3" xfId="19194"/>
    <cellStyle name="注释 2 2 3 4 2 5" xfId="30433"/>
    <cellStyle name="注释 2 2 3 4 3" xfId="1875"/>
    <cellStyle name="注释 2 2 3 4 3 2" xfId="6880"/>
    <cellStyle name="注释 2 2 3 4 3 3" xfId="6888"/>
    <cellStyle name="注释 2 2 3 4 4" xfId="6890"/>
    <cellStyle name="注释 2 2 3 4 4 2" xfId="6892"/>
    <cellStyle name="注释 2 2 3 4 4 3" xfId="6894"/>
    <cellStyle name="注释 2 2 3 4 5" xfId="2320"/>
    <cellStyle name="注释 2 2 3 4 6" xfId="30434"/>
    <cellStyle name="注释 2 2 3 4 6 2" xfId="30435"/>
    <cellStyle name="注释 2 2 3 4 6 3" xfId="30436"/>
    <cellStyle name="注释 2 2 3 4 7" xfId="29604"/>
    <cellStyle name="注释 2 2 3 4 7 2" xfId="15100"/>
    <cellStyle name="注释 2 2 3 4 7 3" xfId="15102"/>
    <cellStyle name="注释 2 2 3 4 8" xfId="29606"/>
    <cellStyle name="注释 2 2 3 5" xfId="1714"/>
    <cellStyle name="注释 2 2 3 5 2" xfId="30437"/>
    <cellStyle name="注释 2 2 3 5 2 2" xfId="30438"/>
    <cellStyle name="注释 2 2 3 5 2 3" xfId="30439"/>
    <cellStyle name="注释 2 2 3 5 3" xfId="953"/>
    <cellStyle name="注释 2 2 3 5 3 2" xfId="6904"/>
    <cellStyle name="注释 2 2 3 5 3 3" xfId="6925"/>
    <cellStyle name="注释 2 2 3 5 4" xfId="985"/>
    <cellStyle name="注释 2 2 3 5 5" xfId="5930"/>
    <cellStyle name="注释 2 2 3 5 5 2" xfId="30440"/>
    <cellStyle name="注释 2 2 3 5 5 3" xfId="30441"/>
    <cellStyle name="注释 2 2 3 5 6" xfId="5333"/>
    <cellStyle name="注释 2 2 3 6" xfId="1743"/>
    <cellStyle name="注释 2 2 3 6 2" xfId="30442"/>
    <cellStyle name="注释 2 2 3 6 3" xfId="4990"/>
    <cellStyle name="注释 2 2 3 7" xfId="7429"/>
    <cellStyle name="注释 2 2 3 7 2" xfId="1435"/>
    <cellStyle name="注释 2 2 3 7 3" xfId="5033"/>
    <cellStyle name="注释 2 2 3 8" xfId="6090"/>
    <cellStyle name="注释 2 2 3 8 2" xfId="5097"/>
    <cellStyle name="注释 2 2 3 8 3" xfId="5124"/>
    <cellStyle name="注释 2 2 3 9" xfId="6099"/>
    <cellStyle name="注释 2 2 4" xfId="30443"/>
    <cellStyle name="注释 2 2 4 10" xfId="12985"/>
    <cellStyle name="注释 2 2 4 10 2" xfId="4022"/>
    <cellStyle name="注释 2 2 4 10 3" xfId="14016"/>
    <cellStyle name="注释 2 2 4 11" xfId="12990"/>
    <cellStyle name="注释 2 2 4 2" xfId="30444"/>
    <cellStyle name="注释 2 2 4 2 2" xfId="30445"/>
    <cellStyle name="注释 2 2 4 2 2 2" xfId="15377"/>
    <cellStyle name="注释 2 2 4 2 2 3" xfId="11216"/>
    <cellStyle name="注释 2 2 4 2 3" xfId="30446"/>
    <cellStyle name="注释 2 2 4 2 3 2" xfId="13220"/>
    <cellStyle name="注释 2 2 4 2 3 3" xfId="11224"/>
    <cellStyle name="注释 2 2 4 2 4" xfId="30447"/>
    <cellStyle name="注释 2 2 4 2 4 2" xfId="8420"/>
    <cellStyle name="注释 2 2 4 2 4 3" xfId="30448"/>
    <cellStyle name="注释 2 2 4 2 5" xfId="30449"/>
    <cellStyle name="注释 2 2 4 2 6" xfId="30450"/>
    <cellStyle name="注释 2 2 4 2 6 2" xfId="28651"/>
    <cellStyle name="注释 2 2 4 2 6 3" xfId="28654"/>
    <cellStyle name="注释 2 2 4 2 7" xfId="30451"/>
    <cellStyle name="注释 2 2 4 3" xfId="17260"/>
    <cellStyle name="注释 2 2 4 3 2" xfId="30452"/>
    <cellStyle name="注释 2 2 4 3 2 2" xfId="30453"/>
    <cellStyle name="注释 2 2 4 3 2 3" xfId="11243"/>
    <cellStyle name="注释 2 2 4 3 3" xfId="6642"/>
    <cellStyle name="注释 2 2 4 3 3 2" xfId="6338"/>
    <cellStyle name="注释 2 2 4 3 3 3" xfId="4108"/>
    <cellStyle name="注释 2 2 4 3 4" xfId="6671"/>
    <cellStyle name="注释 2 2 4 3 4 2" xfId="6677"/>
    <cellStyle name="注释 2 2 4 3 4 3" xfId="4001"/>
    <cellStyle name="注释 2 2 4 3 5" xfId="6688"/>
    <cellStyle name="注释 2 2 4 3 6" xfId="6983"/>
    <cellStyle name="注释 2 2 4 3 6 2" xfId="9007"/>
    <cellStyle name="注释 2 2 4 3 6 3" xfId="28681"/>
    <cellStyle name="注释 2 2 4 3 7" xfId="30454"/>
    <cellStyle name="注释 2 2 4 4" xfId="1895"/>
    <cellStyle name="注释 2 2 4 4 2" xfId="1907"/>
    <cellStyle name="注释 2 2 4 4 2 2" xfId="30455"/>
    <cellStyle name="注释 2 2 4 4 2 2 2" xfId="14299"/>
    <cellStyle name="注释 2 2 4 4 2 2 3" xfId="14306"/>
    <cellStyle name="注释 2 2 4 4 2 3" xfId="11264"/>
    <cellStyle name="注释 2 2 4 4 2 4" xfId="11266"/>
    <cellStyle name="注释 2 2 4 4 2 4 2" xfId="14357"/>
    <cellStyle name="注释 2 2 4 4 2 4 3" xfId="10522"/>
    <cellStyle name="注释 2 2 4 4 2 5" xfId="30456"/>
    <cellStyle name="注释 2 2 4 4 3" xfId="1915"/>
    <cellStyle name="注释 2 2 4 4 3 2" xfId="6698"/>
    <cellStyle name="注释 2 2 4 4 3 3" xfId="6704"/>
    <cellStyle name="注释 2 2 4 4 4" xfId="6710"/>
    <cellStyle name="注释 2 2 4 4 4 2" xfId="6998"/>
    <cellStyle name="注释 2 2 4 4 4 3" xfId="4974"/>
    <cellStyle name="注释 2 2 4 4 5" xfId="7007"/>
    <cellStyle name="注释 2 2 4 4 6" xfId="14008"/>
    <cellStyle name="注释 2 2 4 4 6 2" xfId="9033"/>
    <cellStyle name="注释 2 2 4 4 6 3" xfId="28691"/>
    <cellStyle name="注释 2 2 4 4 7" xfId="14012"/>
    <cellStyle name="注释 2 2 4 4 7 2" xfId="30457"/>
    <cellStyle name="注释 2 2 4 4 7 3" xfId="30458"/>
    <cellStyle name="注释 2 2 4 4 8" xfId="18259"/>
    <cellStyle name="注释 2 2 4 5" xfId="1760"/>
    <cellStyle name="注释 2 2 4 5 2" xfId="30459"/>
    <cellStyle name="注释 2 2 4 5 2 2" xfId="30460"/>
    <cellStyle name="注释 2 2 4 5 2 3" xfId="30461"/>
    <cellStyle name="注释 2 2 4 5 3" xfId="6717"/>
    <cellStyle name="注释 2 2 4 5 3 2" xfId="7016"/>
    <cellStyle name="注释 2 2 4 5 3 3" xfId="7031"/>
    <cellStyle name="注释 2 2 4 5 4" xfId="6721"/>
    <cellStyle name="注释 2 2 4 5 5" xfId="7041"/>
    <cellStyle name="注释 2 2 4 5 5 2" xfId="30462"/>
    <cellStyle name="注释 2 2 4 5 5 3" xfId="30463"/>
    <cellStyle name="注释 2 2 4 5 6" xfId="30464"/>
    <cellStyle name="注释 2 2 4 6" xfId="3782"/>
    <cellStyle name="注释 2 2 4 6 2" xfId="30465"/>
    <cellStyle name="注释 2 2 4 6 3" xfId="3801"/>
    <cellStyle name="注释 2 2 4 7" xfId="3811"/>
    <cellStyle name="注释 2 2 4 7 2" xfId="5178"/>
    <cellStyle name="注释 2 2 4 7 3" xfId="7048"/>
    <cellStyle name="注释 2 2 4 8" xfId="1504"/>
    <cellStyle name="注释 2 2 4 8 2" xfId="4727"/>
    <cellStyle name="注释 2 2 4 8 3" xfId="4737"/>
    <cellStyle name="注释 2 2 4 9" xfId="1520"/>
    <cellStyle name="注释 2 2 5" xfId="30466"/>
    <cellStyle name="注释 2 2 5 2" xfId="30467"/>
    <cellStyle name="注释 2 2 5 2 2" xfId="30468"/>
    <cellStyle name="注释 2 2 5 2 3" xfId="30469"/>
    <cellStyle name="注释 2 2 5 3" xfId="17263"/>
    <cellStyle name="注释 2 2 5 3 2" xfId="30470"/>
    <cellStyle name="注释 2 2 5 3 3" xfId="6736"/>
    <cellStyle name="注释 2 2 5 4" xfId="1934"/>
    <cellStyle name="注释 2 2 5 4 2" xfId="30471"/>
    <cellStyle name="注释 2 2 5 4 3" xfId="5261"/>
    <cellStyle name="注释 2 2 5 5" xfId="17265"/>
    <cellStyle name="注释 2 2 5 6" xfId="3826"/>
    <cellStyle name="注释 2 2 5 6 2" xfId="5163"/>
    <cellStyle name="注释 2 2 5 6 3" xfId="9514"/>
    <cellStyle name="注释 2 2 5 7" xfId="3832"/>
    <cellStyle name="注释 2 2 6" xfId="30473"/>
    <cellStyle name="注释 2 2 6 2" xfId="30474"/>
    <cellStyle name="注释 2 2 6 2 2" xfId="30475"/>
    <cellStyle name="注释 2 2 6 2 3" xfId="11598"/>
    <cellStyle name="注释 2 2 6 3" xfId="17267"/>
    <cellStyle name="注释 2 2 6 3 2" xfId="30476"/>
    <cellStyle name="注释 2 2 6 3 3" xfId="6776"/>
    <cellStyle name="注释 2 2 6 4" xfId="17270"/>
    <cellStyle name="注释 2 2 6 4 2" xfId="27954"/>
    <cellStyle name="注释 2 2 6 4 3" xfId="5898"/>
    <cellStyle name="注释 2 2 6 5" xfId="17273"/>
    <cellStyle name="注释 2 2 6 6" xfId="11416"/>
    <cellStyle name="注释 2 2 6 6 2" xfId="27991"/>
    <cellStyle name="注释 2 2 6 6 3" xfId="27996"/>
    <cellStyle name="注释 2 2 6 7" xfId="7481"/>
    <cellStyle name="注释 2 2 7" xfId="28670"/>
    <cellStyle name="注释 2 2 7 2" xfId="30477"/>
    <cellStyle name="注释 2 2 7 2 2" xfId="30478"/>
    <cellStyle name="注释 2 2 7 2 2 2" xfId="30479"/>
    <cellStyle name="注释 2 2 7 2 2 3" xfId="30480"/>
    <cellStyle name="注释 2 2 7 2 3" xfId="20413"/>
    <cellStyle name="注释 2 2 7 2 4" xfId="9677"/>
    <cellStyle name="注释 2 2 7 2 4 2" xfId="7124"/>
    <cellStyle name="注释 2 2 7 2 4 3" xfId="30481"/>
    <cellStyle name="注释 2 2 7 2 5" xfId="9697"/>
    <cellStyle name="注释 2 2 7 3" xfId="17278"/>
    <cellStyle name="注释 2 2 7 3 2" xfId="30482"/>
    <cellStyle name="注释 2 2 7 3 3" xfId="1971"/>
    <cellStyle name="注释 2 2 7 4" xfId="17281"/>
    <cellStyle name="注释 2 2 7 4 2" xfId="2182"/>
    <cellStyle name="注释 2 2 7 4 3" xfId="2118"/>
    <cellStyle name="注释 2 2 7 5" xfId="17284"/>
    <cellStyle name="注释 2 2 7 6" xfId="17287"/>
    <cellStyle name="注释 2 2 7 6 2" xfId="28024"/>
    <cellStyle name="注释 2 2 7 6 3" xfId="28027"/>
    <cellStyle name="注释 2 2 7 7" xfId="7499"/>
    <cellStyle name="注释 2 2 7 7 2" xfId="28032"/>
    <cellStyle name="注释 2 2 7 7 3" xfId="30483"/>
    <cellStyle name="注释 2 2 7 8" xfId="7507"/>
    <cellStyle name="注释 2 2 8" xfId="28672"/>
    <cellStyle name="注释 2 2 8 2" xfId="30484"/>
    <cellStyle name="注释 2 2 8 2 2" xfId="20141"/>
    <cellStyle name="注释 2 2 8 2 3" xfId="20145"/>
    <cellStyle name="注释 2 2 8 3" xfId="30485"/>
    <cellStyle name="注释 2 2 8 3 2" xfId="20152"/>
    <cellStyle name="注释 2 2 8 3 3" xfId="2283"/>
    <cellStyle name="注释 2 2 8 4" xfId="30486"/>
    <cellStyle name="注释 2 2 8 5" xfId="30487"/>
    <cellStyle name="注释 2 2 8 5 2" xfId="20165"/>
    <cellStyle name="注释 2 2 8 5 3" xfId="20170"/>
    <cellStyle name="注释 2 2 8 6" xfId="30488"/>
    <cellStyle name="注释 2 2 9" xfId="30489"/>
    <cellStyle name="注释 2 2 9 2" xfId="30490"/>
    <cellStyle name="注释 2 2 9 3" xfId="30491"/>
    <cellStyle name="注释 2 3" xfId="25848"/>
    <cellStyle name="注释 2 3 10" xfId="30492"/>
    <cellStyle name="注释 2 3 10 2" xfId="11004"/>
    <cellStyle name="注释 2 3 10 3" xfId="16917"/>
    <cellStyle name="注释 2 3 11" xfId="30493"/>
    <cellStyle name="注释 2 3 11 2" xfId="11011"/>
    <cellStyle name="注释 2 3 11 3" xfId="16926"/>
    <cellStyle name="注释 2 3 12" xfId="24740"/>
    <cellStyle name="注释 2 3 13" xfId="30494"/>
    <cellStyle name="注释 2 3 13 2" xfId="16938"/>
    <cellStyle name="注释 2 3 13 3" xfId="3493"/>
    <cellStyle name="注释 2 3 14" xfId="30495"/>
    <cellStyle name="注释 2 3 2" xfId="30496"/>
    <cellStyle name="注释 2 3 2 10" xfId="11436"/>
    <cellStyle name="注释 2 3 2 11" xfId="30497"/>
    <cellStyle name="注释 2 3 2 11 2" xfId="6786"/>
    <cellStyle name="注释 2 3 2 11 3" xfId="2977"/>
    <cellStyle name="注释 2 3 2 12" xfId="30498"/>
    <cellStyle name="注释 2 3 2 2" xfId="18485"/>
    <cellStyle name="注释 2 3 2 2 10" xfId="30499"/>
    <cellStyle name="注释 2 3 2 2 10 2" xfId="30500"/>
    <cellStyle name="注释 2 3 2 2 10 3" xfId="15272"/>
    <cellStyle name="注释 2 3 2 2 11" xfId="30501"/>
    <cellStyle name="注释 2 3 2 2 2" xfId="30502"/>
    <cellStyle name="注释 2 3 2 2 2 2" xfId="8392"/>
    <cellStyle name="注释 2 3 2 2 2 2 2" xfId="6850"/>
    <cellStyle name="注释 2 3 2 2 2 2 3" xfId="6868"/>
    <cellStyle name="注释 2 3 2 2 2 3" xfId="8395"/>
    <cellStyle name="注释 2 3 2 2 2 3 2" xfId="2317"/>
    <cellStyle name="注释 2 3 2 2 2 3 3" xfId="8399"/>
    <cellStyle name="注释 2 3 2 2 2 4" xfId="1383"/>
    <cellStyle name="注释 2 3 2 2 2 4 2" xfId="30503"/>
    <cellStyle name="注释 2 3 2 2 2 4 3" xfId="28623"/>
    <cellStyle name="注释 2 3 2 2 2 5" xfId="29818"/>
    <cellStyle name="注释 2 3 2 2 2 6" xfId="29829"/>
    <cellStyle name="注释 2 3 2 2 2 6 2" xfId="29831"/>
    <cellStyle name="注释 2 3 2 2 2 6 3" xfId="28638"/>
    <cellStyle name="注释 2 3 2 2 2 7" xfId="29833"/>
    <cellStyle name="注释 2 3 2 2 3" xfId="30504"/>
    <cellStyle name="注释 2 3 2 2 3 2" xfId="8441"/>
    <cellStyle name="注释 2 3 2 2 3 2 2" xfId="6686"/>
    <cellStyle name="注释 2 3 2 2 3 2 3" xfId="6980"/>
    <cellStyle name="注释 2 3 2 2 3 3" xfId="8443"/>
    <cellStyle name="注释 2 3 2 2 3 3 2" xfId="7005"/>
    <cellStyle name="注释 2 3 2 2 3 3 3" xfId="8448"/>
    <cellStyle name="注释 2 3 2 2 3 4" xfId="8452"/>
    <cellStyle name="注释 2 3 2 2 3 4 2" xfId="30472"/>
    <cellStyle name="注释 2 3 2 2 3 4 3" xfId="28669"/>
    <cellStyle name="注释 2 3 2 2 3 5" xfId="29836"/>
    <cellStyle name="注释 2 3 2 2 3 6" xfId="29842"/>
    <cellStyle name="注释 2 3 2 2 3 6 2" xfId="29845"/>
    <cellStyle name="注释 2 3 2 2 3 6 3" xfId="28675"/>
    <cellStyle name="注释 2 3 2 2 3 7" xfId="29847"/>
    <cellStyle name="注释 2 3 2 2 4" xfId="30505"/>
    <cellStyle name="注释 2 3 2 2 4 2" xfId="8508"/>
    <cellStyle name="注释 2 3 2 2 4 2 2" xfId="7068"/>
    <cellStyle name="注释 2 3 2 2 4 2 2 2" xfId="8129"/>
    <cellStyle name="注释 2 3 2 2 4 2 2 3" xfId="8517"/>
    <cellStyle name="注释 2 3 2 2 4 2 3" xfId="8523"/>
    <cellStyle name="注释 2 3 2 2 4 2 4" xfId="9013"/>
    <cellStyle name="注释 2 3 2 2 4 2 4 2" xfId="30506"/>
    <cellStyle name="注释 2 3 2 2 4 2 4 3" xfId="30507"/>
    <cellStyle name="注释 2 3 2 2 4 2 5" xfId="9016"/>
    <cellStyle name="注释 2 3 2 2 4 3" xfId="8526"/>
    <cellStyle name="注释 2 3 2 2 4 3 2" xfId="8530"/>
    <cellStyle name="注释 2 3 2 2 4 3 3" xfId="8534"/>
    <cellStyle name="注释 2 3 2 2 4 4" xfId="8537"/>
    <cellStyle name="注释 2 3 2 2 4 4 2" xfId="30508"/>
    <cellStyle name="注释 2 3 2 2 4 4 3" xfId="30509"/>
    <cellStyle name="注释 2 3 2 2 4 5" xfId="29853"/>
    <cellStyle name="注释 2 3 2 2 4 6" xfId="29855"/>
    <cellStyle name="注释 2 3 2 2 4 6 2" xfId="30510"/>
    <cellStyle name="注释 2 3 2 2 4 6 3" xfId="30511"/>
    <cellStyle name="注释 2 3 2 2 4 7" xfId="30512"/>
    <cellStyle name="注释 2 3 2 2 4 7 2" xfId="30513"/>
    <cellStyle name="注释 2 3 2 2 4 7 3" xfId="30514"/>
    <cellStyle name="注释 2 3 2 2 4 8" xfId="30515"/>
    <cellStyle name="注释 2 3 2 2 5" xfId="30516"/>
    <cellStyle name="注释 2 3 2 2 5 2" xfId="2898"/>
    <cellStyle name="注释 2 3 2 2 5 2 2" xfId="26887"/>
    <cellStyle name="注释 2 3 2 2 5 2 3" xfId="28698"/>
    <cellStyle name="注释 2 3 2 2 5 3" xfId="30517"/>
    <cellStyle name="注释 2 3 2 2 5 3 2" xfId="30518"/>
    <cellStyle name="注释 2 3 2 2 5 3 3" xfId="28703"/>
    <cellStyle name="注释 2 3 2 2 5 4" xfId="30520"/>
    <cellStyle name="注释 2 3 2 2 5 5" xfId="29858"/>
    <cellStyle name="注释 2 3 2 2 5 5 2" xfId="30522"/>
    <cellStyle name="注释 2 3 2 2 5 5 3" xfId="28708"/>
    <cellStyle name="注释 2 3 2 2 5 6" xfId="29861"/>
    <cellStyle name="注释 2 3 2 2 6" xfId="30523"/>
    <cellStyle name="注释 2 3 2 2 6 2" xfId="30524"/>
    <cellStyle name="注释 2 3 2 2 6 3" xfId="30525"/>
    <cellStyle name="注释 2 3 2 2 7" xfId="30526"/>
    <cellStyle name="注释 2 3 2 2 7 2" xfId="29641"/>
    <cellStyle name="注释 2 3 2 2 7 3" xfId="30527"/>
    <cellStyle name="注释 2 3 2 2 8" xfId="21050"/>
    <cellStyle name="注释 2 3 2 2 8 2" xfId="30528"/>
    <cellStyle name="注释 2 3 2 2 8 3" xfId="30529"/>
    <cellStyle name="注释 2 3 2 2 9" xfId="21052"/>
    <cellStyle name="注释 2 3 2 3" xfId="18487"/>
    <cellStyle name="注释 2 3 2 3 2" xfId="29789"/>
    <cellStyle name="注释 2 3 2 3 2 2" xfId="28632"/>
    <cellStyle name="注释 2 3 2 3 2 3" xfId="30530"/>
    <cellStyle name="注释 2 3 2 3 3" xfId="29791"/>
    <cellStyle name="注释 2 3 2 3 3 2" xfId="30531"/>
    <cellStyle name="注释 2 3 2 3 3 3" xfId="30532"/>
    <cellStyle name="注释 2 3 2 3 4" xfId="30533"/>
    <cellStyle name="注释 2 3 2 3 4 2" xfId="30534"/>
    <cellStyle name="注释 2 3 2 3 4 3" xfId="30535"/>
    <cellStyle name="注释 2 3 2 3 5" xfId="30536"/>
    <cellStyle name="注释 2 3 2 3 6" xfId="30537"/>
    <cellStyle name="注释 2 3 2 3 6 2" xfId="30538"/>
    <cellStyle name="注释 2 3 2 3 6 3" xfId="30539"/>
    <cellStyle name="注释 2 3 2 3 7" xfId="30540"/>
    <cellStyle name="注释 2 3 2 4" xfId="29793"/>
    <cellStyle name="注释 2 3 2 4 2" xfId="29795"/>
    <cellStyle name="注释 2 3 2 4 2 2" xfId="30541"/>
    <cellStyle name="注释 2 3 2 4 2 3" xfId="30542"/>
    <cellStyle name="注释 2 3 2 4 3" xfId="29797"/>
    <cellStyle name="注释 2 3 2 4 3 2" xfId="30543"/>
    <cellStyle name="注释 2 3 2 4 3 3" xfId="30544"/>
    <cellStyle name="注释 2 3 2 4 4" xfId="30545"/>
    <cellStyle name="注释 2 3 2 4 4 2" xfId="30546"/>
    <cellStyle name="注释 2 3 2 4 4 3" xfId="30547"/>
    <cellStyle name="注释 2 3 2 4 5" xfId="30548"/>
    <cellStyle name="注释 2 3 2 4 6" xfId="30549"/>
    <cellStyle name="注释 2 3 2 4 6 2" xfId="30550"/>
    <cellStyle name="注释 2 3 2 4 6 3" xfId="30551"/>
    <cellStyle name="注释 2 3 2 4 7" xfId="30552"/>
    <cellStyle name="注释 2 3 2 5" xfId="85"/>
    <cellStyle name="注释 2 3 2 5 2" xfId="11500"/>
    <cellStyle name="注释 2 3 2 5 2 2" xfId="11507"/>
    <cellStyle name="注释 2 3 2 5 2 2 2" xfId="11509"/>
    <cellStyle name="注释 2 3 2 5 2 2 3" xfId="11526"/>
    <cellStyle name="注释 2 3 2 5 2 3" xfId="6366"/>
    <cellStyle name="注释 2 3 2 5 2 4" xfId="6370"/>
    <cellStyle name="注释 2 3 2 5 2 4 2" xfId="11613"/>
    <cellStyle name="注释 2 3 2 5 2 4 3" xfId="11642"/>
    <cellStyle name="注释 2 3 2 5 2 5" xfId="11667"/>
    <cellStyle name="注释 2 3 2 5 3" xfId="14450"/>
    <cellStyle name="注释 2 3 2 5 3 2" xfId="30553"/>
    <cellStyle name="注释 2 3 2 5 3 3" xfId="30554"/>
    <cellStyle name="注释 2 3 2 5 4" xfId="14453"/>
    <cellStyle name="注释 2 3 2 5 4 2" xfId="30555"/>
    <cellStyle name="注释 2 3 2 5 4 3" xfId="30556"/>
    <cellStyle name="注释 2 3 2 5 5" xfId="4153"/>
    <cellStyle name="注释 2 3 2 5 6" xfId="4501"/>
    <cellStyle name="注释 2 3 2 5 6 2" xfId="30557"/>
    <cellStyle name="注释 2 3 2 5 6 3" xfId="30558"/>
    <cellStyle name="注释 2 3 2 5 7" xfId="14458"/>
    <cellStyle name="注释 2 3 2 5 7 2" xfId="30559"/>
    <cellStyle name="注释 2 3 2 5 7 3" xfId="30560"/>
    <cellStyle name="注释 2 3 2 5 8" xfId="21074"/>
    <cellStyle name="注释 2 3 2 6" xfId="29799"/>
    <cellStyle name="注释 2 3 2 6 2" xfId="29801"/>
    <cellStyle name="注释 2 3 2 6 2 2" xfId="17448"/>
    <cellStyle name="注释 2 3 2 6 2 3" xfId="17453"/>
    <cellStyle name="注释 2 3 2 6 3" xfId="29803"/>
    <cellStyle name="注释 2 3 2 6 3 2" xfId="17471"/>
    <cellStyle name="注释 2 3 2 6 3 3" xfId="17474"/>
    <cellStyle name="注释 2 3 2 6 4" xfId="30561"/>
    <cellStyle name="注释 2 3 2 6 5" xfId="30562"/>
    <cellStyle name="注释 2 3 2 6 5 2" xfId="17503"/>
    <cellStyle name="注释 2 3 2 6 5 3" xfId="17508"/>
    <cellStyle name="注释 2 3 2 6 6" xfId="30563"/>
    <cellStyle name="注释 2 3 2 7" xfId="29805"/>
    <cellStyle name="注释 2 3 2 7 2" xfId="30564"/>
    <cellStyle name="注释 2 3 2 7 3" xfId="30565"/>
    <cellStyle name="注释 2 3 2 8" xfId="30566"/>
    <cellStyle name="注释 2 3 2 8 2" xfId="30567"/>
    <cellStyle name="注释 2 3 2 8 3" xfId="30568"/>
    <cellStyle name="注释 2 3 2 9" xfId="30569"/>
    <cellStyle name="注释 2 3 2 9 2" xfId="30570"/>
    <cellStyle name="注释 2 3 2 9 3" xfId="30571"/>
    <cellStyle name="注释 2 3 3" xfId="30572"/>
    <cellStyle name="注释 2 3 3 10" xfId="30574"/>
    <cellStyle name="注释 2 3 3 10 2" xfId="30575"/>
    <cellStyle name="注释 2 3 3 10 3" xfId="26839"/>
    <cellStyle name="注释 2 3 3 11" xfId="30576"/>
    <cellStyle name="注释 2 3 3 2" xfId="18496"/>
    <cellStyle name="注释 2 3 3 2 2" xfId="30577"/>
    <cellStyle name="注释 2 3 3 2 2 2" xfId="8733"/>
    <cellStyle name="注释 2 3 3 2 2 3" xfId="8735"/>
    <cellStyle name="注释 2 3 3 2 3" xfId="30578"/>
    <cellStyle name="注释 2 3 3 2 3 2" xfId="924"/>
    <cellStyle name="注释 2 3 3 2 3 3" xfId="6318"/>
    <cellStyle name="注释 2 3 3 2 4" xfId="30579"/>
    <cellStyle name="注释 2 3 3 2 4 2" xfId="8923"/>
    <cellStyle name="注释 2 3 3 2 4 3" xfId="8933"/>
    <cellStyle name="注释 2 3 3 2 5" xfId="26341"/>
    <cellStyle name="注释 2 3 3 2 6" xfId="4531"/>
    <cellStyle name="注释 2 3 3 2 6 2" xfId="11048"/>
    <cellStyle name="注释 2 3 3 2 6 3" xfId="11051"/>
    <cellStyle name="注释 2 3 3 2 7" xfId="11053"/>
    <cellStyle name="注释 2 3 3 3" xfId="18498"/>
    <cellStyle name="注释 2 3 3 3 2" xfId="30580"/>
    <cellStyle name="注释 2 3 3 3 2 2" xfId="30581"/>
    <cellStyle name="注释 2 3 3 3 2 3" xfId="30582"/>
    <cellStyle name="注释 2 3 3 3 3" xfId="30583"/>
    <cellStyle name="注释 2 3 3 3 3 2" xfId="5213"/>
    <cellStyle name="注释 2 3 3 3 3 3" xfId="6803"/>
    <cellStyle name="注释 2 3 3 3 4" xfId="30584"/>
    <cellStyle name="注释 2 3 3 3 4 2" xfId="30585"/>
    <cellStyle name="注释 2 3 3 3 4 3" xfId="30586"/>
    <cellStyle name="注释 2 3 3 3 5" xfId="30587"/>
    <cellStyle name="注释 2 3 3 3 6" xfId="2987"/>
    <cellStyle name="注释 2 3 3 3 6 2" xfId="30588"/>
    <cellStyle name="注释 2 3 3 3 6 3" xfId="30589"/>
    <cellStyle name="注释 2 3 3 3 7" xfId="11056"/>
    <cellStyle name="注释 2 3 3 4" xfId="29807"/>
    <cellStyle name="注释 2 3 3 4 2" xfId="30590"/>
    <cellStyle name="注释 2 3 3 4 2 2" xfId="30591"/>
    <cellStyle name="注释 2 3 3 4 2 2 2" xfId="19451"/>
    <cellStyle name="注释 2 3 3 4 2 2 3" xfId="19454"/>
    <cellStyle name="注释 2 3 3 4 2 3" xfId="30592"/>
    <cellStyle name="注释 2 3 3 4 2 4" xfId="30593"/>
    <cellStyle name="注释 2 3 3 4 2 4 2" xfId="19039"/>
    <cellStyle name="注释 2 3 3 4 2 4 3" xfId="29941"/>
    <cellStyle name="注释 2 3 3 4 2 5" xfId="30594"/>
    <cellStyle name="注释 2 3 3 4 3" xfId="30595"/>
    <cellStyle name="注释 2 3 3 4 3 2" xfId="7079"/>
    <cellStyle name="注释 2 3 3 4 3 3" xfId="7162"/>
    <cellStyle name="注释 2 3 3 4 4" xfId="30596"/>
    <cellStyle name="注释 2 3 3 4 4 2" xfId="30597"/>
    <cellStyle name="注释 2 3 3 4 4 3" xfId="30598"/>
    <cellStyle name="注释 2 3 3 4 5" xfId="30599"/>
    <cellStyle name="注释 2 3 3 4 6" xfId="30600"/>
    <cellStyle name="注释 2 3 3 4 6 2" xfId="30601"/>
    <cellStyle name="注释 2 3 3 4 6 3" xfId="30602"/>
    <cellStyle name="注释 2 3 3 4 7" xfId="30603"/>
    <cellStyle name="注释 2 3 3 4 7 2" xfId="30604"/>
    <cellStyle name="注释 2 3 3 4 7 3" xfId="30605"/>
    <cellStyle name="注释 2 3 3 4 8" xfId="30606"/>
    <cellStyle name="注释 2 3 3 5" xfId="30607"/>
    <cellStyle name="注释 2 3 3 5 2" xfId="544"/>
    <cellStyle name="注释 2 3 3 5 2 2" xfId="21826"/>
    <cellStyle name="注释 2 3 3 5 2 3" xfId="21829"/>
    <cellStyle name="注释 2 3 3 5 3" xfId="21145"/>
    <cellStyle name="注释 2 3 3 5 3 2" xfId="7423"/>
    <cellStyle name="注释 2 3 3 5 3 3" xfId="7520"/>
    <cellStyle name="注释 2 3 3 5 4" xfId="21147"/>
    <cellStyle name="注释 2 3 3 5 5" xfId="21149"/>
    <cellStyle name="注释 2 3 3 5 5 2" xfId="30608"/>
    <cellStyle name="注释 2 3 3 5 5 3" xfId="30609"/>
    <cellStyle name="注释 2 3 3 5 6" xfId="5390"/>
    <cellStyle name="注释 2 3 3 6" xfId="28856"/>
    <cellStyle name="注释 2 3 3 6 2" xfId="30610"/>
    <cellStyle name="注释 2 3 3 6 3" xfId="30611"/>
    <cellStyle name="注释 2 3 3 7" xfId="7530"/>
    <cellStyle name="注释 2 3 3 7 2" xfId="1525"/>
    <cellStyle name="注释 2 3 3 7 3" xfId="7547"/>
    <cellStyle name="注释 2 3 3 8" xfId="7571"/>
    <cellStyle name="注释 2 3 3 8 2" xfId="7579"/>
    <cellStyle name="注释 2 3 3 8 3" xfId="7598"/>
    <cellStyle name="注释 2 3 3 9" xfId="7605"/>
    <cellStyle name="注释 2 3 4" xfId="30612"/>
    <cellStyle name="注释 2 3 4 10" xfId="30613"/>
    <cellStyle name="注释 2 3 4 10 2" xfId="28926"/>
    <cellStyle name="注释 2 3 4 10 3" xfId="30614"/>
    <cellStyle name="注释 2 3 4 11" xfId="30615"/>
    <cellStyle name="注释 2 3 4 2" xfId="18505"/>
    <cellStyle name="注释 2 3 4 2 2" xfId="22307"/>
    <cellStyle name="注释 2 3 4 2 2 2" xfId="9092"/>
    <cellStyle name="注释 2 3 4 2 2 3" xfId="9096"/>
    <cellStyle name="注释 2 3 4 2 3" xfId="22309"/>
    <cellStyle name="注释 2 3 4 2 3 2" xfId="9195"/>
    <cellStyle name="注释 2 3 4 2 3 3" xfId="9198"/>
    <cellStyle name="注释 2 3 4 2 4" xfId="22311"/>
    <cellStyle name="注释 2 3 4 2 4 2" xfId="8824"/>
    <cellStyle name="注释 2 3 4 2 4 3" xfId="9254"/>
    <cellStyle name="注释 2 3 4 2 5" xfId="22313"/>
    <cellStyle name="注释 2 3 4 2 6" xfId="4552"/>
    <cellStyle name="注释 2 3 4 2 6 2" xfId="29007"/>
    <cellStyle name="注释 2 3 4 2 6 3" xfId="29009"/>
    <cellStyle name="注释 2 3 4 2 7" xfId="7997"/>
    <cellStyle name="注释 2 3 4 3" xfId="29809"/>
    <cellStyle name="注释 2 3 4 3 2" xfId="22321"/>
    <cellStyle name="注释 2 3 4 3 2 2" xfId="30616"/>
    <cellStyle name="注释 2 3 4 3 2 3" xfId="30617"/>
    <cellStyle name="注释 2 3 4 3 3" xfId="22323"/>
    <cellStyle name="注释 2 3 4 3 3 2" xfId="30618"/>
    <cellStyle name="注释 2 3 4 3 3 3" xfId="30619"/>
    <cellStyle name="注释 2 3 4 3 4" xfId="22325"/>
    <cellStyle name="注释 2 3 4 3 4 2" xfId="5736"/>
    <cellStyle name="注释 2 3 4 3 4 3" xfId="18549"/>
    <cellStyle name="注释 2 3 4 3 5" xfId="22327"/>
    <cellStyle name="注释 2 3 4 3 6" xfId="22329"/>
    <cellStyle name="注释 2 3 4 3 6 2" xfId="8021"/>
    <cellStyle name="注释 2 3 4 3 6 3" xfId="29031"/>
    <cellStyle name="注释 2 3 4 3 7" xfId="30620"/>
    <cellStyle name="注释 2 3 4 4" xfId="29811"/>
    <cellStyle name="注释 2 3 4 4 2" xfId="22337"/>
    <cellStyle name="注释 2 3 4 4 2 2" xfId="30621"/>
    <cellStyle name="注释 2 3 4 4 2 2 2" xfId="13704"/>
    <cellStyle name="注释 2 3 4 4 2 2 3" xfId="14028"/>
    <cellStyle name="注释 2 3 4 4 2 3" xfId="30622"/>
    <cellStyle name="注释 2 3 4 4 2 4" xfId="30623"/>
    <cellStyle name="注释 2 3 4 4 2 4 2" xfId="8601"/>
    <cellStyle name="注释 2 3 4 4 2 4 3" xfId="8639"/>
    <cellStyle name="注释 2 3 4 4 2 5" xfId="30624"/>
    <cellStyle name="注释 2 3 4 4 3" xfId="22339"/>
    <cellStyle name="注释 2 3 4 4 3 2" xfId="30625"/>
    <cellStyle name="注释 2 3 4 4 3 3" xfId="30626"/>
    <cellStyle name="注释 2 3 4 4 4" xfId="22341"/>
    <cellStyle name="注释 2 3 4 4 4 2" xfId="30627"/>
    <cellStyle name="注释 2 3 4 4 4 3" xfId="30628"/>
    <cellStyle name="注释 2 3 4 4 5" xfId="22343"/>
    <cellStyle name="注释 2 3 4 4 6" xfId="30629"/>
    <cellStyle name="注释 2 3 4 4 6 2" xfId="9143"/>
    <cellStyle name="注释 2 3 4 4 6 3" xfId="29049"/>
    <cellStyle name="注释 2 3 4 4 7" xfId="30630"/>
    <cellStyle name="注释 2 3 4 4 7 2" xfId="30631"/>
    <cellStyle name="注释 2 3 4 4 7 3" xfId="30632"/>
    <cellStyle name="注释 2 3 4 4 8" xfId="30633"/>
    <cellStyle name="注释 2 3 4 5" xfId="30634"/>
    <cellStyle name="注释 2 3 4 5 2" xfId="30635"/>
    <cellStyle name="注释 2 3 4 5 2 2" xfId="24135"/>
    <cellStyle name="注释 2 3 4 5 2 3" xfId="24137"/>
    <cellStyle name="注释 2 3 4 5 3" xfId="30636"/>
    <cellStyle name="注释 2 3 4 5 3 2" xfId="30637"/>
    <cellStyle name="注释 2 3 4 5 3 3" xfId="30638"/>
    <cellStyle name="注释 2 3 4 5 4" xfId="30639"/>
    <cellStyle name="注释 2 3 4 5 5" xfId="30640"/>
    <cellStyle name="注释 2 3 4 5 5 2" xfId="30641"/>
    <cellStyle name="注释 2 3 4 5 5 3" xfId="30642"/>
    <cellStyle name="注释 2 3 4 5 6" xfId="30643"/>
    <cellStyle name="注释 2 3 4 6" xfId="30644"/>
    <cellStyle name="注释 2 3 4 6 2" xfId="30645"/>
    <cellStyle name="注释 2 3 4 6 3" xfId="30646"/>
    <cellStyle name="注释 2 3 4 7" xfId="3874"/>
    <cellStyle name="注释 2 3 4 7 2" xfId="7629"/>
    <cellStyle name="注释 2 3 4 7 3" xfId="7633"/>
    <cellStyle name="注释 2 3 4 8" xfId="4759"/>
    <cellStyle name="注释 2 3 4 8 2" xfId="7636"/>
    <cellStyle name="注释 2 3 4 8 3" xfId="7638"/>
    <cellStyle name="注释 2 3 4 9" xfId="4774"/>
    <cellStyle name="注释 2 3 5" xfId="30647"/>
    <cellStyle name="注释 2 3 5 2" xfId="30648"/>
    <cellStyle name="注释 2 3 5 2 2" xfId="30649"/>
    <cellStyle name="注释 2 3 5 2 3" xfId="30650"/>
    <cellStyle name="注释 2 3 5 3" xfId="30651"/>
    <cellStyle name="注释 2 3 5 3 2" xfId="30652"/>
    <cellStyle name="注释 2 3 5 3 3" xfId="30653"/>
    <cellStyle name="注释 2 3 5 4" xfId="30654"/>
    <cellStyle name="注释 2 3 5 4 2" xfId="30655"/>
    <cellStyle name="注释 2 3 5 4 3" xfId="30656"/>
    <cellStyle name="注释 2 3 5 5" xfId="19616"/>
    <cellStyle name="注释 2 3 5 6" xfId="3890"/>
    <cellStyle name="注释 2 3 5 6 2" xfId="19624"/>
    <cellStyle name="注释 2 3 5 6 3" xfId="19626"/>
    <cellStyle name="注释 2 3 5 7" xfId="3896"/>
    <cellStyle name="注释 2 3 6" xfId="29838"/>
    <cellStyle name="注释 2 3 6 2" xfId="30657"/>
    <cellStyle name="注释 2 3 6 2 2" xfId="30658"/>
    <cellStyle name="注释 2 3 6 2 3" xfId="21863"/>
    <cellStyle name="注释 2 3 6 3" xfId="29813"/>
    <cellStyle name="注释 2 3 6 3 2" xfId="30659"/>
    <cellStyle name="注释 2 3 6 3 3" xfId="20880"/>
    <cellStyle name="注释 2 3 6 4" xfId="29815"/>
    <cellStyle name="注释 2 3 6 4 2" xfId="30660"/>
    <cellStyle name="注释 2 3 6 4 3" xfId="30661"/>
    <cellStyle name="注释 2 3 6 5" xfId="30662"/>
    <cellStyle name="注释 2 3 6 6" xfId="30663"/>
    <cellStyle name="注释 2 3 6 6 2" xfId="20604"/>
    <cellStyle name="注释 2 3 6 6 3" xfId="20606"/>
    <cellStyle name="注释 2 3 6 7" xfId="7661"/>
    <cellStyle name="注释 2 3 7" xfId="29840"/>
    <cellStyle name="注释 2 3 7 2" xfId="30664"/>
    <cellStyle name="注释 2 3 7 2 2" xfId="30665"/>
    <cellStyle name="注释 2 3 7 2 2 2" xfId="6706"/>
    <cellStyle name="注释 2 3 7 2 2 3" xfId="9946"/>
    <cellStyle name="注释 2 3 7 2 3" xfId="21912"/>
    <cellStyle name="注释 2 3 7 2 4" xfId="21914"/>
    <cellStyle name="注释 2 3 7 2 4 2" xfId="5614"/>
    <cellStyle name="注释 2 3 7 2 4 3" xfId="10040"/>
    <cellStyle name="注释 2 3 7 2 5" xfId="21916"/>
    <cellStyle name="注释 2 3 7 3" xfId="30666"/>
    <cellStyle name="注释 2 3 7 3 2" xfId="30667"/>
    <cellStyle name="注释 2 3 7 3 3" xfId="21928"/>
    <cellStyle name="注释 2 3 7 4" xfId="30668"/>
    <cellStyle name="注释 2 3 7 4 2" xfId="30669"/>
    <cellStyle name="注释 2 3 7 4 3" xfId="30670"/>
    <cellStyle name="注释 2 3 7 5" xfId="28931"/>
    <cellStyle name="注释 2 3 7 6" xfId="30671"/>
    <cellStyle name="注释 2 3 7 6 2" xfId="20682"/>
    <cellStyle name="注释 2 3 7 6 3" xfId="20684"/>
    <cellStyle name="注释 2 3 7 7" xfId="7679"/>
    <cellStyle name="注释 2 3 7 7 2" xfId="20691"/>
    <cellStyle name="注释 2 3 7 7 3" xfId="20693"/>
    <cellStyle name="注释 2 3 7 8" xfId="1958"/>
    <cellStyle name="注释 2 3 8" xfId="30672"/>
    <cellStyle name="注释 2 3 8 2" xfId="30673"/>
    <cellStyle name="注释 2 3 8 2 2" xfId="20257"/>
    <cellStyle name="注释 2 3 8 2 3" xfId="20260"/>
    <cellStyle name="注释 2 3 8 3" xfId="30674"/>
    <cellStyle name="注释 2 3 8 3 2" xfId="20263"/>
    <cellStyle name="注释 2 3 8 3 3" xfId="20266"/>
    <cellStyle name="注释 2 3 8 4" xfId="30675"/>
    <cellStyle name="注释 2 3 8 5" xfId="30676"/>
    <cellStyle name="注释 2 3 8 5 2" xfId="9548"/>
    <cellStyle name="注释 2 3 8 5 3" xfId="9561"/>
    <cellStyle name="注释 2 3 8 6" xfId="30677"/>
    <cellStyle name="注释 2 3 9" xfId="30678"/>
    <cellStyle name="注释 2 3 9 2" xfId="30679"/>
    <cellStyle name="注释 2 3 9 3" xfId="30680"/>
    <cellStyle name="注释 2 4" xfId="25850"/>
    <cellStyle name="注释 2 4 10" xfId="30681"/>
    <cellStyle name="注释 2 4 10 2" xfId="30682"/>
    <cellStyle name="注释 2 4 10 3" xfId="30683"/>
    <cellStyle name="注释 2 4 11" xfId="30684"/>
    <cellStyle name="注释 2 4 11 2" xfId="30686"/>
    <cellStyle name="注释 2 4 11 3" xfId="28902"/>
    <cellStyle name="注释 2 4 12" xfId="30687"/>
    <cellStyle name="注释 2 4 13" xfId="26776"/>
    <cellStyle name="注释 2 4 13 2" xfId="30689"/>
    <cellStyle name="注释 2 4 13 3" xfId="30691"/>
    <cellStyle name="注释 2 4 14" xfId="27942"/>
    <cellStyle name="注释 2 4 2" xfId="30692"/>
    <cellStyle name="注释 2 4 2 10" xfId="30693"/>
    <cellStyle name="注释 2 4 2 11" xfId="30694"/>
    <cellStyle name="注释 2 4 2 11 2" xfId="30695"/>
    <cellStyle name="注释 2 4 2 11 3" xfId="30696"/>
    <cellStyle name="注释 2 4 2 12" xfId="30697"/>
    <cellStyle name="注释 2 4 2 2" xfId="30519"/>
    <cellStyle name="注释 2 4 2 2 10" xfId="17560"/>
    <cellStyle name="注释 2 4 2 2 10 2" xfId="17111"/>
    <cellStyle name="注释 2 4 2 2 10 3" xfId="17113"/>
    <cellStyle name="注释 2 4 2 2 11" xfId="11071"/>
    <cellStyle name="注释 2 4 2 2 2" xfId="30698"/>
    <cellStyle name="注释 2 4 2 2 2 2" xfId="28918"/>
    <cellStyle name="注释 2 4 2 2 2 2 2" xfId="30700"/>
    <cellStyle name="注释 2 4 2 2 2 2 3" xfId="30702"/>
    <cellStyle name="注释 2 4 2 2 2 3" xfId="30703"/>
    <cellStyle name="注释 2 4 2 2 2 3 2" xfId="30705"/>
    <cellStyle name="注释 2 4 2 2 2 3 3" xfId="3481"/>
    <cellStyle name="注释 2 4 2 2 2 4" xfId="30706"/>
    <cellStyle name="注释 2 4 2 2 2 4 2" xfId="30708"/>
    <cellStyle name="注释 2 4 2 2 2 4 3" xfId="3685"/>
    <cellStyle name="注释 2 4 2 2 2 5" xfId="30709"/>
    <cellStyle name="注释 2 4 2 2 2 6" xfId="30710"/>
    <cellStyle name="注释 2 4 2 2 2 6 2" xfId="27977"/>
    <cellStyle name="注释 2 4 2 2 2 6 3" xfId="30711"/>
    <cellStyle name="注释 2 4 2 2 2 7" xfId="30712"/>
    <cellStyle name="注释 2 4 2 2 3" xfId="30713"/>
    <cellStyle name="注释 2 4 2 2 3 2" xfId="30714"/>
    <cellStyle name="注释 2 4 2 2 3 2 2" xfId="30716"/>
    <cellStyle name="注释 2 4 2 2 3 2 3" xfId="30718"/>
    <cellStyle name="注释 2 4 2 2 3 3" xfId="30719"/>
    <cellStyle name="注释 2 4 2 2 3 3 2" xfId="30721"/>
    <cellStyle name="注释 2 4 2 2 3 3 3" xfId="3930"/>
    <cellStyle name="注释 2 4 2 2 3 4" xfId="30722"/>
    <cellStyle name="注释 2 4 2 2 3 4 2" xfId="30724"/>
    <cellStyle name="注释 2 4 2 2 3 4 3" xfId="3970"/>
    <cellStyle name="注释 2 4 2 2 3 5" xfId="30725"/>
    <cellStyle name="注释 2 4 2 2 3 6" xfId="30726"/>
    <cellStyle name="注释 2 4 2 2 3 6 2" xfId="27994"/>
    <cellStyle name="注释 2 4 2 2 3 6 3" xfId="30727"/>
    <cellStyle name="注释 2 4 2 2 3 7" xfId="30728"/>
    <cellStyle name="注释 2 4 2 2 4" xfId="19829"/>
    <cellStyle name="注释 2 4 2 2 4 2" xfId="30006"/>
    <cellStyle name="注释 2 4 2 2 4 2 2" xfId="30008"/>
    <cellStyle name="注释 2 4 2 2 4 2 2 2" xfId="30010"/>
    <cellStyle name="注释 2 4 2 2 4 2 2 3" xfId="30012"/>
    <cellStyle name="注释 2 4 2 2 4 2 3" xfId="30017"/>
    <cellStyle name="注释 2 4 2 2 4 2 4" xfId="24957"/>
    <cellStyle name="注释 2 4 2 2 4 2 4 2" xfId="9967"/>
    <cellStyle name="注释 2 4 2 2 4 2 4 3" xfId="24962"/>
    <cellStyle name="注释 2 4 2 2 4 2 5" xfId="24965"/>
    <cellStyle name="注释 2 4 2 2 4 3" xfId="30020"/>
    <cellStyle name="注释 2 4 2 2 4 3 2" xfId="30022"/>
    <cellStyle name="注释 2 4 2 2 4 3 3" xfId="4060"/>
    <cellStyle name="注释 2 4 2 2 4 4" xfId="26291"/>
    <cellStyle name="注释 2 4 2 2 4 4 2" xfId="30028"/>
    <cellStyle name="注释 2 4 2 2 4 4 3" xfId="30032"/>
    <cellStyle name="注释 2 4 2 2 4 5" xfId="30729"/>
    <cellStyle name="注释 2 4 2 2 4 6" xfId="30730"/>
    <cellStyle name="注释 2 4 2 2 4 6 2" xfId="30731"/>
    <cellStyle name="注释 2 4 2 2 4 6 3" xfId="30732"/>
    <cellStyle name="注释 2 4 2 2 4 7" xfId="30733"/>
    <cellStyle name="注释 2 4 2 2 4 7 2" xfId="30734"/>
    <cellStyle name="注释 2 4 2 2 4 7 3" xfId="30735"/>
    <cellStyle name="注释 2 4 2 2 4 8" xfId="30736"/>
    <cellStyle name="注释 2 4 2 2 5" xfId="19831"/>
    <cellStyle name="注释 2 4 2 2 5 2" xfId="30737"/>
    <cellStyle name="注释 2 4 2 2 5 2 2" xfId="30738"/>
    <cellStyle name="注释 2 4 2 2 5 2 3" xfId="30739"/>
    <cellStyle name="注释 2 4 2 2 5 3" xfId="30740"/>
    <cellStyle name="注释 2 4 2 2 5 3 2" xfId="30741"/>
    <cellStyle name="注释 2 4 2 2 5 3 3" xfId="30742"/>
    <cellStyle name="注释 2 4 2 2 5 4" xfId="30743"/>
    <cellStyle name="注释 2 4 2 2 5 5" xfId="30744"/>
    <cellStyle name="注释 2 4 2 2 5 5 2" xfId="30745"/>
    <cellStyle name="注释 2 4 2 2 5 5 3" xfId="30746"/>
    <cellStyle name="注释 2 4 2 2 5 6" xfId="30573"/>
    <cellStyle name="注释 2 4 2 2 6" xfId="17443"/>
    <cellStyle name="注释 2 4 2 2 6 2" xfId="30747"/>
    <cellStyle name="注释 2 4 2 2 6 3" xfId="30748"/>
    <cellStyle name="注释 2 4 2 2 7" xfId="17447"/>
    <cellStyle name="注释 2 4 2 2 7 2" xfId="16874"/>
    <cellStyle name="注释 2 4 2 2 7 3" xfId="16893"/>
    <cellStyle name="注释 2 4 2 2 8" xfId="17452"/>
    <cellStyle name="注释 2 4 2 2 8 2" xfId="16924"/>
    <cellStyle name="注释 2 4 2 2 8 3" xfId="30749"/>
    <cellStyle name="注释 2 4 2 2 9" xfId="17457"/>
    <cellStyle name="注释 2 4 2 3" xfId="29857"/>
    <cellStyle name="注释 2 4 2 3 2" xfId="30521"/>
    <cellStyle name="注释 2 4 2 3 2 2" xfId="19939"/>
    <cellStyle name="注释 2 4 2 3 2 3" xfId="22806"/>
    <cellStyle name="注释 2 4 2 3 3" xfId="28707"/>
    <cellStyle name="注释 2 4 2 3 3 2" xfId="19953"/>
    <cellStyle name="注释 2 4 2 3 3 3" xfId="22811"/>
    <cellStyle name="注释 2 4 2 3 4" xfId="9774"/>
    <cellStyle name="注释 2 4 2 3 4 2" xfId="9010"/>
    <cellStyle name="注释 2 4 2 3 4 3" xfId="9018"/>
    <cellStyle name="注释 2 4 2 3 5" xfId="9778"/>
    <cellStyle name="注释 2 4 2 3 6" xfId="17466"/>
    <cellStyle name="注释 2 4 2 3 6 2" xfId="9045"/>
    <cellStyle name="注释 2 4 2 3 6 3" xfId="9406"/>
    <cellStyle name="注释 2 4 2 3 7" xfId="17470"/>
    <cellStyle name="注释 2 4 2 4" xfId="29860"/>
    <cellStyle name="注释 2 4 2 4 2" xfId="30750"/>
    <cellStyle name="注释 2 4 2 4 2 2" xfId="30751"/>
    <cellStyle name="注释 2 4 2 4 2 3" xfId="30752"/>
    <cellStyle name="注释 2 4 2 4 3" xfId="26712"/>
    <cellStyle name="注释 2 4 2 4 3 2" xfId="6110"/>
    <cellStyle name="注释 2 4 2 4 3 3" xfId="30753"/>
    <cellStyle name="注释 2 4 2 4 4" xfId="19833"/>
    <cellStyle name="注释 2 4 2 4 4 2" xfId="30754"/>
    <cellStyle name="注释 2 4 2 4 4 3" xfId="442"/>
    <cellStyle name="注释 2 4 2 4 5" xfId="19836"/>
    <cellStyle name="注释 2 4 2 4 6" xfId="17483"/>
    <cellStyle name="注释 2 4 2 4 6 2" xfId="29729"/>
    <cellStyle name="注释 2 4 2 4 6 3" xfId="30755"/>
    <cellStyle name="注释 2 4 2 4 7" xfId="17486"/>
    <cellStyle name="注释 2 4 2 5" xfId="30756"/>
    <cellStyle name="注释 2 4 2 5 2" xfId="30757"/>
    <cellStyle name="注释 2 4 2 5 2 2" xfId="17688"/>
    <cellStyle name="注释 2 4 2 5 2 2 2" xfId="30758"/>
    <cellStyle name="注释 2 4 2 5 2 2 3" xfId="30759"/>
    <cellStyle name="注释 2 4 2 5 2 3" xfId="17692"/>
    <cellStyle name="注释 2 4 2 5 2 4" xfId="17697"/>
    <cellStyle name="注释 2 4 2 5 2 4 2" xfId="30760"/>
    <cellStyle name="注释 2 4 2 5 2 4 3" xfId="30761"/>
    <cellStyle name="注释 2 4 2 5 2 5" xfId="17702"/>
    <cellStyle name="注释 2 4 2 5 3" xfId="26715"/>
    <cellStyle name="注释 2 4 2 5 3 2" xfId="17710"/>
    <cellStyle name="注释 2 4 2 5 3 3" xfId="17714"/>
    <cellStyle name="注释 2 4 2 5 4" xfId="19838"/>
    <cellStyle name="注释 2 4 2 5 4 2" xfId="9076"/>
    <cellStyle name="注释 2 4 2 5 4 3" xfId="668"/>
    <cellStyle name="注释 2 4 2 5 5" xfId="19841"/>
    <cellStyle name="注释 2 4 2 5 6" xfId="17498"/>
    <cellStyle name="注释 2 4 2 5 6 2" xfId="28843"/>
    <cellStyle name="注释 2 4 2 5 6 3" xfId="28849"/>
    <cellStyle name="注释 2 4 2 5 7" xfId="17502"/>
    <cellStyle name="注释 2 4 2 5 7 2" xfId="19548"/>
    <cellStyle name="注释 2 4 2 5 7 3" xfId="19550"/>
    <cellStyle name="注释 2 4 2 5 8" xfId="17507"/>
    <cellStyle name="注释 2 4 2 6" xfId="28881"/>
    <cellStyle name="注释 2 4 2 6 2" xfId="30321"/>
    <cellStyle name="注释 2 4 2 6 2 2" xfId="30323"/>
    <cellStyle name="注释 2 4 2 6 2 3" xfId="30325"/>
    <cellStyle name="注释 2 4 2 6 3" xfId="30327"/>
    <cellStyle name="注释 2 4 2 6 3 2" xfId="30762"/>
    <cellStyle name="注释 2 4 2 6 3 3" xfId="30763"/>
    <cellStyle name="注释 2 4 2 6 4" xfId="19844"/>
    <cellStyle name="注释 2 4 2 6 5" xfId="19846"/>
    <cellStyle name="注释 2 4 2 6 5 2" xfId="28864"/>
    <cellStyle name="注释 2 4 2 6 5 3" xfId="28869"/>
    <cellStyle name="注释 2 4 2 6 6" xfId="17520"/>
    <cellStyle name="注释 2 4 2 7" xfId="28883"/>
    <cellStyle name="注释 2 4 2 7 2" xfId="30340"/>
    <cellStyle name="注释 2 4 2 7 3" xfId="30343"/>
    <cellStyle name="注释 2 4 2 8" xfId="30764"/>
    <cellStyle name="注释 2 4 2 8 2" xfId="30358"/>
    <cellStyle name="注释 2 4 2 8 3" xfId="30362"/>
    <cellStyle name="注释 2 4 2 9" xfId="30765"/>
    <cellStyle name="注释 2 4 2 9 2" xfId="30371"/>
    <cellStyle name="注释 2 4 2 9 3" xfId="30766"/>
    <cellStyle name="注释 2 4 3" xfId="30767"/>
    <cellStyle name="注释 2 4 3 10" xfId="30768"/>
    <cellStyle name="注释 2 4 3 10 2" xfId="30769"/>
    <cellStyle name="注释 2 4 3 10 3" xfId="30770"/>
    <cellStyle name="注释 2 4 3 11" xfId="28122"/>
    <cellStyle name="注释 2 4 3 2" xfId="30771"/>
    <cellStyle name="注释 2 4 3 2 2" xfId="30772"/>
    <cellStyle name="注释 2 4 3 2 2 2" xfId="30773"/>
    <cellStyle name="注释 2 4 3 2 2 3" xfId="30774"/>
    <cellStyle name="注释 2 4 3 2 3" xfId="28719"/>
    <cellStyle name="注释 2 4 3 2 3 2" xfId="30775"/>
    <cellStyle name="注释 2 4 3 2 3 3" xfId="30776"/>
    <cellStyle name="注释 2 4 3 2 4" xfId="28721"/>
    <cellStyle name="注释 2 4 3 2 4 2" xfId="30777"/>
    <cellStyle name="注释 2 4 3 2 4 3" xfId="30778"/>
    <cellStyle name="注释 2 4 3 2 5" xfId="30779"/>
    <cellStyle name="注释 2 4 3 2 6" xfId="11063"/>
    <cellStyle name="注释 2 4 3 2 6 2" xfId="30780"/>
    <cellStyle name="注释 2 4 3 2 6 3" xfId="30781"/>
    <cellStyle name="注释 2 4 3 2 7" xfId="11065"/>
    <cellStyle name="注释 2 4 3 3" xfId="30782"/>
    <cellStyle name="注释 2 4 3 3 2" xfId="30783"/>
    <cellStyle name="注释 2 4 3 3 2 2" xfId="30784"/>
    <cellStyle name="注释 2 4 3 3 2 3" xfId="30785"/>
    <cellStyle name="注释 2 4 3 3 3" xfId="30786"/>
    <cellStyle name="注释 2 4 3 3 3 2" xfId="30787"/>
    <cellStyle name="注释 2 4 3 3 3 3" xfId="30788"/>
    <cellStyle name="注释 2 4 3 3 4" xfId="30789"/>
    <cellStyle name="注释 2 4 3 3 4 2" xfId="30790"/>
    <cellStyle name="注释 2 4 3 3 4 3" xfId="9127"/>
    <cellStyle name="注释 2 4 3 3 5" xfId="30791"/>
    <cellStyle name="注释 2 4 3 3 6" xfId="30792"/>
    <cellStyle name="注释 2 4 3 3 6 2" xfId="30793"/>
    <cellStyle name="注释 2 4 3 3 6 3" xfId="761"/>
    <cellStyle name="注释 2 4 3 3 7" xfId="30794"/>
    <cellStyle name="注释 2 4 3 4" xfId="30795"/>
    <cellStyle name="注释 2 4 3 4 2" xfId="30796"/>
    <cellStyle name="注释 2 4 3 4 2 2" xfId="30797"/>
    <cellStyle name="注释 2 4 3 4 2 2 2" xfId="30798"/>
    <cellStyle name="注释 2 4 3 4 2 2 3" xfId="26927"/>
    <cellStyle name="注释 2 4 3 4 2 3" xfId="30799"/>
    <cellStyle name="注释 2 4 3 4 2 4" xfId="12182"/>
    <cellStyle name="注释 2 4 3 4 2 4 2" xfId="12184"/>
    <cellStyle name="注释 2 4 3 4 2 4 3" xfId="12187"/>
    <cellStyle name="注释 2 4 3 4 2 5" xfId="12191"/>
    <cellStyle name="注释 2 4 3 4 3" xfId="26720"/>
    <cellStyle name="注释 2 4 3 4 3 2" xfId="6137"/>
    <cellStyle name="注释 2 4 3 4 3 3" xfId="30800"/>
    <cellStyle name="注释 2 4 3 4 4" xfId="26722"/>
    <cellStyle name="注释 2 4 3 4 4 2" xfId="26724"/>
    <cellStyle name="注释 2 4 3 4 4 3" xfId="1035"/>
    <cellStyle name="注释 2 4 3 4 5" xfId="25377"/>
    <cellStyle name="注释 2 4 3 4 6" xfId="25379"/>
    <cellStyle name="注释 2 4 3 4 6 2" xfId="30801"/>
    <cellStyle name="注释 2 4 3 4 6 3" xfId="132"/>
    <cellStyle name="注释 2 4 3 4 7" xfId="30802"/>
    <cellStyle name="注释 2 4 3 4 7 2" xfId="30803"/>
    <cellStyle name="注释 2 4 3 4 7 3" xfId="30804"/>
    <cellStyle name="注释 2 4 3 4 8" xfId="30805"/>
    <cellStyle name="注释 2 4 3 5" xfId="30806"/>
    <cellStyle name="注释 2 4 3 5 2" xfId="30807"/>
    <cellStyle name="注释 2 4 3 5 2 2" xfId="30808"/>
    <cellStyle name="注释 2 4 3 5 2 3" xfId="30809"/>
    <cellStyle name="注释 2 4 3 5 3" xfId="30810"/>
    <cellStyle name="注释 2 4 3 5 3 2" xfId="30811"/>
    <cellStyle name="注释 2 4 3 5 3 3" xfId="30812"/>
    <cellStyle name="注释 2 4 3 5 4" xfId="30813"/>
    <cellStyle name="注释 2 4 3 5 5" xfId="25382"/>
    <cellStyle name="注释 2 4 3 5 5 2" xfId="25384"/>
    <cellStyle name="注释 2 4 3 5 5 3" xfId="9489"/>
    <cellStyle name="注释 2 4 3 5 6" xfId="25387"/>
    <cellStyle name="注释 2 4 3 6" xfId="30814"/>
    <cellStyle name="注释 2 4 3 6 2" xfId="30815"/>
    <cellStyle name="注释 2 4 3 6 3" xfId="30816"/>
    <cellStyle name="注释 2 4 3 7" xfId="7699"/>
    <cellStyle name="注释 2 4 3 7 2" xfId="7166"/>
    <cellStyle name="注释 2 4 3 7 3" xfId="7710"/>
    <cellStyle name="注释 2 4 3 8" xfId="7731"/>
    <cellStyle name="注释 2 4 3 8 2" xfId="7733"/>
    <cellStyle name="注释 2 4 3 8 3" xfId="7752"/>
    <cellStyle name="注释 2 4 3 9" xfId="7762"/>
    <cellStyle name="注释 2 4 4" xfId="30817"/>
    <cellStyle name="注释 2 4 4 10" xfId="30818"/>
    <cellStyle name="注释 2 4 4 10 2" xfId="30819"/>
    <cellStyle name="注释 2 4 4 10 3" xfId="30820"/>
    <cellStyle name="注释 2 4 4 11" xfId="30821"/>
    <cellStyle name="注释 2 4 4 2" xfId="30822"/>
    <cellStyle name="注释 2 4 4 2 2" xfId="30823"/>
    <cellStyle name="注释 2 4 4 2 2 2" xfId="14632"/>
    <cellStyle name="注释 2 4 4 2 2 3" xfId="14636"/>
    <cellStyle name="注释 2 4 4 2 3" xfId="30824"/>
    <cellStyle name="注释 2 4 4 2 3 2" xfId="14652"/>
    <cellStyle name="注释 2 4 4 2 3 3" xfId="14655"/>
    <cellStyle name="注释 2 4 4 2 4" xfId="30825"/>
    <cellStyle name="注释 2 4 4 2 4 2" xfId="9153"/>
    <cellStyle name="注释 2 4 4 2 4 3" xfId="17375"/>
    <cellStyle name="注释 2 4 4 2 5" xfId="30826"/>
    <cellStyle name="注释 2 4 4 2 6" xfId="30827"/>
    <cellStyle name="注释 2 4 4 2 6 2" xfId="29257"/>
    <cellStyle name="注释 2 4 4 2 6 3" xfId="29259"/>
    <cellStyle name="注释 2 4 4 2 7" xfId="30828"/>
    <cellStyle name="注释 2 4 4 3" xfId="29863"/>
    <cellStyle name="注释 2 4 4 3 2" xfId="30829"/>
    <cellStyle name="注释 2 4 4 3 2 2" xfId="8328"/>
    <cellStyle name="注释 2 4 4 3 2 3" xfId="30830"/>
    <cellStyle name="注释 2 4 4 3 3" xfId="30831"/>
    <cellStyle name="注释 2 4 4 3 3 2" xfId="6657"/>
    <cellStyle name="注释 2 4 4 3 3 3" xfId="30832"/>
    <cellStyle name="注释 2 4 4 3 4" xfId="30833"/>
    <cellStyle name="注释 2 4 4 3 4 2" xfId="8777"/>
    <cellStyle name="注释 2 4 4 3 4 3" xfId="9218"/>
    <cellStyle name="注释 2 4 4 3 5" xfId="30834"/>
    <cellStyle name="注释 2 4 4 3 6" xfId="30835"/>
    <cellStyle name="注释 2 4 4 3 6 2" xfId="8773"/>
    <cellStyle name="注释 2 4 4 3 6 3" xfId="29266"/>
    <cellStyle name="注释 2 4 4 3 7" xfId="30836"/>
    <cellStyle name="注释 2 4 4 4" xfId="29865"/>
    <cellStyle name="注释 2 4 4 4 2" xfId="30837"/>
    <cellStyle name="注释 2 4 4 4 2 2" xfId="6"/>
    <cellStyle name="注释 2 4 4 4 2 2 2" xfId="13556"/>
    <cellStyle name="注释 2 4 4 4 2 2 3" xfId="30838"/>
    <cellStyle name="注释 2 4 4 4 2 3" xfId="30839"/>
    <cellStyle name="注释 2 4 4 4 2 4" xfId="30840"/>
    <cellStyle name="注释 2 4 4 4 2 4 2" xfId="13594"/>
    <cellStyle name="注释 2 4 4 4 2 4 3" xfId="13599"/>
    <cellStyle name="注释 2 4 4 4 2 5" xfId="30841"/>
    <cellStyle name="注释 2 4 4 4 3" xfId="30842"/>
    <cellStyle name="注释 2 4 4 4 3 2" xfId="27409"/>
    <cellStyle name="注释 2 4 4 4 3 3" xfId="30843"/>
    <cellStyle name="注释 2 4 4 4 4" xfId="28395"/>
    <cellStyle name="注释 2 4 4 4 4 2" xfId="30844"/>
    <cellStyle name="注释 2 4 4 4 4 3" xfId="180"/>
    <cellStyle name="注释 2 4 4 4 5" xfId="25393"/>
    <cellStyle name="注释 2 4 4 4 6" xfId="25396"/>
    <cellStyle name="注释 2 4 4 4 6 2" xfId="3472"/>
    <cellStyle name="注释 2 4 4 4 6 3" xfId="18735"/>
    <cellStyle name="注释 2 4 4 4 7" xfId="30845"/>
    <cellStyle name="注释 2 4 4 4 7 2" xfId="30846"/>
    <cellStyle name="注释 2 4 4 4 7 3" xfId="18828"/>
    <cellStyle name="注释 2 4 4 4 8" xfId="30847"/>
    <cellStyle name="注释 2 4 4 5" xfId="30848"/>
    <cellStyle name="注释 2 4 4 5 2" xfId="30849"/>
    <cellStyle name="注释 2 4 4 5 2 2" xfId="30850"/>
    <cellStyle name="注释 2 4 4 5 2 3" xfId="30851"/>
    <cellStyle name="注释 2 4 4 5 3" xfId="30852"/>
    <cellStyle name="注释 2 4 4 5 3 2" xfId="30853"/>
    <cellStyle name="注释 2 4 4 5 3 3" xfId="30854"/>
    <cellStyle name="注释 2 4 4 5 4" xfId="30855"/>
    <cellStyle name="注释 2 4 4 5 5" xfId="30856"/>
    <cellStyle name="注释 2 4 4 5 5 2" xfId="28999"/>
    <cellStyle name="注释 2 4 4 5 5 3" xfId="29001"/>
    <cellStyle name="注释 2 4 4 5 6" xfId="30857"/>
    <cellStyle name="注释 2 4 4 6" xfId="30858"/>
    <cellStyle name="注释 2 4 4 6 2" xfId="30859"/>
    <cellStyle name="注释 2 4 4 6 3" xfId="30860"/>
    <cellStyle name="注释 2 4 4 7" xfId="3116"/>
    <cellStyle name="注释 2 4 4 7 2" xfId="7788"/>
    <cellStyle name="注释 2 4 4 7 3" xfId="7701"/>
    <cellStyle name="注释 2 4 4 8" xfId="7795"/>
    <cellStyle name="注释 2 4 4 8 2" xfId="7797"/>
    <cellStyle name="注释 2 4 4 8 3" xfId="7717"/>
    <cellStyle name="注释 2 4 4 9" xfId="7805"/>
    <cellStyle name="注释 2 4 5" xfId="30861"/>
    <cellStyle name="注释 2 4 5 2" xfId="30862"/>
    <cellStyle name="注释 2 4 5 2 2" xfId="30863"/>
    <cellStyle name="注释 2 4 5 2 3" xfId="23054"/>
    <cellStyle name="注释 2 4 5 3" xfId="30864"/>
    <cellStyle name="注释 2 4 5 3 2" xfId="30865"/>
    <cellStyle name="注释 2 4 5 3 3" xfId="23065"/>
    <cellStyle name="注释 2 4 5 4" xfId="30866"/>
    <cellStyle name="注释 2 4 5 4 2" xfId="30867"/>
    <cellStyle name="注释 2 4 5 4 3" xfId="23076"/>
    <cellStyle name="注释 2 4 5 5" xfId="30868"/>
    <cellStyle name="注释 2 4 5 6" xfId="30869"/>
    <cellStyle name="注释 2 4 5 6 2" xfId="30870"/>
    <cellStyle name="注释 2 4 5 6 3" xfId="30871"/>
    <cellStyle name="注释 2 4 5 7" xfId="7810"/>
    <cellStyle name="注释 2 4 6" xfId="29844"/>
    <cellStyle name="注释 2 4 6 2" xfId="30872"/>
    <cellStyle name="注释 2 4 6 2 2" xfId="5305"/>
    <cellStyle name="注释 2 4 6 2 3" xfId="22631"/>
    <cellStyle name="注释 2 4 6 3" xfId="30873"/>
    <cellStyle name="注释 2 4 6 3 2" xfId="15492"/>
    <cellStyle name="注释 2 4 6 3 3" xfId="22641"/>
    <cellStyle name="注释 2 4 6 4" xfId="30874"/>
    <cellStyle name="注释 2 4 6 4 2" xfId="15496"/>
    <cellStyle name="注释 2 4 6 4 3" xfId="30875"/>
    <cellStyle name="注释 2 4 6 5" xfId="30876"/>
    <cellStyle name="注释 2 4 6 6" xfId="30877"/>
    <cellStyle name="注释 2 4 6 6 2" xfId="16453"/>
    <cellStyle name="注释 2 4 6 6 3" xfId="16457"/>
    <cellStyle name="注释 2 4 6 7" xfId="4236"/>
    <cellStyle name="注释 2 4 7" xfId="28674"/>
    <cellStyle name="注释 2 4 7 2" xfId="6010"/>
    <cellStyle name="注释 2 4 7 2 2" xfId="2744"/>
    <cellStyle name="注释 2 4 7 2 2 2" xfId="30878"/>
    <cellStyle name="注释 2 4 7 2 2 3" xfId="30879"/>
    <cellStyle name="注释 2 4 7 2 3" xfId="10"/>
    <cellStyle name="注释 2 4 7 2 4" xfId="15559"/>
    <cellStyle name="注释 2 4 7 2 4 2" xfId="30880"/>
    <cellStyle name="注释 2 4 7 2 4 3" xfId="30881"/>
    <cellStyle name="注释 2 4 7 2 5" xfId="20434"/>
    <cellStyle name="注释 2 4 7 3" xfId="6014"/>
    <cellStyle name="注释 2 4 7 3 2" xfId="30882"/>
    <cellStyle name="注释 2 4 7 3 3" xfId="22799"/>
    <cellStyle name="注释 2 4 7 4" xfId="30883"/>
    <cellStyle name="注释 2 4 7 4 2" xfId="30884"/>
    <cellStyle name="注释 2 4 7 4 3" xfId="30885"/>
    <cellStyle name="注释 2 4 7 5" xfId="55"/>
    <cellStyle name="注释 2 4 7 6" xfId="6785"/>
    <cellStyle name="注释 2 4 7 6 2" xfId="30886"/>
    <cellStyle name="注释 2 4 7 6 3" xfId="30887"/>
    <cellStyle name="注释 2 4 7 7" xfId="2976"/>
    <cellStyle name="注释 2 4 7 7 2" xfId="1152"/>
    <cellStyle name="注释 2 4 7 7 3" xfId="30888"/>
    <cellStyle name="注释 2 4 7 8" xfId="2996"/>
    <cellStyle name="注释 2 4 8" xfId="28678"/>
    <cellStyle name="注释 2 4 8 2" xfId="2768"/>
    <cellStyle name="注释 2 4 8 2 2" xfId="4451"/>
    <cellStyle name="注释 2 4 8 2 3" xfId="22940"/>
    <cellStyle name="注释 2 4 8 3" xfId="30889"/>
    <cellStyle name="注释 2 4 8 3 2" xfId="30890"/>
    <cellStyle name="注释 2 4 8 3 3" xfId="22953"/>
    <cellStyle name="注释 2 4 8 4" xfId="30891"/>
    <cellStyle name="注释 2 4 8 5" xfId="30892"/>
    <cellStyle name="注释 2 4 8 5 2" xfId="9595"/>
    <cellStyle name="注释 2 4 8 5 3" xfId="9602"/>
    <cellStyle name="注释 2 4 8 6" xfId="30893"/>
    <cellStyle name="注释 2 4 9" xfId="30894"/>
    <cellStyle name="注释 2 4 9 2" xfId="6028"/>
    <cellStyle name="注释 2 4 9 3" xfId="30895"/>
    <cellStyle name="注释 2 5" xfId="30896"/>
    <cellStyle name="注释 2 5 10" xfId="30897"/>
    <cellStyle name="注释 2 5 11" xfId="26896"/>
    <cellStyle name="注释 2 5 11 2" xfId="25480"/>
    <cellStyle name="注释 2 5 11 3" xfId="25483"/>
    <cellStyle name="注释 2 5 12" xfId="30898"/>
    <cellStyle name="注释 2 5 2" xfId="30899"/>
    <cellStyle name="注释 2 5 2 10" xfId="30900"/>
    <cellStyle name="注释 2 5 2 10 2" xfId="30901"/>
    <cellStyle name="注释 2 5 2 10 3" xfId="27550"/>
    <cellStyle name="注释 2 5 2 11" xfId="30902"/>
    <cellStyle name="注释 2 5 2 2" xfId="30903"/>
    <cellStyle name="注释 2 5 2 2 2" xfId="26085"/>
    <cellStyle name="注释 2 5 2 2 2 2" xfId="29194"/>
    <cellStyle name="注释 2 5 2 2 2 3" xfId="30904"/>
    <cellStyle name="注释 2 5 2 2 3" xfId="26087"/>
    <cellStyle name="注释 2 5 2 2 3 2" xfId="30905"/>
    <cellStyle name="注释 2 5 2 2 3 3" xfId="30906"/>
    <cellStyle name="注释 2 5 2 2 4" xfId="21615"/>
    <cellStyle name="注释 2 5 2 2 4 2" xfId="30907"/>
    <cellStyle name="注释 2 5 2 2 4 3" xfId="11684"/>
    <cellStyle name="注释 2 5 2 2 5" xfId="21617"/>
    <cellStyle name="注释 2 5 2 2 6" xfId="21620"/>
    <cellStyle name="注释 2 5 2 2 6 2" xfId="24408"/>
    <cellStyle name="注释 2 5 2 2 6 3" xfId="30908"/>
    <cellStyle name="注释 2 5 2 2 7" xfId="21622"/>
    <cellStyle name="注释 2 5 2 3" xfId="30909"/>
    <cellStyle name="注释 2 5 2 3 2" xfId="30910"/>
    <cellStyle name="注释 2 5 2 3 2 2" xfId="29251"/>
    <cellStyle name="注释 2 5 2 3 2 3" xfId="30911"/>
    <cellStyle name="注释 2 5 2 3 3" xfId="29304"/>
    <cellStyle name="注释 2 5 2 3 3 2" xfId="30912"/>
    <cellStyle name="注释 2 5 2 3 3 3" xfId="30913"/>
    <cellStyle name="注释 2 5 2 3 4" xfId="21626"/>
    <cellStyle name="注释 2 5 2 3 4 2" xfId="30914"/>
    <cellStyle name="注释 2 5 2 3 4 3" xfId="30915"/>
    <cellStyle name="注释 2 5 2 3 5" xfId="21629"/>
    <cellStyle name="注释 2 5 2 3 6" xfId="21631"/>
    <cellStyle name="注释 2 5 2 3 6 2" xfId="30916"/>
    <cellStyle name="注释 2 5 2 3 6 3" xfId="30917"/>
    <cellStyle name="注释 2 5 2 3 7" xfId="21633"/>
    <cellStyle name="注释 2 5 2 4" xfId="30918"/>
    <cellStyle name="注释 2 5 2 4 2" xfId="30919"/>
    <cellStyle name="注释 2 5 2 4 2 2" xfId="17600"/>
    <cellStyle name="注释 2 5 2 4 2 2 2" xfId="24110"/>
    <cellStyle name="注释 2 5 2 4 2 2 3" xfId="28607"/>
    <cellStyle name="注释 2 5 2 4 2 3" xfId="17602"/>
    <cellStyle name="注释 2 5 2 4 2 4" xfId="17604"/>
    <cellStyle name="注释 2 5 2 4 2 4 2" xfId="28629"/>
    <cellStyle name="注释 2 5 2 4 2 4 3" xfId="28631"/>
    <cellStyle name="注释 2 5 2 4 2 5" xfId="17606"/>
    <cellStyle name="注释 2 5 2 4 3" xfId="26730"/>
    <cellStyle name="注释 2 5 2 4 3 2" xfId="26732"/>
    <cellStyle name="注释 2 5 2 4 3 3" xfId="26734"/>
    <cellStyle name="注释 2 5 2 4 4" xfId="26737"/>
    <cellStyle name="注释 2 5 2 4 4 2" xfId="30920"/>
    <cellStyle name="注释 2 5 2 4 4 3" xfId="30921"/>
    <cellStyle name="注释 2 5 2 4 5" xfId="26739"/>
    <cellStyle name="注释 2 5 2 4 6" xfId="30922"/>
    <cellStyle name="注释 2 5 2 4 6 2" xfId="30923"/>
    <cellStyle name="注释 2 5 2 4 6 3" xfId="30924"/>
    <cellStyle name="注释 2 5 2 4 7" xfId="30925"/>
    <cellStyle name="注释 2 5 2 4 7 2" xfId="20902"/>
    <cellStyle name="注释 2 5 2 4 7 3" xfId="30926"/>
    <cellStyle name="注释 2 5 2 4 8" xfId="30927"/>
    <cellStyle name="注释 2 5 2 5" xfId="30685"/>
    <cellStyle name="注释 2 5 2 5 2" xfId="30928"/>
    <cellStyle name="注释 2 5 2 5 2 2" xfId="30929"/>
    <cellStyle name="注释 2 5 2 5 2 3" xfId="30930"/>
    <cellStyle name="注释 2 5 2 5 3" xfId="30931"/>
    <cellStyle name="注释 2 5 2 5 3 2" xfId="30932"/>
    <cellStyle name="注释 2 5 2 5 3 3" xfId="30933"/>
    <cellStyle name="注释 2 5 2 5 4" xfId="30934"/>
    <cellStyle name="注释 2 5 2 5 5" xfId="30935"/>
    <cellStyle name="注释 2 5 2 5 5 2" xfId="30936"/>
    <cellStyle name="注释 2 5 2 5 5 3" xfId="30937"/>
    <cellStyle name="注释 2 5 2 5 6" xfId="30938"/>
    <cellStyle name="注释 2 5 2 6" xfId="28901"/>
    <cellStyle name="注释 2 5 2 6 2" xfId="30939"/>
    <cellStyle name="注释 2 5 2 6 3" xfId="30940"/>
    <cellStyle name="注释 2 5 2 7" xfId="28904"/>
    <cellStyle name="注释 2 5 2 7 2" xfId="30941"/>
    <cellStyle name="注释 2 5 2 7 3" xfId="30942"/>
    <cellStyle name="注释 2 5 2 8" xfId="30943"/>
    <cellStyle name="注释 2 5 2 8 2" xfId="30944"/>
    <cellStyle name="注释 2 5 2 8 3" xfId="19556"/>
    <cellStyle name="注释 2 5 2 9" xfId="30945"/>
    <cellStyle name="注释 2 5 3" xfId="4722"/>
    <cellStyle name="注释 2 5 3 2" xfId="10465"/>
    <cellStyle name="注释 2 5 3 2 2" xfId="10467"/>
    <cellStyle name="注释 2 5 3 2 3" xfId="10472"/>
    <cellStyle name="注释 2 5 3 3" xfId="10475"/>
    <cellStyle name="注释 2 5 3 3 2" xfId="10480"/>
    <cellStyle name="注释 2 5 3 3 3" xfId="10486"/>
    <cellStyle name="注释 2 5 3 4" xfId="10489"/>
    <cellStyle name="注释 2 5 3 4 2" xfId="30946"/>
    <cellStyle name="注释 2 5 3 4 3" xfId="26743"/>
    <cellStyle name="注释 2 5 3 5" xfId="30947"/>
    <cellStyle name="注释 2 5 3 6" xfId="30948"/>
    <cellStyle name="注释 2 5 3 6 2" xfId="18726"/>
    <cellStyle name="注释 2 5 3 6 3" xfId="18728"/>
    <cellStyle name="注释 2 5 3 7" xfId="7847"/>
    <cellStyle name="注释 2 5 4" xfId="4733"/>
    <cellStyle name="注释 2 5 4 2" xfId="10492"/>
    <cellStyle name="注释 2 5 4 2 2" xfId="10494"/>
    <cellStyle name="注释 2 5 4 2 3" xfId="10497"/>
    <cellStyle name="注释 2 5 4 3" xfId="10500"/>
    <cellStyle name="注释 2 5 4 3 2" xfId="30949"/>
    <cellStyle name="注释 2 5 4 3 3" xfId="30950"/>
    <cellStyle name="注释 2 5 4 4" xfId="30951"/>
    <cellStyle name="注释 2 5 4 4 2" xfId="30952"/>
    <cellStyle name="注释 2 5 4 4 3" xfId="26751"/>
    <cellStyle name="注释 2 5 4 5" xfId="30688"/>
    <cellStyle name="注释 2 5 4 6" xfId="30690"/>
    <cellStyle name="注释 2 5 4 6 2" xfId="30953"/>
    <cellStyle name="注释 2 5 4 6 3" xfId="30954"/>
    <cellStyle name="注释 2 5 4 7" xfId="38"/>
    <cellStyle name="注释 2 5 5" xfId="8113"/>
    <cellStyle name="注释 2 5 5 2" xfId="10506"/>
    <cellStyle name="注释 2 5 5 2 2" xfId="30955"/>
    <cellStyle name="注释 2 5 5 2 2 2" xfId="30956"/>
    <cellStyle name="注释 2 5 5 2 2 3" xfId="30957"/>
    <cellStyle name="注释 2 5 5 2 3" xfId="30958"/>
    <cellStyle name="注释 2 5 5 2 4" xfId="30959"/>
    <cellStyle name="注释 2 5 5 2 4 2" xfId="30960"/>
    <cellStyle name="注释 2 5 5 2 4 3" xfId="30961"/>
    <cellStyle name="注释 2 5 5 2 5" xfId="30962"/>
    <cellStyle name="注释 2 5 5 3" xfId="10512"/>
    <cellStyle name="注释 2 5 5 3 2" xfId="30963"/>
    <cellStyle name="注释 2 5 5 3 3" xfId="30964"/>
    <cellStyle name="注释 2 5 5 4" xfId="30965"/>
    <cellStyle name="注释 2 5 5 4 2" xfId="30966"/>
    <cellStyle name="注释 2 5 5 4 3" xfId="30967"/>
    <cellStyle name="注释 2 5 5 5" xfId="27944"/>
    <cellStyle name="注释 2 5 5 6" xfId="27948"/>
    <cellStyle name="注释 2 5 5 6 2" xfId="27950"/>
    <cellStyle name="注释 2 5 5 6 3" xfId="27952"/>
    <cellStyle name="注释 2 5 5 7" xfId="7871"/>
    <cellStyle name="注释 2 5 5 7 2" xfId="30968"/>
    <cellStyle name="注释 2 5 5 7 3" xfId="30969"/>
    <cellStyle name="注释 2 5 5 8" xfId="7874"/>
    <cellStyle name="注释 2 5 6" xfId="8118"/>
    <cellStyle name="注释 2 5 6 2" xfId="30970"/>
    <cellStyle name="注释 2 5 6 2 2" xfId="22356"/>
    <cellStyle name="注释 2 5 6 2 3" xfId="22365"/>
    <cellStyle name="注释 2 5 6 3" xfId="30971"/>
    <cellStyle name="注释 2 5 6 3 2" xfId="30972"/>
    <cellStyle name="注释 2 5 6 3 3" xfId="23232"/>
    <cellStyle name="注释 2 5 6 4" xfId="28462"/>
    <cellStyle name="注释 2 5 6 5" xfId="27956"/>
    <cellStyle name="注释 2 5 6 5 2" xfId="16784"/>
    <cellStyle name="注释 2 5 6 5 3" xfId="16788"/>
    <cellStyle name="注释 2 5 6 6" xfId="27959"/>
    <cellStyle name="注释 2 5 7" xfId="30973"/>
    <cellStyle name="注释 2 5 7 2" xfId="1305"/>
    <cellStyle name="注释 2 5 7 3" xfId="30974"/>
    <cellStyle name="注释 2 5 8" xfId="30975"/>
    <cellStyle name="注释 2 5 8 2" xfId="1639"/>
    <cellStyle name="注释 2 5 8 3" xfId="30976"/>
    <cellStyle name="注释 2 5 9" xfId="30977"/>
    <cellStyle name="注释 2 5 9 2" xfId="30978"/>
    <cellStyle name="注释 2 5 9 3" xfId="29341"/>
    <cellStyle name="注释 2 6" xfId="26869"/>
    <cellStyle name="注释 2 6 10" xfId="30979"/>
    <cellStyle name="注释 2 6 10 2" xfId="2446"/>
    <cellStyle name="注释 2 6 10 3" xfId="30980"/>
    <cellStyle name="注释 2 6 11" xfId="30981"/>
    <cellStyle name="注释 2 6 2" xfId="26871"/>
    <cellStyle name="注释 2 6 2 2" xfId="30982"/>
    <cellStyle name="注释 2 6 2 2 2" xfId="15356"/>
    <cellStyle name="注释 2 6 2 2 3" xfId="30983"/>
    <cellStyle name="注释 2 6 2 3" xfId="30984"/>
    <cellStyle name="注释 2 6 2 3 2" xfId="13727"/>
    <cellStyle name="注释 2 6 2 3 3" xfId="26112"/>
    <cellStyle name="注释 2 6 2 4" xfId="30985"/>
    <cellStyle name="注释 2 6 2 4 2" xfId="15367"/>
    <cellStyle name="注释 2 6 2 4 3" xfId="26759"/>
    <cellStyle name="注释 2 6 2 5" xfId="30986"/>
    <cellStyle name="注释 2 6 2 6" xfId="30699"/>
    <cellStyle name="注释 2 6 2 6 2" xfId="15380"/>
    <cellStyle name="注释 2 6 2 6 3" xfId="30987"/>
    <cellStyle name="注释 2 6 2 7" xfId="30701"/>
    <cellStyle name="注释 2 6 3" xfId="10515"/>
    <cellStyle name="注释 2 6 3 2" xfId="10527"/>
    <cellStyle name="注释 2 6 3 2 2" xfId="10530"/>
    <cellStyle name="注释 2 6 3 2 3" xfId="10533"/>
    <cellStyle name="注释 2 6 3 3" xfId="10542"/>
    <cellStyle name="注释 2 6 3 3 2" xfId="30988"/>
    <cellStyle name="注释 2 6 3 3 3" xfId="30989"/>
    <cellStyle name="注释 2 6 3 4" xfId="29883"/>
    <cellStyle name="注释 2 6 3 4 2" xfId="30990"/>
    <cellStyle name="注释 2 6 3 4 3" xfId="26765"/>
    <cellStyle name="注释 2 6 3 5" xfId="30991"/>
    <cellStyle name="注释 2 6 3 6" xfId="30704"/>
    <cellStyle name="注释 2 6 3 6 2" xfId="30992"/>
    <cellStyle name="注释 2 6 3 6 3" xfId="30993"/>
    <cellStyle name="注释 2 6 3 7" xfId="3480"/>
    <cellStyle name="注释 2 6 4" xfId="10546"/>
    <cellStyle name="注释 2 6 4 2" xfId="10556"/>
    <cellStyle name="注释 2 6 4 2 2" xfId="30994"/>
    <cellStyle name="注释 2 6 4 2 2 2" xfId="30995"/>
    <cellStyle name="注释 2 6 4 2 2 3" xfId="30996"/>
    <cellStyle name="注释 2 6 4 2 3" xfId="12396"/>
    <cellStyle name="注释 2 6 4 2 4" xfId="29372"/>
    <cellStyle name="注释 2 6 4 2 4 2" xfId="9723"/>
    <cellStyle name="注释 2 6 4 2 4 3" xfId="30997"/>
    <cellStyle name="注释 2 6 4 2 5" xfId="30998"/>
    <cellStyle name="注释 2 6 4 3" xfId="10565"/>
    <cellStyle name="注释 2 6 4 3 2" xfId="30999"/>
    <cellStyle name="注释 2 6 4 3 3" xfId="31000"/>
    <cellStyle name="注释 2 6 4 4" xfId="31001"/>
    <cellStyle name="注释 2 6 4 4 2" xfId="14003"/>
    <cellStyle name="注释 2 6 4 4 3" xfId="14005"/>
    <cellStyle name="注释 2 6 4 5" xfId="31002"/>
    <cellStyle name="注释 2 6 4 6" xfId="30707"/>
    <cellStyle name="注释 2 6 4 6 2" xfId="31003"/>
    <cellStyle name="注释 2 6 4 6 3" xfId="31004"/>
    <cellStyle name="注释 2 6 4 7" xfId="3684"/>
    <cellStyle name="注释 2 6 4 7 2" xfId="31005"/>
    <cellStyle name="注释 2 6 4 7 3" xfId="31006"/>
    <cellStyle name="注释 2 6 4 8" xfId="674"/>
    <cellStyle name="注释 2 6 5" xfId="10568"/>
    <cellStyle name="注释 2 6 5 2" xfId="25885"/>
    <cellStyle name="注释 2 6 5 2 2" xfId="31007"/>
    <cellStyle name="注释 2 6 5 2 3" xfId="31008"/>
    <cellStyle name="注释 2 6 5 3" xfId="31009"/>
    <cellStyle name="注释 2 6 5 3 2" xfId="31010"/>
    <cellStyle name="注释 2 6 5 3 3" xfId="31011"/>
    <cellStyle name="注释 2 6 5 4" xfId="31012"/>
    <cellStyle name="注释 2 6 5 5" xfId="27966"/>
    <cellStyle name="注释 2 6 5 5 2" xfId="27968"/>
    <cellStyle name="注释 2 6 5 5 3" xfId="27970"/>
    <cellStyle name="注释 2 6 5 6" xfId="27972"/>
    <cellStyle name="注释 2 6 6" xfId="29849"/>
    <cellStyle name="注释 2 6 6 2" xfId="31013"/>
    <cellStyle name="注释 2 6 6 3" xfId="31014"/>
    <cellStyle name="注释 2 6 7" xfId="29851"/>
    <cellStyle name="注释 2 6 7 2" xfId="6049"/>
    <cellStyle name="注释 2 6 7 3" xfId="31015"/>
    <cellStyle name="注释 2 6 8" xfId="31016"/>
    <cellStyle name="注释 2 6 8 2" xfId="6060"/>
    <cellStyle name="注释 2 6 8 3" xfId="24807"/>
    <cellStyle name="注释 2 6 9" xfId="31017"/>
    <cellStyle name="注释 2 7" xfId="26873"/>
    <cellStyle name="注释 2 7 10" xfId="27575"/>
    <cellStyle name="注释 2 7 10 2" xfId="27577"/>
    <cellStyle name="注释 2 7 10 3" xfId="27582"/>
    <cellStyle name="注释 2 7 11" xfId="27585"/>
    <cellStyle name="注释 2 7 2" xfId="31018"/>
    <cellStyle name="注释 2 7 2 2" xfId="31019"/>
    <cellStyle name="注释 2 7 2 2 2" xfId="31020"/>
    <cellStyle name="注释 2 7 2 2 3" xfId="3949"/>
    <cellStyle name="注释 2 7 2 3" xfId="29889"/>
    <cellStyle name="注释 2 7 2 3 2" xfId="31021"/>
    <cellStyle name="注释 2 7 2 3 3" xfId="29394"/>
    <cellStyle name="注释 2 7 2 4" xfId="29891"/>
    <cellStyle name="注释 2 7 2 4 2" xfId="31022"/>
    <cellStyle name="注释 2 7 2 4 3" xfId="31023"/>
    <cellStyle name="注释 2 7 2 5" xfId="31024"/>
    <cellStyle name="注释 2 7 2 6" xfId="30715"/>
    <cellStyle name="注释 2 7 2 6 2" xfId="31025"/>
    <cellStyle name="注释 2 7 2 6 3" xfId="5539"/>
    <cellStyle name="注释 2 7 2 7" xfId="30717"/>
    <cellStyle name="注释 2 7 3" xfId="5479"/>
    <cellStyle name="注释 2 7 3 2" xfId="10573"/>
    <cellStyle name="注释 2 7 3 2 2" xfId="10576"/>
    <cellStyle name="注释 2 7 3 2 3" xfId="10579"/>
    <cellStyle name="注释 2 7 3 3" xfId="10582"/>
    <cellStyle name="注释 2 7 3 3 2" xfId="31026"/>
    <cellStyle name="注释 2 7 3 3 3" xfId="31027"/>
    <cellStyle name="注释 2 7 3 4" xfId="31028"/>
    <cellStyle name="注释 2 7 3 4 2" xfId="31029"/>
    <cellStyle name="注释 2 7 3 4 3" xfId="26773"/>
    <cellStyle name="注释 2 7 3 5" xfId="31030"/>
    <cellStyle name="注释 2 7 3 6" xfId="30720"/>
    <cellStyle name="注释 2 7 3 6 2" xfId="31031"/>
    <cellStyle name="注释 2 7 3 6 3" xfId="31032"/>
    <cellStyle name="注释 2 7 3 7" xfId="3929"/>
    <cellStyle name="注释 2 7 4" xfId="5485"/>
    <cellStyle name="注释 2 7 4 2" xfId="8692"/>
    <cellStyle name="注释 2 7 4 2 2" xfId="22301"/>
    <cellStyle name="注释 2 7 4 2 2 2" xfId="22303"/>
    <cellStyle name="注释 2 7 4 2 2 3" xfId="22305"/>
    <cellStyle name="注释 2 7 4 2 3" xfId="22315"/>
    <cellStyle name="注释 2 7 4 2 4" xfId="22331"/>
    <cellStyle name="注释 2 7 4 2 4 2" xfId="9987"/>
    <cellStyle name="注释 2 7 4 2 4 3" xfId="22335"/>
    <cellStyle name="注释 2 7 4 2 5" xfId="22345"/>
    <cellStyle name="注释 2 7 4 3" xfId="8701"/>
    <cellStyle name="注释 2 7 4 3 2" xfId="22159"/>
    <cellStyle name="注释 2 7 4 3 3" xfId="22161"/>
    <cellStyle name="注释 2 7 4 4" xfId="31033"/>
    <cellStyle name="注释 2 7 4 4 2" xfId="31034"/>
    <cellStyle name="注释 2 7 4 4 3" xfId="31035"/>
    <cellStyle name="注释 2 7 4 5" xfId="31036"/>
    <cellStyle name="注释 2 7 4 6" xfId="30723"/>
    <cellStyle name="注释 2 7 4 6 2" xfId="31037"/>
    <cellStyle name="注释 2 7 4 6 3" xfId="31038"/>
    <cellStyle name="注释 2 7 4 7" xfId="3969"/>
    <cellStyle name="注释 2 7 4 7 2" xfId="23015"/>
    <cellStyle name="注释 2 7 4 7 3" xfId="23021"/>
    <cellStyle name="注释 2 7 4 8" xfId="818"/>
    <cellStyle name="注释 2 7 5" xfId="10588"/>
    <cellStyle name="注释 2 7 5 2" xfId="31039"/>
    <cellStyle name="注释 2 7 5 2 2" xfId="31040"/>
    <cellStyle name="注释 2 7 5 2 3" xfId="31041"/>
    <cellStyle name="注释 2 7 5 3" xfId="31042"/>
    <cellStyle name="注释 2 7 5 3 2" xfId="31043"/>
    <cellStyle name="注释 2 7 5 3 3" xfId="31044"/>
    <cellStyle name="注释 2 7 5 4" xfId="31045"/>
    <cellStyle name="注释 2 7 5 5" xfId="27983"/>
    <cellStyle name="注释 2 7 5 5 2" xfId="27985"/>
    <cellStyle name="注释 2 7 5 5 3" xfId="27987"/>
    <cellStyle name="注释 2 7 5 6" xfId="27989"/>
    <cellStyle name="注释 2 7 6" xfId="29178"/>
    <cellStyle name="注释 2 7 6 2" xfId="29180"/>
    <cellStyle name="注释 2 7 6 3" xfId="29182"/>
    <cellStyle name="注释 2 7 7" xfId="29184"/>
    <cellStyle name="注释 2 7 7 2" xfId="4699"/>
    <cellStyle name="注释 2 7 7 3" xfId="31046"/>
    <cellStyle name="注释 2 7 8" xfId="26912"/>
    <cellStyle name="注释 2 7 8 2" xfId="31047"/>
    <cellStyle name="注释 2 7 8 3" xfId="8495"/>
    <cellStyle name="注释 2 7 9" xfId="31048"/>
    <cellStyle name="注释 2 8" xfId="26875"/>
    <cellStyle name="注释 2 8 2" xfId="31049"/>
    <cellStyle name="注释 2 8 2 2" xfId="17512"/>
    <cellStyle name="注释 2 8 2 3" xfId="17515"/>
    <cellStyle name="注释 2 8 3" xfId="10591"/>
    <cellStyle name="注释 2 8 3 2" xfId="9168"/>
    <cellStyle name="注释 2 8 3 3" xfId="9193"/>
    <cellStyle name="注释 2 8 4" xfId="10594"/>
    <cellStyle name="注释 2 8 4 2" xfId="31050"/>
    <cellStyle name="注释 2 8 4 3" xfId="31051"/>
    <cellStyle name="注释 2 8 5" xfId="31052"/>
    <cellStyle name="注释 2 8 6" xfId="31053"/>
    <cellStyle name="注释 2 8 6 2" xfId="31054"/>
    <cellStyle name="注释 2 8 6 3" xfId="31055"/>
    <cellStyle name="注释 2 8 7" xfId="31056"/>
    <cellStyle name="注释 2 9" xfId="31057"/>
    <cellStyle name="注释 2 9 2" xfId="26374"/>
    <cellStyle name="注释 2 9 2 2" xfId="26376"/>
    <cellStyle name="注释 2 9 2 3" xfId="26380"/>
    <cellStyle name="注释 2 9 3" xfId="9552"/>
    <cellStyle name="注释 2 9 3 2" xfId="31058"/>
    <cellStyle name="注释 2 9 3 3" xfId="31059"/>
    <cellStyle name="注释 2 9 4" xfId="8665"/>
    <cellStyle name="注释 2 9 4 2" xfId="31060"/>
    <cellStyle name="注释 2 9 4 3" xfId="31061"/>
    <cellStyle name="注释 2 9 5" xfId="31062"/>
    <cellStyle name="注释 2 9 6" xfId="31063"/>
    <cellStyle name="注释 2 9 6 2" xfId="31064"/>
    <cellStyle name="注释 2 9 6 3" xfId="31065"/>
    <cellStyle name="注释 2 9 7" xfId="31066"/>
    <cellStyle name="注释 3" xfId="25852"/>
    <cellStyle name="注释 3 2" xfId="23772"/>
    <cellStyle name="注释 3 2 2" xfId="24170"/>
    <cellStyle name="注释 3 2 3" xfId="31067"/>
    <cellStyle name="注释 3 3" xfId="31068"/>
    <cellStyle name="注释 3 3 2" xfId="24185"/>
    <cellStyle name="注释 3 3 3" xfId="31069"/>
    <cellStyle name="注释 3 4" xfId="31070"/>
    <cellStyle name="注释 3 5" xfId="31071"/>
    <cellStyle name="注释 3 5 2" xfId="24205"/>
    <cellStyle name="注释 3 5 3" xfId="6730"/>
    <cellStyle name="注释 3 6" xfId="31072"/>
    <cellStyle name="注释 4" xfId="31073"/>
    <cellStyle name="注释 4 2" xfId="23778"/>
    <cellStyle name="注释 4 3" xfId="31074"/>
    <cellStyle name="注释 5" xfId="3107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449-P02-&#24191;&#28304;&#22823;&#21414;&#22320;&#19979;&#21830;&#1999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10643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57" customWidth="1"/>
    <col min="2" max="2" width="81" style="3258" customWidth="1"/>
    <col min="3" max="16384" width="9" style="3259"/>
  </cols>
  <sheetData>
    <row r="1" spans="1:2" s="3254" customFormat="1" ht="15.75">
      <c r="A1" s="3260" t="s">
        <v>0</v>
      </c>
      <c r="B1" s="3261" t="s">
        <v>1</v>
      </c>
    </row>
    <row r="2" spans="1:2" s="3255" customFormat="1">
      <c r="A2" s="3262" t="s">
        <v>2</v>
      </c>
      <c r="B2" s="3263" t="str">
        <f>'预评函-封皮'!B37:I37</f>
        <v>北京市房地产抵押价值预评估</v>
      </c>
    </row>
    <row r="3" spans="1:2" s="3256" customFormat="1">
      <c r="A3" s="3264" t="s">
        <v>3</v>
      </c>
      <c r="B3" s="3265">
        <f>'预评函-封皮'!B40</f>
        <v>0</v>
      </c>
    </row>
    <row r="4" spans="1:2" s="3256" customFormat="1">
      <c r="A4" s="3264" t="s">
        <v>4</v>
      </c>
      <c r="B4" s="3265" t="str">
        <f>'预评函-封皮'!B46</f>
        <v>（注册号：0)、（注册号：0)</v>
      </c>
    </row>
    <row r="5" spans="1:2" s="3254" customFormat="1">
      <c r="A5" s="3266" t="s">
        <v>5</v>
      </c>
      <c r="B5" s="3267" t="str">
        <f>'预评函-封皮'!B49</f>
        <v>康正预评字号</v>
      </c>
    </row>
    <row r="6" spans="1:2" s="3255" customFormat="1">
      <c r="A6" s="3262" t="s">
        <v>6</v>
      </c>
      <c r="B6" s="3263" t="str">
        <f>'预评函-1'!A4</f>
        <v>受贵公司委托，我公司对北京市房地产抵押价值进行了预评估。</v>
      </c>
    </row>
    <row r="7" spans="1:2" s="3256" customFormat="1">
      <c r="A7" s="3264" t="s">
        <v>7</v>
      </c>
      <c r="B7" s="3265" t="str">
        <f>'预评函-1'!A7</f>
        <v>估价对象为北京市房地产，为所有。根据《国有土地使用证》[]，估价对象（分摊）出让国有建设用地使用权面积为5788.26平方米，建筑面积为16578.28平方米。</v>
      </c>
    </row>
    <row r="8" spans="1:2" s="3256" customFormat="1">
      <c r="A8" s="3264" t="s">
        <v>8</v>
      </c>
      <c r="B8" s="3265" t="str">
        <f>'预评函-1'!A8</f>
        <v>估价对象简述。项目推广名，项目类型（用途），估价对象分布，各用途面积明细情况：XX用途建筑面积XX平方米，XX用途建筑面积XX平方米，……。复杂面积清单需设‘附表’列示：抵押物清单详见附表</v>
      </c>
    </row>
    <row r="9" spans="1:2" s="3256" customFormat="1">
      <c r="A9" s="3264" t="s">
        <v>9</v>
      </c>
      <c r="B9" s="3265" t="str">
        <f>'预评函-1'!A10</f>
        <v>估价对象为北京市房地产,属开发建设的，该项目尚在开发建设中。根据《国有土地使用证》[]，估价对象（分摊）出让国有建设用地使用权面积为5788.26平方米，规划建筑面积为16578.28平方米。</v>
      </c>
    </row>
    <row r="10" spans="1:2" s="3256" customFormat="1">
      <c r="A10" s="3264" t="s">
        <v>10</v>
      </c>
      <c r="B10" s="32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56" customFormat="1">
      <c r="A11" s="3264" t="s">
        <v>11</v>
      </c>
      <c r="B11" s="326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56" customFormat="1">
      <c r="A12" s="3264" t="s">
        <v>12</v>
      </c>
      <c r="B12" s="3265" t="str">
        <f>'预评函-1'!A15</f>
        <v>2022年7月13日</v>
      </c>
    </row>
    <row r="13" spans="1:2" s="3256" customFormat="1">
      <c r="A13" s="3264" t="s">
        <v>13</v>
      </c>
      <c r="B13" s="3265" t="str">
        <f>'预评函-1'!A18</f>
        <v>本次估价的“房地产价值”是指在正常市场情况下，在价值时点2022年7月13日，估价对象规划用途为，土地取得方式为出让，出让国有建设用地使用权剩余土地使用年限为，假定未设立法定优先受偿款下的房地产市场价值。</v>
      </c>
    </row>
    <row r="14" spans="1:2" s="3256" customFormat="1">
      <c r="A14" s="3264" t="s">
        <v>14</v>
      </c>
      <c r="B14" s="32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56" customFormat="1">
      <c r="A15" s="3264" t="s">
        <v>15</v>
      </c>
      <c r="B15" s="3265" t="str">
        <f>'预评函-1'!A20</f>
        <v>本次估价的“房地产抵押价值”是指估价对象在价值时点的“房地产价值”扣减估价师于价值时点所知悉的法定优先受偿款后的余额。</v>
      </c>
    </row>
    <row r="16" spans="1:2" s="3256" customFormat="1">
      <c r="A16" s="3264" t="s">
        <v>16</v>
      </c>
      <c r="B16" s="32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56" customFormat="1">
      <c r="A17" s="3264" t="s">
        <v>17</v>
      </c>
      <c r="B17" s="326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54" customFormat="1">
      <c r="A18" s="3266" t="s">
        <v>18</v>
      </c>
      <c r="B18" s="3267" t="str">
        <f>'预评函-1'!A24</f>
        <v>本次评估采用的主估价方法为收益法和成本法。</v>
      </c>
    </row>
    <row r="19" spans="1:2" s="3255" customFormat="1">
      <c r="A19" s="3262" t="s">
        <v>19</v>
      </c>
      <c r="B19" s="32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56" customFormat="1">
      <c r="A20" s="3264" t="s">
        <v>20</v>
      </c>
      <c r="B20" s="3265">
        <f ca="1">'预评函-2'!D5</f>
        <v>23305</v>
      </c>
    </row>
    <row r="21" spans="1:2" s="3256" customFormat="1">
      <c r="A21" s="3264" t="s">
        <v>21</v>
      </c>
      <c r="B21" s="3265">
        <f ca="1">'预评函-2'!D7</f>
        <v>14058</v>
      </c>
    </row>
    <row r="22" spans="1:2" s="3256" customFormat="1">
      <c r="A22" s="3264" t="s">
        <v>22</v>
      </c>
      <c r="B22" s="3265" t="str">
        <f ca="1">'预评函-2'!D6</f>
        <v>贰亿叁仟叁佰零伍万元整</v>
      </c>
    </row>
    <row r="23" spans="1:2" s="3256" customFormat="1">
      <c r="A23" s="3264" t="s">
        <v>23</v>
      </c>
      <c r="B23" s="3265" t="str">
        <f>'预评函-2'!B8</f>
        <v>2.估价师知悉的法定优先受偿款</v>
      </c>
    </row>
    <row r="24" spans="1:2" s="3256" customFormat="1">
      <c r="A24" s="3264" t="s">
        <v>24</v>
      </c>
      <c r="B24" s="3265">
        <f>'预评函-2'!D8</f>
        <v>0</v>
      </c>
    </row>
    <row r="25" spans="1:2" s="3256" customFormat="1">
      <c r="A25" s="3264" t="s">
        <v>25</v>
      </c>
      <c r="B25" s="3265" t="str">
        <f>'预评函-2'!D9</f>
        <v>零元整</v>
      </c>
    </row>
    <row r="26" spans="1:2" s="3256" customFormat="1">
      <c r="A26" s="3264" t="s">
        <v>26</v>
      </c>
      <c r="B26" s="3265">
        <f>'预评函-2'!D10</f>
        <v>0</v>
      </c>
    </row>
    <row r="27" spans="1:2" s="3256" customFormat="1">
      <c r="A27" s="3264" t="s">
        <v>27</v>
      </c>
      <c r="B27" s="3265">
        <f>'预评函-2'!D11</f>
        <v>0</v>
      </c>
    </row>
    <row r="28" spans="1:2" s="3256" customFormat="1">
      <c r="A28" s="3264" t="s">
        <v>28</v>
      </c>
      <c r="B28" s="3265">
        <f>'预评函-2'!D12</f>
        <v>0</v>
      </c>
    </row>
    <row r="29" spans="1:2" s="3256" customFormat="1">
      <c r="A29" s="3264" t="s">
        <v>29</v>
      </c>
      <c r="B29" s="3265" t="str">
        <f>'预评函-2'!B13</f>
        <v>3.房地产抵押价值</v>
      </c>
    </row>
    <row r="30" spans="1:2" s="3256" customFormat="1">
      <c r="A30" s="3264" t="s">
        <v>30</v>
      </c>
      <c r="B30" s="3265">
        <f ca="1">'预评函-2'!D13</f>
        <v>23305</v>
      </c>
    </row>
    <row r="31" spans="1:2" s="3256" customFormat="1">
      <c r="A31" s="3264" t="s">
        <v>31</v>
      </c>
      <c r="B31" s="3265">
        <f ca="1">'预评函-2'!D15</f>
        <v>14058</v>
      </c>
    </row>
    <row r="32" spans="1:2" s="3256" customFormat="1">
      <c r="A32" s="3264" t="s">
        <v>32</v>
      </c>
      <c r="B32" s="3265" t="str">
        <f ca="1">'预评函-2'!D14</f>
        <v>贰亿叁仟叁佰零伍万元整</v>
      </c>
    </row>
    <row r="33" spans="1:2" s="3256" customFormat="1">
      <c r="A33" s="3264" t="s">
        <v>33</v>
      </c>
      <c r="B33" s="3265" t="str">
        <f>'预评函-2'!B16</f>
        <v>——</v>
      </c>
    </row>
    <row r="34" spans="1:2" s="3256" customFormat="1">
      <c r="A34" s="3264" t="s">
        <v>34</v>
      </c>
      <c r="B34" s="3265" t="str">
        <f>'预评函-2'!D16</f>
        <v>——</v>
      </c>
    </row>
    <row r="35" spans="1:2" s="3256" customFormat="1">
      <c r="A35" s="3264" t="s">
        <v>35</v>
      </c>
      <c r="B35" s="3265" t="str">
        <f>'预评函-2'!D18</f>
        <v>——</v>
      </c>
    </row>
    <row r="36" spans="1:2" s="3256" customFormat="1">
      <c r="A36" s="3264" t="s">
        <v>36</v>
      </c>
      <c r="B36" s="3265" t="e">
        <f>'预评函-2'!D17</f>
        <v>#VALUE!</v>
      </c>
    </row>
    <row r="37" spans="1:2" s="3256" customFormat="1">
      <c r="A37" s="3264" t="s">
        <v>37</v>
      </c>
      <c r="B37" s="3265" t="str">
        <f>'预评函-2'!B19</f>
        <v>4.抵押净值</v>
      </c>
    </row>
    <row r="38" spans="1:2" s="3256" customFormat="1">
      <c r="A38" s="3264" t="s">
        <v>38</v>
      </c>
      <c r="B38" s="3265">
        <f ca="1">'预评函-2'!D19</f>
        <v>9891</v>
      </c>
    </row>
    <row r="39" spans="1:2" s="3256" customFormat="1">
      <c r="A39" s="3264" t="s">
        <v>39</v>
      </c>
      <c r="B39" s="3265">
        <f ca="1">'预评函-2'!D21</f>
        <v>5966</v>
      </c>
    </row>
    <row r="40" spans="1:2" s="3256" customFormat="1">
      <c r="A40" s="3264" t="s">
        <v>40</v>
      </c>
      <c r="B40" s="3265" t="str">
        <f ca="1">'预评函-2'!D20</f>
        <v>玖仟捌佰玖拾壹万元整</v>
      </c>
    </row>
    <row r="41" spans="1:2" s="3256" customFormat="1">
      <c r="A41" s="3264" t="s">
        <v>41</v>
      </c>
      <c r="B41" s="3265" t="str">
        <f>'预评函-3'!A4</f>
        <v>北京市房地产</v>
      </c>
    </row>
    <row r="42" spans="1:2" s="3256" customFormat="1">
      <c r="A42" s="3264" t="s">
        <v>42</v>
      </c>
      <c r="B42" s="3265" t="str">
        <f>'预评函-3'!B2</f>
        <v>建筑面积</v>
      </c>
    </row>
    <row r="43" spans="1:2" s="3256" customFormat="1">
      <c r="A43" s="3264" t="s">
        <v>43</v>
      </c>
      <c r="B43" s="3265">
        <f>'预评函-3'!B4</f>
        <v>16578.28</v>
      </c>
    </row>
    <row r="44" spans="1:2" s="3256" customFormat="1">
      <c r="A44" s="3264" t="s">
        <v>44</v>
      </c>
      <c r="B44" s="3265" t="str">
        <f>'预评函-3'!C2</f>
        <v>(分摊)土地面积</v>
      </c>
    </row>
    <row r="45" spans="1:2" s="3256" customFormat="1">
      <c r="A45" s="3264" t="s">
        <v>45</v>
      </c>
      <c r="B45" s="3265">
        <f>'预评函-3'!C4</f>
        <v>5788.26</v>
      </c>
    </row>
    <row r="46" spans="1:2" s="3256" customFormat="1">
      <c r="A46" s="3264" t="s">
        <v>46</v>
      </c>
      <c r="B46" s="3265" t="str">
        <f>'预评函-3'!D2</f>
        <v>出让国有建设用地使用权价值</v>
      </c>
    </row>
    <row r="47" spans="1:2" s="3256" customFormat="1">
      <c r="A47" s="3264" t="s">
        <v>47</v>
      </c>
      <c r="B47" s="3265">
        <f ca="1">'预评函-3'!D4</f>
        <v>19180</v>
      </c>
    </row>
    <row r="48" spans="1:2" s="3256" customFormat="1">
      <c r="A48" s="3264" t="s">
        <v>48</v>
      </c>
      <c r="B48" s="3265">
        <f ca="1">'预评函-3'!E4</f>
        <v>11570</v>
      </c>
    </row>
    <row r="49" spans="1:2" s="3256" customFormat="1">
      <c r="A49" s="3264" t="s">
        <v>49</v>
      </c>
      <c r="B49" s="3265" t="str">
        <f ca="1">'预评函-3'!D5</f>
        <v>壹亿玖仟壹佰捌拾万元整</v>
      </c>
    </row>
    <row r="50" spans="1:2" s="3256" customFormat="1">
      <c r="A50" s="3264" t="s">
        <v>50</v>
      </c>
      <c r="B50" s="3265" t="str">
        <f>'预评函-3'!F2</f>
        <v>在建建筑物价值</v>
      </c>
    </row>
    <row r="51" spans="1:2" s="3256" customFormat="1">
      <c r="A51" s="3264" t="s">
        <v>51</v>
      </c>
      <c r="B51" s="3265">
        <f ca="1">'预评函-3'!F4</f>
        <v>4125</v>
      </c>
    </row>
    <row r="52" spans="1:2" s="3256" customFormat="1">
      <c r="A52" s="3264" t="s">
        <v>52</v>
      </c>
      <c r="B52" s="3265">
        <f ca="1">'预评函-3'!G4</f>
        <v>2488</v>
      </c>
    </row>
    <row r="53" spans="1:2" s="3256" customFormat="1">
      <c r="A53" s="3264" t="s">
        <v>53</v>
      </c>
      <c r="B53" s="3265" t="str">
        <f ca="1">'预评函-3'!F5</f>
        <v>肆仟壹佰贰拾伍万元整</v>
      </c>
    </row>
    <row r="54" spans="1:2" s="3256" customFormat="1">
      <c r="A54" s="3264" t="s">
        <v>54</v>
      </c>
      <c r="B54" s="3265" t="str">
        <f>'预评函-3'!A8</f>
        <v>房地产抵押价值</v>
      </c>
    </row>
    <row r="55" spans="1:2" s="3256" customFormat="1">
      <c r="A55" s="3264" t="s">
        <v>55</v>
      </c>
      <c r="B55" s="3265" t="str">
        <f>'预评函-3'!A10</f>
        <v/>
      </c>
    </row>
    <row r="56" spans="1:2" s="3256" customFormat="1">
      <c r="A56" s="3264" t="s">
        <v>56</v>
      </c>
      <c r="B56" s="3265" t="str">
        <f>'预评函-3'!A12</f>
        <v>抵押净值</v>
      </c>
    </row>
    <row r="57" spans="1:2" s="3254" customFormat="1">
      <c r="A57" s="3266" t="s">
        <v>57</v>
      </c>
      <c r="B57" s="3267" t="str">
        <f>'预评函-3'!A6</f>
        <v>估价师知悉的法定优先受偿款</v>
      </c>
    </row>
    <row r="58" spans="1:2" s="3255" customFormat="1">
      <c r="A58" s="3262" t="s">
        <v>58</v>
      </c>
      <c r="B58" s="3263" t="str">
        <f>'预评函-4'!A12</f>
        <v>2.本《评估意见函》仅供金融机构进行内部审核使用，不做其他目的之用。</v>
      </c>
    </row>
    <row r="59" spans="1:2" s="3256" customFormat="1">
      <c r="A59" s="3264" t="s">
        <v>59</v>
      </c>
      <c r="B59" s="3265" t="str">
        <f>'预评函-4'!A13</f>
        <v>3.抵押双方在办理抵押登记手续时，应使用本公司出具的正式《房地产评估报告》，特提醒报告使用者注意。</v>
      </c>
    </row>
    <row r="60" spans="1:2" s="3256" customFormat="1">
      <c r="A60" s="3264" t="s">
        <v>60</v>
      </c>
      <c r="B60" s="3265" t="str">
        <f>'预评函-4'!A14</f>
        <v>4.本次评估估价师所知悉的法定优先受偿款情况说明如下：</v>
      </c>
    </row>
    <row r="61" spans="1:2" s="3256" customFormat="1">
      <c r="A61" s="3264" t="s">
        <v>61</v>
      </c>
      <c r="B61" s="326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56" customFormat="1">
      <c r="A62" s="3264" t="s">
        <v>62</v>
      </c>
      <c r="B62" s="3265" t="str">
        <f>'预评函-4'!A16</f>
        <v>（2）根据《工程款支付情况说明》，截至价值时点，估价对象不存在应付未付工程款项。（只要没有施工方盖章的，均“设定”进行表述）</v>
      </c>
    </row>
    <row r="63" spans="1:2" s="3256" customFormat="1">
      <c r="A63" s="3264" t="s">
        <v>63</v>
      </c>
      <c r="B63" s="32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56" customFormat="1">
      <c r="A64" s="3264" t="s">
        <v>64</v>
      </c>
      <c r="B64" s="3265" t="str">
        <f>'预评函-4'!A18</f>
        <v>故，本次评估不存在估价师知悉的法定优先受偿款</v>
      </c>
    </row>
    <row r="65" spans="1:2" s="3256" customFormat="1">
      <c r="A65" s="3264" t="s">
        <v>65</v>
      </c>
      <c r="B65" s="32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56" customFormat="1">
      <c r="A66" s="3264" t="s">
        <v>66</v>
      </c>
      <c r="B66" s="32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56" customFormat="1">
      <c r="A67" s="3264" t="s">
        <v>67</v>
      </c>
      <c r="B67" s="32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56" customFormat="1">
      <c r="A68" s="3264" t="s">
        <v>68</v>
      </c>
      <c r="B68" s="3265" t="str">
        <f>'预评函-4'!A22</f>
        <v>8.其他需特殊说明事项：无（注意调整序号）</v>
      </c>
    </row>
    <row r="69" spans="1:2" s="3254" customFormat="1">
      <c r="A69" s="3266" t="s">
        <v>69</v>
      </c>
      <c r="B69" s="3268">
        <f>'预评函-4'!C31</f>
        <v>42551</v>
      </c>
    </row>
    <row r="70" spans="1:2">
      <c r="A70" s="3269" t="s">
        <v>70</v>
      </c>
      <c r="B70" s="3270">
        <f>'预评函-4'!A4</f>
        <v>0</v>
      </c>
    </row>
    <row r="71" spans="1:2">
      <c r="A71" s="3264" t="s">
        <v>71</v>
      </c>
      <c r="B71" s="3265">
        <f>'预评函-4'!B4</f>
        <v>0</v>
      </c>
    </row>
    <row r="72" spans="1:2">
      <c r="A72" s="3264" t="s">
        <v>72</v>
      </c>
      <c r="B72" s="3271">
        <f>'预评函-4'!A5</f>
        <v>0</v>
      </c>
    </row>
    <row r="73" spans="1:2" s="3254" customFormat="1">
      <c r="A73" s="3266" t="s">
        <v>73</v>
      </c>
      <c r="B73" s="3267">
        <f>'预评函-4'!B5</f>
        <v>0</v>
      </c>
    </row>
    <row r="74" spans="1:2">
      <c r="A74" s="3257" t="s">
        <v>74</v>
      </c>
      <c r="B74" s="3258"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132" customWidth="1"/>
    <col min="2" max="2" width="23.25" style="3133" customWidth="1"/>
    <col min="3" max="3" width="13" style="3134" customWidth="1"/>
    <col min="4" max="4" width="5.75" style="3135" customWidth="1"/>
    <col min="5" max="5" width="7.125" style="3135" customWidth="1"/>
    <col min="6" max="6" width="10.625" style="3135" customWidth="1"/>
    <col min="7" max="7" width="7.5" style="3135" customWidth="1"/>
    <col min="8" max="8" width="9" style="3134" customWidth="1"/>
    <col min="9" max="9" width="11.625" style="3134" customWidth="1"/>
    <col min="10" max="10" width="9" style="3134" customWidth="1"/>
    <col min="11" max="19" width="9" style="3135" customWidth="1"/>
    <col min="20" max="23" width="9" style="3134" customWidth="1"/>
    <col min="24" max="24" width="21.125" style="3133" customWidth="1"/>
    <col min="25" max="16384" width="9" style="3133"/>
  </cols>
  <sheetData>
    <row r="1" spans="1:23" s="3131" customFormat="1" ht="27">
      <c r="A1" s="3136" t="s">
        <v>206</v>
      </c>
      <c r="B1" s="3137" t="s">
        <v>207</v>
      </c>
      <c r="C1" s="3138" t="s">
        <v>208</v>
      </c>
      <c r="D1" s="3139" t="s">
        <v>209</v>
      </c>
      <c r="E1" s="3139" t="s">
        <v>210</v>
      </c>
      <c r="F1" s="3139" t="s">
        <v>211</v>
      </c>
      <c r="G1" s="3139" t="s">
        <v>212</v>
      </c>
      <c r="H1" s="3139" t="s">
        <v>213</v>
      </c>
      <c r="I1" s="3139" t="s">
        <v>214</v>
      </c>
      <c r="J1" s="3139" t="s">
        <v>215</v>
      </c>
      <c r="K1" s="3139" t="s">
        <v>216</v>
      </c>
      <c r="L1" s="3139" t="s">
        <v>217</v>
      </c>
      <c r="M1" s="3139" t="s">
        <v>218</v>
      </c>
      <c r="N1" s="3139" t="s">
        <v>219</v>
      </c>
      <c r="O1" s="3139" t="s">
        <v>220</v>
      </c>
      <c r="P1" s="3148" t="s">
        <v>221</v>
      </c>
      <c r="Q1" s="3148" t="s">
        <v>222</v>
      </c>
      <c r="R1" s="3139" t="s">
        <v>223</v>
      </c>
      <c r="S1" s="3139" t="s">
        <v>224</v>
      </c>
      <c r="T1" s="3149" t="s">
        <v>225</v>
      </c>
      <c r="U1" s="3139" t="s">
        <v>226</v>
      </c>
      <c r="V1" s="3139" t="s">
        <v>227</v>
      </c>
      <c r="W1" s="3139" t="s">
        <v>228</v>
      </c>
    </row>
    <row r="2" spans="1:23">
      <c r="A2" s="3140" t="s">
        <v>124</v>
      </c>
      <c r="B2" s="3140" t="s">
        <v>229</v>
      </c>
      <c r="C2" s="3141" t="s">
        <v>230</v>
      </c>
      <c r="D2" s="3135" t="s">
        <v>231</v>
      </c>
      <c r="E2" s="3135" t="s">
        <v>232</v>
      </c>
      <c r="F2" s="3135" t="s">
        <v>159</v>
      </c>
      <c r="G2" s="3135">
        <v>40</v>
      </c>
      <c r="H2" s="3135" t="s">
        <v>159</v>
      </c>
      <c r="I2" s="3135" t="s">
        <v>233</v>
      </c>
      <c r="J2" s="3135" t="s">
        <v>234</v>
      </c>
      <c r="K2" s="3135" t="s">
        <v>235</v>
      </c>
      <c r="L2" s="3135" t="s">
        <v>235</v>
      </c>
      <c r="M2" s="3135" t="s">
        <v>235</v>
      </c>
      <c r="N2" s="3135" t="s">
        <v>235</v>
      </c>
      <c r="O2" s="3135" t="s">
        <v>235</v>
      </c>
      <c r="P2" s="3135" t="s">
        <v>235</v>
      </c>
      <c r="Q2" s="3135" t="s">
        <v>235</v>
      </c>
      <c r="R2" s="3135" t="s">
        <v>236</v>
      </c>
      <c r="S2" s="3135" t="s">
        <v>235</v>
      </c>
      <c r="T2" s="3135" t="s">
        <v>237</v>
      </c>
      <c r="U2" s="3135" t="s">
        <v>235</v>
      </c>
      <c r="V2" s="3135" t="s">
        <v>238</v>
      </c>
      <c r="W2" s="3135" t="s">
        <v>235</v>
      </c>
    </row>
    <row r="3" spans="1:23">
      <c r="A3" s="3140" t="s">
        <v>239</v>
      </c>
      <c r="B3" s="3142" t="s">
        <v>240</v>
      </c>
      <c r="C3" s="3143" t="s">
        <v>241</v>
      </c>
      <c r="D3" s="3135" t="s">
        <v>242</v>
      </c>
      <c r="E3" s="3135" t="s">
        <v>124</v>
      </c>
      <c r="F3" s="3135" t="s">
        <v>160</v>
      </c>
      <c r="G3" s="3135">
        <v>50</v>
      </c>
      <c r="H3" s="3135" t="s">
        <v>160</v>
      </c>
      <c r="I3" s="3135" t="s">
        <v>243</v>
      </c>
      <c r="J3" s="3135" t="s">
        <v>244</v>
      </c>
      <c r="K3" s="3135" t="s">
        <v>245</v>
      </c>
      <c r="L3" s="3135" t="s">
        <v>245</v>
      </c>
      <c r="M3" s="3135" t="s">
        <v>245</v>
      </c>
      <c r="N3" s="3135" t="s">
        <v>245</v>
      </c>
      <c r="O3" s="3135" t="s">
        <v>245</v>
      </c>
      <c r="P3" s="3135" t="s">
        <v>245</v>
      </c>
      <c r="Q3" s="3135" t="s">
        <v>245</v>
      </c>
      <c r="R3" s="3135" t="s">
        <v>246</v>
      </c>
      <c r="S3" s="3135" t="s">
        <v>245</v>
      </c>
      <c r="T3" s="3135" t="s">
        <v>247</v>
      </c>
      <c r="U3" s="3135" t="s">
        <v>245</v>
      </c>
      <c r="V3" s="3135" t="s">
        <v>248</v>
      </c>
      <c r="W3" s="3135" t="s">
        <v>245</v>
      </c>
    </row>
    <row r="4" spans="1:23">
      <c r="A4" s="3140" t="s">
        <v>249</v>
      </c>
      <c r="B4" s="3140" t="s">
        <v>250</v>
      </c>
      <c r="C4" s="3141" t="s">
        <v>251</v>
      </c>
      <c r="D4" s="3135" t="s">
        <v>124</v>
      </c>
      <c r="E4" s="3135" t="s">
        <v>252</v>
      </c>
      <c r="F4" s="3135" t="s">
        <v>161</v>
      </c>
      <c r="G4" s="3135">
        <v>70</v>
      </c>
      <c r="H4" s="3135" t="s">
        <v>161</v>
      </c>
      <c r="I4" s="3135" t="s">
        <v>253</v>
      </c>
      <c r="K4" s="3135" t="s">
        <v>254</v>
      </c>
      <c r="L4" s="3135" t="s">
        <v>254</v>
      </c>
      <c r="M4" s="3135" t="s">
        <v>254</v>
      </c>
      <c r="N4" s="3135" t="s">
        <v>254</v>
      </c>
      <c r="O4" s="3135" t="s">
        <v>254</v>
      </c>
      <c r="P4" s="3135" t="s">
        <v>254</v>
      </c>
      <c r="Q4" s="3135" t="s">
        <v>254</v>
      </c>
      <c r="R4" s="3135" t="s">
        <v>255</v>
      </c>
      <c r="S4" s="3135" t="s">
        <v>254</v>
      </c>
      <c r="T4" s="3135" t="s">
        <v>256</v>
      </c>
      <c r="U4" s="3135" t="s">
        <v>254</v>
      </c>
      <c r="W4" s="3135" t="s">
        <v>254</v>
      </c>
    </row>
    <row r="5" spans="1:23">
      <c r="A5" s="3140" t="s">
        <v>257</v>
      </c>
      <c r="B5" s="3140" t="s">
        <v>258</v>
      </c>
      <c r="C5" s="3141" t="s">
        <v>259</v>
      </c>
      <c r="F5" s="3135" t="s">
        <v>162</v>
      </c>
      <c r="H5" s="3135" t="s">
        <v>260</v>
      </c>
      <c r="I5" s="3135" t="s">
        <v>261</v>
      </c>
      <c r="K5" s="3135" t="s">
        <v>262</v>
      </c>
      <c r="L5" s="3135" t="s">
        <v>262</v>
      </c>
      <c r="M5" s="3135" t="s">
        <v>262</v>
      </c>
      <c r="N5" s="3135" t="s">
        <v>262</v>
      </c>
      <c r="O5" s="3135" t="s">
        <v>262</v>
      </c>
      <c r="P5" s="3135" t="s">
        <v>262</v>
      </c>
      <c r="Q5" s="3135" t="s">
        <v>262</v>
      </c>
      <c r="R5" s="3135" t="s">
        <v>263</v>
      </c>
      <c r="S5" s="3135" t="s">
        <v>262</v>
      </c>
      <c r="T5" s="3135" t="s">
        <v>264</v>
      </c>
      <c r="U5" s="3135" t="s">
        <v>262</v>
      </c>
      <c r="W5" s="3135" t="s">
        <v>262</v>
      </c>
    </row>
    <row r="6" spans="1:23">
      <c r="A6" s="3140" t="s">
        <v>265</v>
      </c>
      <c r="B6" s="3142" t="s">
        <v>266</v>
      </c>
      <c r="C6" s="3144" t="s">
        <v>267</v>
      </c>
      <c r="F6" s="3135" t="s">
        <v>260</v>
      </c>
      <c r="H6" s="3135" t="s">
        <v>164</v>
      </c>
      <c r="I6" s="3135" t="s">
        <v>268</v>
      </c>
      <c r="K6" s="3135" t="s">
        <v>269</v>
      </c>
      <c r="L6" s="3135" t="s">
        <v>269</v>
      </c>
      <c r="M6" s="3135" t="s">
        <v>269</v>
      </c>
      <c r="N6" s="3135" t="s">
        <v>269</v>
      </c>
      <c r="O6" s="3135" t="s">
        <v>269</v>
      </c>
      <c r="P6" s="3135" t="s">
        <v>269</v>
      </c>
      <c r="Q6" s="3135" t="s">
        <v>269</v>
      </c>
      <c r="R6" s="3135" t="s">
        <v>270</v>
      </c>
      <c r="S6" s="3135" t="s">
        <v>269</v>
      </c>
      <c r="T6" s="3135"/>
      <c r="U6" s="3135" t="s">
        <v>269</v>
      </c>
      <c r="W6" s="3135" t="s">
        <v>269</v>
      </c>
    </row>
    <row r="7" spans="1:23">
      <c r="A7" s="3140" t="s">
        <v>271</v>
      </c>
      <c r="B7" s="3142" t="s">
        <v>272</v>
      </c>
      <c r="C7" s="3141" t="s">
        <v>273</v>
      </c>
      <c r="F7" s="3135" t="s">
        <v>274</v>
      </c>
      <c r="H7" s="3135" t="s">
        <v>162</v>
      </c>
      <c r="I7" s="3135" t="s">
        <v>275</v>
      </c>
    </row>
    <row r="8" spans="1:23">
      <c r="A8" s="3140" t="s">
        <v>276</v>
      </c>
      <c r="B8" s="3140" t="s">
        <v>277</v>
      </c>
      <c r="C8" s="3141" t="s">
        <v>278</v>
      </c>
      <c r="F8" s="3135" t="s">
        <v>279</v>
      </c>
      <c r="H8" s="3135"/>
      <c r="I8" s="3135" t="s">
        <v>280</v>
      </c>
    </row>
    <row r="9" spans="1:23">
      <c r="A9" s="3140" t="s">
        <v>281</v>
      </c>
      <c r="B9" s="3140" t="s">
        <v>282</v>
      </c>
      <c r="C9" s="3141" t="s">
        <v>283</v>
      </c>
      <c r="F9" s="3135" t="s">
        <v>164</v>
      </c>
      <c r="H9" s="3135"/>
    </row>
    <row r="10" spans="1:23">
      <c r="A10" s="3140" t="s">
        <v>284</v>
      </c>
      <c r="B10" s="3140" t="s">
        <v>285</v>
      </c>
      <c r="C10" s="3141" t="s">
        <v>286</v>
      </c>
      <c r="F10" s="3135" t="s">
        <v>124</v>
      </c>
    </row>
    <row r="11" spans="1:23">
      <c r="A11" s="3140" t="s">
        <v>287</v>
      </c>
      <c r="B11" s="3140" t="s">
        <v>288</v>
      </c>
      <c r="C11" s="3141" t="s">
        <v>289</v>
      </c>
    </row>
    <row r="12" spans="1:23">
      <c r="A12" s="3140" t="s">
        <v>290</v>
      </c>
      <c r="B12" s="3140" t="s">
        <v>291</v>
      </c>
      <c r="C12" s="3141" t="s">
        <v>292</v>
      </c>
    </row>
    <row r="13" spans="1:23">
      <c r="A13" s="3140" t="s">
        <v>293</v>
      </c>
      <c r="B13" s="3140" t="s">
        <v>294</v>
      </c>
      <c r="C13" s="3141" t="s">
        <v>295</v>
      </c>
    </row>
    <row r="14" spans="1:23">
      <c r="A14" s="3140" t="s">
        <v>296</v>
      </c>
      <c r="B14" s="3140" t="s">
        <v>297</v>
      </c>
      <c r="C14" s="3135" t="s">
        <v>124</v>
      </c>
    </row>
    <row r="15" spans="1:23">
      <c r="A15" s="3140" t="s">
        <v>298</v>
      </c>
      <c r="B15" s="3140" t="s">
        <v>299</v>
      </c>
      <c r="C15" s="3141"/>
    </row>
    <row r="16" spans="1:23">
      <c r="A16" s="3140" t="s">
        <v>300</v>
      </c>
      <c r="B16" s="3140" t="s">
        <v>301</v>
      </c>
      <c r="C16" s="3141"/>
    </row>
    <row r="17" spans="1:3">
      <c r="A17" s="3140" t="s">
        <v>302</v>
      </c>
      <c r="B17" s="3140" t="s">
        <v>303</v>
      </c>
      <c r="C17" s="3141"/>
    </row>
    <row r="18" spans="1:3">
      <c r="A18" s="3140" t="s">
        <v>304</v>
      </c>
      <c r="B18" s="3140" t="s">
        <v>305</v>
      </c>
      <c r="C18" s="3141"/>
    </row>
    <row r="19" spans="1:3">
      <c r="A19" s="3140" t="s">
        <v>306</v>
      </c>
      <c r="B19" s="3140" t="s">
        <v>307</v>
      </c>
      <c r="C19" s="3141"/>
    </row>
    <row r="20" spans="1:3">
      <c r="A20" s="3140" t="s">
        <v>308</v>
      </c>
      <c r="B20" s="3140" t="s">
        <v>307</v>
      </c>
      <c r="C20" s="3141"/>
    </row>
    <row r="21" spans="1:3">
      <c r="A21" s="3140" t="s">
        <v>260</v>
      </c>
      <c r="B21" s="3140" t="s">
        <v>307</v>
      </c>
      <c r="C21" s="3141"/>
    </row>
    <row r="22" spans="1:3">
      <c r="A22" s="3140" t="s">
        <v>309</v>
      </c>
      <c r="B22" s="3140" t="s">
        <v>307</v>
      </c>
      <c r="C22" s="3141"/>
    </row>
    <row r="23" spans="1:3">
      <c r="A23" s="3140" t="s">
        <v>310</v>
      </c>
      <c r="B23" s="3140" t="s">
        <v>307</v>
      </c>
      <c r="C23" s="3141"/>
    </row>
    <row r="24" spans="1:3">
      <c r="A24" s="3140" t="s">
        <v>311</v>
      </c>
      <c r="B24" s="3140" t="s">
        <v>307</v>
      </c>
      <c r="C24" s="3141"/>
    </row>
    <row r="25" spans="1:3">
      <c r="A25" s="3140" t="s">
        <v>312</v>
      </c>
      <c r="B25" s="3140" t="s">
        <v>307</v>
      </c>
      <c r="C25" s="3141"/>
    </row>
    <row r="26" spans="1:3">
      <c r="A26" s="3140" t="s">
        <v>313</v>
      </c>
      <c r="B26" s="3140" t="s">
        <v>307</v>
      </c>
      <c r="C26" s="3141"/>
    </row>
    <row r="27" spans="1:3">
      <c r="A27" s="3140" t="s">
        <v>307</v>
      </c>
      <c r="B27" s="3140" t="s">
        <v>307</v>
      </c>
      <c r="C27" s="3141"/>
    </row>
    <row r="28" spans="1:3">
      <c r="A28" s="3140" t="s">
        <v>307</v>
      </c>
      <c r="B28" s="3140" t="s">
        <v>307</v>
      </c>
      <c r="C28" s="3141"/>
    </row>
    <row r="29" spans="1:3">
      <c r="A29" s="3140" t="s">
        <v>307</v>
      </c>
      <c r="B29" s="3140" t="s">
        <v>307</v>
      </c>
      <c r="C29" s="3141"/>
    </row>
    <row r="30" spans="1:3">
      <c r="A30" s="3140" t="s">
        <v>307</v>
      </c>
      <c r="B30" s="3140" t="s">
        <v>307</v>
      </c>
      <c r="C30" s="3141"/>
    </row>
    <row r="31" spans="1:3">
      <c r="A31" s="3140" t="s">
        <v>307</v>
      </c>
      <c r="B31" s="3140" t="s">
        <v>307</v>
      </c>
      <c r="C31" s="3141"/>
    </row>
    <row r="32" spans="1:3">
      <c r="A32" s="3140" t="s">
        <v>307</v>
      </c>
      <c r="B32" s="3140" t="s">
        <v>307</v>
      </c>
      <c r="C32" s="3141"/>
    </row>
    <row r="33" spans="1:3">
      <c r="A33" s="3140" t="s">
        <v>307</v>
      </c>
      <c r="B33" s="3140" t="s">
        <v>307</v>
      </c>
      <c r="C33" s="3141"/>
    </row>
    <row r="34" spans="1:3">
      <c r="A34" s="3140" t="s">
        <v>307</v>
      </c>
      <c r="B34" s="3140" t="s">
        <v>307</v>
      </c>
      <c r="C34" s="3141"/>
    </row>
    <row r="35" spans="1:3">
      <c r="A35" s="3140" t="s">
        <v>307</v>
      </c>
      <c r="B35" s="3140" t="s">
        <v>307</v>
      </c>
      <c r="C35" s="3141"/>
    </row>
    <row r="36" spans="1:3">
      <c r="A36" s="3140" t="s">
        <v>307</v>
      </c>
      <c r="B36" s="3140" t="s">
        <v>307</v>
      </c>
      <c r="C36" s="3141"/>
    </row>
    <row r="37" spans="1:3">
      <c r="A37" s="3140" t="s">
        <v>307</v>
      </c>
      <c r="B37" s="3140" t="s">
        <v>307</v>
      </c>
      <c r="C37" s="3141"/>
    </row>
    <row r="38" spans="1:3">
      <c r="A38" s="3140" t="s">
        <v>307</v>
      </c>
      <c r="B38" s="3140" t="s">
        <v>307</v>
      </c>
      <c r="C38" s="3141"/>
    </row>
    <row r="39" spans="1:3">
      <c r="A39" s="3140" t="s">
        <v>307</v>
      </c>
      <c r="B39" s="3140" t="s">
        <v>307</v>
      </c>
      <c r="C39" s="3141"/>
    </row>
    <row r="40" spans="1:3">
      <c r="A40" s="3140" t="s">
        <v>307</v>
      </c>
      <c r="B40" s="3140" t="s">
        <v>307</v>
      </c>
      <c r="C40" s="3141"/>
    </row>
    <row r="41" spans="1:3">
      <c r="A41" s="3140" t="s">
        <v>307</v>
      </c>
      <c r="B41" s="3140" t="s">
        <v>307</v>
      </c>
      <c r="C41" s="3141"/>
    </row>
    <row r="42" spans="1:3">
      <c r="A42" s="3140" t="s">
        <v>307</v>
      </c>
      <c r="B42" s="3140" t="s">
        <v>307</v>
      </c>
      <c r="C42" s="3141"/>
    </row>
    <row r="43" spans="1:3">
      <c r="A43" s="3140" t="s">
        <v>307</v>
      </c>
      <c r="B43" s="3140" t="s">
        <v>307</v>
      </c>
      <c r="C43" s="3141"/>
    </row>
    <row r="44" spans="1:3">
      <c r="A44" s="3140" t="s">
        <v>307</v>
      </c>
      <c r="B44" s="3140" t="s">
        <v>307</v>
      </c>
      <c r="C44" s="3141"/>
    </row>
    <row r="45" spans="1:3">
      <c r="A45" s="3140" t="s">
        <v>307</v>
      </c>
      <c r="B45" s="3140" t="s">
        <v>307</v>
      </c>
      <c r="C45" s="3141"/>
    </row>
    <row r="46" spans="1:3">
      <c r="A46" s="3140" t="s">
        <v>307</v>
      </c>
      <c r="B46" s="3140" t="s">
        <v>307</v>
      </c>
      <c r="C46" s="3141"/>
    </row>
    <row r="47" spans="1:3">
      <c r="A47" s="3140" t="s">
        <v>307</v>
      </c>
      <c r="B47" s="3140" t="s">
        <v>307</v>
      </c>
      <c r="C47" s="3141"/>
    </row>
    <row r="48" spans="1:3">
      <c r="A48" s="3140" t="s">
        <v>307</v>
      </c>
      <c r="B48" s="3140" t="s">
        <v>307</v>
      </c>
      <c r="C48" s="3141"/>
    </row>
    <row r="49" spans="1:4">
      <c r="A49" s="3140" t="s">
        <v>307</v>
      </c>
      <c r="B49" s="3140" t="s">
        <v>307</v>
      </c>
      <c r="C49" s="3141"/>
    </row>
    <row r="50" spans="1:4">
      <c r="A50" s="3140" t="s">
        <v>307</v>
      </c>
      <c r="B50" s="3140" t="s">
        <v>307</v>
      </c>
      <c r="C50" s="3141"/>
    </row>
    <row r="51" spans="1:4">
      <c r="A51" s="3145" t="s">
        <v>314</v>
      </c>
      <c r="B51" s="31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6" t="s">
        <v>315</v>
      </c>
    </row>
    <row r="52" spans="1:4">
      <c r="A52" s="3145" t="s">
        <v>316</v>
      </c>
      <c r="B52" s="3145" t="s">
        <v>317</v>
      </c>
      <c r="C52" s="3134" t="s">
        <v>318</v>
      </c>
      <c r="D52" s="3134" t="s">
        <v>319</v>
      </c>
    </row>
    <row r="53" spans="1:4">
      <c r="A53" s="3321" t="s">
        <v>320</v>
      </c>
      <c r="B53" s="3146" t="s">
        <v>321</v>
      </c>
      <c r="C53" s="31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1"/>
      <c r="B54" s="3146" t="s">
        <v>322</v>
      </c>
      <c r="C54" s="3134" t="s">
        <v>323</v>
      </c>
    </row>
    <row r="55" spans="1:4">
      <c r="A55" s="3321"/>
      <c r="B55" s="3146" t="s">
        <v>324</v>
      </c>
      <c r="C55" s="3134" t="s">
        <v>325</v>
      </c>
    </row>
    <row r="56" spans="1:4">
      <c r="A56" s="3321"/>
      <c r="B56" s="3146" t="s">
        <v>326</v>
      </c>
      <c r="C56" s="3134" t="s">
        <v>327</v>
      </c>
    </row>
    <row r="57" spans="1:4">
      <c r="A57" s="3321"/>
      <c r="B57" s="3146" t="s">
        <v>328</v>
      </c>
      <c r="C57" s="3134" t="s">
        <v>329</v>
      </c>
    </row>
    <row r="58" spans="1:4">
      <c r="A58" s="3147"/>
      <c r="B58" s="3134"/>
    </row>
    <row r="59" spans="1:4">
      <c r="A59" s="3147"/>
      <c r="B59" s="3134"/>
    </row>
    <row r="60" spans="1:4">
      <c r="A60" s="3147"/>
      <c r="B60" s="3134"/>
    </row>
    <row r="61" spans="1:4">
      <c r="A61" s="3147"/>
      <c r="B61" s="3134"/>
    </row>
    <row r="62" spans="1:4">
      <c r="A62" s="3147"/>
      <c r="B62" s="3134"/>
    </row>
    <row r="63" spans="1:4">
      <c r="A63" s="3147"/>
      <c r="B63" s="3134"/>
    </row>
    <row r="64" spans="1:4">
      <c r="A64" s="3147"/>
      <c r="B64" s="3134"/>
    </row>
    <row r="65" spans="1:2">
      <c r="A65" s="3147"/>
      <c r="B65" s="3134"/>
    </row>
    <row r="66" spans="1:2">
      <c r="A66" s="3147"/>
      <c r="B66" s="3134"/>
    </row>
    <row r="67" spans="1:2">
      <c r="A67" s="3147"/>
      <c r="B67" s="3134"/>
    </row>
    <row r="68" spans="1:2">
      <c r="A68" s="3147"/>
      <c r="B68" s="3134"/>
    </row>
    <row r="69" spans="1:2">
      <c r="A69" s="3147"/>
      <c r="B69" s="3134"/>
    </row>
    <row r="70" spans="1:2">
      <c r="A70" s="3147"/>
      <c r="B70" s="3134"/>
    </row>
    <row r="71" spans="1:2">
      <c r="A71" s="3147"/>
      <c r="B71" s="3134"/>
    </row>
    <row r="72" spans="1:2">
      <c r="A72" s="3147"/>
      <c r="B72" s="3134"/>
    </row>
    <row r="73" spans="1:2">
      <c r="A73" s="3147"/>
      <c r="B73" s="3134"/>
    </row>
    <row r="74" spans="1:2">
      <c r="A74" s="3147"/>
      <c r="B74" s="3134"/>
    </row>
    <row r="75" spans="1:2">
      <c r="A75" s="3147"/>
      <c r="B75" s="3134"/>
    </row>
    <row r="76" spans="1:2">
      <c r="A76" s="3147"/>
      <c r="B76" s="3134"/>
    </row>
    <row r="77" spans="1:2">
      <c r="A77" s="3147"/>
      <c r="B77" s="3134"/>
    </row>
    <row r="78" spans="1:2">
      <c r="A78" s="3147"/>
      <c r="B78" s="3134"/>
    </row>
    <row r="79" spans="1:2">
      <c r="A79" s="3147"/>
      <c r="B79" s="3134"/>
    </row>
    <row r="80" spans="1:2">
      <c r="A80" s="3147"/>
      <c r="B80" s="3134"/>
    </row>
    <row r="81" spans="1:2">
      <c r="A81" s="3147"/>
      <c r="B81" s="3134"/>
    </row>
    <row r="82" spans="1:2">
      <c r="A82" s="3147"/>
      <c r="B82" s="3134"/>
    </row>
    <row r="83" spans="1:2">
      <c r="A83" s="3147"/>
      <c r="B83" s="3134"/>
    </row>
    <row r="84" spans="1:2">
      <c r="A84" s="3147"/>
      <c r="B84" s="3134"/>
    </row>
    <row r="85" spans="1:2">
      <c r="A85" s="3147"/>
      <c r="B85" s="3134"/>
    </row>
    <row r="86" spans="1:2">
      <c r="A86" s="3147"/>
      <c r="B86" s="3134"/>
    </row>
    <row r="87" spans="1:2">
      <c r="A87" s="3147"/>
      <c r="B87" s="3134"/>
    </row>
    <row r="88" spans="1:2">
      <c r="A88" s="3147"/>
      <c r="B88" s="3134"/>
    </row>
    <row r="89" spans="1:2">
      <c r="A89" s="3147"/>
      <c r="B89" s="3134"/>
    </row>
    <row r="90" spans="1:2">
      <c r="A90" s="3147"/>
      <c r="B90" s="3134"/>
    </row>
    <row r="91" spans="1:2">
      <c r="A91" s="3147"/>
      <c r="B91" s="3134"/>
    </row>
    <row r="92" spans="1:2">
      <c r="A92" s="3147"/>
      <c r="B92" s="3134"/>
    </row>
    <row r="93" spans="1:2">
      <c r="A93" s="3147"/>
      <c r="B93" s="3134"/>
    </row>
    <row r="94" spans="1:2">
      <c r="A94" s="3147"/>
      <c r="B94" s="3134"/>
    </row>
    <row r="95" spans="1:2">
      <c r="A95" s="3147"/>
      <c r="B95" s="3134"/>
    </row>
    <row r="96" spans="1:2">
      <c r="A96" s="3147"/>
      <c r="B96" s="3134"/>
    </row>
    <row r="97" spans="1:2">
      <c r="A97" s="3147"/>
      <c r="B97" s="3134"/>
    </row>
    <row r="98" spans="1:2">
      <c r="A98" s="3147"/>
      <c r="B98" s="3134"/>
    </row>
    <row r="99" spans="1:2">
      <c r="A99" s="3147"/>
      <c r="B99" s="3134"/>
    </row>
    <row r="100" spans="1:2">
      <c r="A100" s="3147"/>
      <c r="B100" s="3134"/>
    </row>
    <row r="101" spans="1:2">
      <c r="A101" s="3147"/>
      <c r="B101" s="3134"/>
    </row>
    <row r="102" spans="1:2">
      <c r="A102" s="3147"/>
      <c r="B102" s="3134"/>
    </row>
    <row r="103" spans="1:2">
      <c r="A103" s="3147"/>
      <c r="B103" s="3134"/>
    </row>
    <row r="104" spans="1:2">
      <c r="A104" s="3147"/>
      <c r="B104" s="3134"/>
    </row>
    <row r="105" spans="1:2">
      <c r="A105" s="3147"/>
      <c r="B105" s="3134"/>
    </row>
    <row r="106" spans="1:2">
      <c r="A106" s="3147"/>
      <c r="B106" s="3134"/>
    </row>
    <row r="107" spans="1:2">
      <c r="A107" s="3147"/>
      <c r="B107" s="3134"/>
    </row>
    <row r="108" spans="1:2">
      <c r="A108" s="3147"/>
      <c r="B108" s="3134"/>
    </row>
    <row r="109" spans="1:2">
      <c r="A109" s="3147"/>
      <c r="B109" s="3134"/>
    </row>
    <row r="110" spans="1:2">
      <c r="A110" s="3147"/>
      <c r="B110" s="3134"/>
    </row>
    <row r="111" spans="1:2">
      <c r="A111" s="3147"/>
      <c r="B111" s="3134"/>
    </row>
    <row r="112" spans="1:2">
      <c r="A112" s="3147"/>
      <c r="B112" s="3134"/>
    </row>
    <row r="113" spans="1:2">
      <c r="A113" s="3147"/>
      <c r="B113" s="3134"/>
    </row>
    <row r="114" spans="1:2">
      <c r="A114" s="3147"/>
      <c r="B114" s="3134"/>
    </row>
    <row r="115" spans="1:2">
      <c r="A115" s="3147"/>
      <c r="B115" s="3134"/>
    </row>
    <row r="116" spans="1:2">
      <c r="A116" s="3147"/>
      <c r="B116" s="3134"/>
    </row>
    <row r="117" spans="1:2">
      <c r="A117" s="3147"/>
      <c r="B117" s="3134"/>
    </row>
    <row r="118" spans="1:2">
      <c r="A118" s="3147"/>
      <c r="B118" s="3134"/>
    </row>
    <row r="119" spans="1:2">
      <c r="A119" s="3147"/>
      <c r="B119" s="3134"/>
    </row>
    <row r="120" spans="1:2">
      <c r="A120" s="3147"/>
      <c r="B120" s="3134"/>
    </row>
    <row r="121" spans="1:2">
      <c r="A121" s="3147"/>
      <c r="B121" s="3134"/>
    </row>
    <row r="122" spans="1:2">
      <c r="A122" s="3147"/>
      <c r="B122" s="3134"/>
    </row>
    <row r="123" spans="1:2">
      <c r="A123" s="3147"/>
      <c r="B123" s="3134"/>
    </row>
    <row r="124" spans="1:2">
      <c r="A124" s="3147"/>
      <c r="B124" s="3134"/>
    </row>
    <row r="125" spans="1:2">
      <c r="A125" s="3147"/>
      <c r="B125" s="3134"/>
    </row>
    <row r="126" spans="1:2">
      <c r="A126" s="3147"/>
      <c r="B126" s="3134"/>
    </row>
    <row r="127" spans="1:2">
      <c r="A127" s="3147"/>
      <c r="B127" s="3134"/>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2" sqref="K32"/>
    </sheetView>
  </sheetViews>
  <sheetFormatPr defaultColWidth="10" defaultRowHeight="12.75"/>
  <cols>
    <col min="1" max="1" width="16.875" style="2618" customWidth="1"/>
    <col min="2" max="2" width="10" style="2618" customWidth="1"/>
    <col min="3" max="3" width="11.5" style="2618" customWidth="1"/>
    <col min="4" max="4" width="10" style="2618" customWidth="1"/>
    <col min="5" max="5" width="12.625" style="2618" customWidth="1"/>
    <col min="6" max="6" width="10" style="2618" customWidth="1"/>
    <col min="7" max="7" width="10.75" style="2618" customWidth="1"/>
    <col min="8" max="8" width="10" style="2618" customWidth="1"/>
    <col min="9" max="9" width="11.125" style="2905" customWidth="1"/>
    <col min="10" max="10" width="10" style="2814" customWidth="1"/>
    <col min="11" max="11" width="10" style="3002" customWidth="1"/>
    <col min="12" max="13" width="10" style="3003" customWidth="1"/>
    <col min="14" max="14" width="10" style="2814" customWidth="1"/>
    <col min="15" max="15" width="10" style="234" customWidth="1"/>
    <col min="16" max="17" width="10" style="2814"/>
    <col min="18" max="18" width="10" style="2814" customWidth="1"/>
    <col min="19" max="30" width="10" style="2814"/>
    <col min="31" max="16384" width="10" style="2618"/>
  </cols>
  <sheetData>
    <row r="1" spans="1:28">
      <c r="A1" s="3004" t="s">
        <v>330</v>
      </c>
      <c r="B1" s="3335" t="str">
        <f>IF(B10="北京市","北京市",C10)&amp;F10&amp;IF(结果表!G1="在建","出让国有建设用地使用权及在建建筑物",IF(结果表!G1="土地","出让国有建设用地使用权",))&amp;B9&amp;"预评估"</f>
        <v>北京市房地产抵押价值预评估</v>
      </c>
      <c r="C1" s="3336"/>
      <c r="D1" s="3336"/>
      <c r="E1" s="3336"/>
      <c r="F1" s="3336"/>
      <c r="G1" s="3336"/>
      <c r="H1" s="3336"/>
      <c r="I1" s="3337"/>
      <c r="J1" s="2568"/>
      <c r="K1" s="3103"/>
      <c r="L1" s="3104"/>
      <c r="M1" s="3104"/>
      <c r="N1" s="3046"/>
      <c r="O1" s="2913"/>
      <c r="P1" s="3046"/>
      <c r="Q1" s="3046"/>
      <c r="R1" s="3046"/>
      <c r="S1" s="2619" t="str">
        <f>IF(B10="北京市","北京市",C10)&amp;F10&amp;IF(结果表!G1="在建","出让国有建设用地使用权及在建建筑物房地产抵押价值",IF(结果表!G1="土地","出让国有建设用地使用权抵押价值",B9))</f>
        <v>北京市房地产抵押价值</v>
      </c>
      <c r="T1" s="2618"/>
      <c r="U1" s="2618"/>
      <c r="V1" s="2618"/>
      <c r="W1" s="2618"/>
      <c r="X1" s="2618"/>
      <c r="Y1" s="2618"/>
      <c r="Z1" s="2618"/>
      <c r="AA1" s="2618"/>
      <c r="AB1" s="2618"/>
    </row>
    <row r="2" spans="1:28">
      <c r="A2" s="3005" t="s">
        <v>331</v>
      </c>
      <c r="B2" s="3006"/>
      <c r="C2" s="3007"/>
      <c r="D2" s="3008"/>
      <c r="E2" s="3009"/>
      <c r="F2" s="3009"/>
      <c r="G2" s="3010"/>
      <c r="H2" s="3010"/>
      <c r="I2" s="3010"/>
      <c r="J2" s="2568"/>
      <c r="K2" s="3103"/>
      <c r="L2" s="3104"/>
      <c r="M2" s="3104"/>
      <c r="N2" s="3046"/>
      <c r="O2" s="2913"/>
      <c r="P2" s="3046"/>
      <c r="Q2" s="3046"/>
      <c r="R2" s="3046"/>
      <c r="S2" s="2619" t="str">
        <f>IF(B10="北京市","北京市",C10)&amp;F10&amp;IF(结果表!G1="在建","出让国有建设用地使用权及在建建筑物房地产",IF(结果表!G1="土地","出让国有建设用地使用权","房地产"))</f>
        <v>北京市房地产</v>
      </c>
      <c r="T2" s="2618"/>
      <c r="U2" s="2618"/>
      <c r="V2" s="2618"/>
      <c r="W2" s="2618"/>
      <c r="X2" s="2618"/>
      <c r="Y2" s="2618"/>
      <c r="Z2" s="2618"/>
      <c r="AA2" s="2618"/>
      <c r="AB2" s="2618"/>
    </row>
    <row r="3" spans="1:28">
      <c r="A3" s="1817" t="s">
        <v>332</v>
      </c>
      <c r="B3" s="3011"/>
      <c r="C3" s="3012" t="s">
        <v>333</v>
      </c>
      <c r="D3" s="3011">
        <v>44755</v>
      </c>
      <c r="E3" s="3010"/>
      <c r="F3" s="3010"/>
      <c r="G3" s="3010"/>
      <c r="H3" s="3010"/>
      <c r="I3" s="3010"/>
      <c r="J3" s="2568"/>
      <c r="K3" s="3103"/>
      <c r="L3" s="3104"/>
      <c r="M3" s="3104"/>
      <c r="N3" s="3046"/>
      <c r="O3" s="2913"/>
      <c r="P3" s="3046"/>
      <c r="Q3" s="3046"/>
      <c r="R3" s="3046"/>
      <c r="S3" s="2619"/>
      <c r="T3" s="2618"/>
      <c r="U3" s="2618"/>
      <c r="V3" s="2618"/>
      <c r="W3" s="2618"/>
      <c r="X3" s="2618"/>
      <c r="Y3" s="2618"/>
      <c r="Z3" s="2618"/>
      <c r="AA3" s="2618"/>
      <c r="AB3" s="2618"/>
    </row>
    <row r="4" spans="1:28">
      <c r="A4" s="1839" t="s">
        <v>334</v>
      </c>
      <c r="B4" s="3013"/>
      <c r="C4" s="3014">
        <f>SUMIF(注册房地产估价师,B4,估价师及机构信息!B3:B24)</f>
        <v>0</v>
      </c>
      <c r="D4" s="3013"/>
      <c r="E4" s="3015">
        <f>SUMIF(注册房地产估价师,D4,估价师及机构信息!B3:B24)</f>
        <v>0</v>
      </c>
      <c r="F4" s="3013"/>
      <c r="G4" s="3015">
        <f>SUMIF(注册房地产估价师,F4,估价师及机构信息!B3:B24)</f>
        <v>0</v>
      </c>
      <c r="H4" s="3013"/>
      <c r="I4" s="3015">
        <f>SUMIF(注册房地产估价师,H4,估价师及机构信息!B3:B24)</f>
        <v>0</v>
      </c>
      <c r="J4" s="2602"/>
      <c r="K4" s="3105" t="str">
        <f>CONCATENATE(B4,"（注册号：",C4,")、",D4,"（注册号：",E4,")")</f>
        <v>（注册号：0)、（注册号：0)</v>
      </c>
      <c r="L4" s="3104"/>
      <c r="M4" s="3104"/>
      <c r="N4" s="3046"/>
      <c r="O4" s="2913"/>
      <c r="P4" s="3046"/>
      <c r="Q4" s="3046"/>
      <c r="R4" s="3046"/>
      <c r="S4" s="2619"/>
      <c r="T4" s="2618"/>
      <c r="U4" s="2618"/>
      <c r="V4" s="2618"/>
      <c r="W4" s="2618"/>
      <c r="X4" s="2618"/>
      <c r="Y4" s="2618"/>
      <c r="Z4" s="2618"/>
      <c r="AA4" s="2618"/>
      <c r="AB4" s="2618"/>
    </row>
    <row r="5" spans="1:28">
      <c r="A5" s="3016" t="s">
        <v>335</v>
      </c>
      <c r="B5" s="3017"/>
      <c r="C5" s="3018"/>
      <c r="D5" s="3019"/>
      <c r="E5" s="2724"/>
      <c r="F5" s="2724"/>
      <c r="G5" s="2724"/>
      <c r="H5" s="2724"/>
      <c r="I5" s="2724"/>
      <c r="J5" s="2602"/>
      <c r="K5" s="3105" t="str">
        <f>IF(F4="——","",IF(H4="——",F4&amp;"（注册号："&amp;G4&amp;")",CONCATENATE(F4,"（注册号：",G4,")、",H4,"（注册号：",I4,")")))</f>
        <v>（注册号：0)、（注册号：0)</v>
      </c>
      <c r="L5" s="3104"/>
      <c r="M5" s="3104"/>
      <c r="N5" s="3046"/>
      <c r="O5" s="2913"/>
      <c r="P5" s="3046"/>
      <c r="Q5" s="3046"/>
      <c r="R5" s="3046"/>
      <c r="S5" s="2618"/>
      <c r="T5" s="2618"/>
      <c r="U5" s="2618"/>
      <c r="V5" s="2618"/>
      <c r="W5" s="2618"/>
      <c r="X5" s="2618"/>
      <c r="Y5" s="2618"/>
      <c r="Z5" s="2618"/>
      <c r="AA5" s="2618"/>
      <c r="AB5" s="2618"/>
    </row>
    <row r="6" spans="1:28">
      <c r="A6" s="3020" t="s">
        <v>336</v>
      </c>
      <c r="B6" s="3021"/>
      <c r="C6" s="3022"/>
      <c r="D6" s="3023"/>
      <c r="E6" s="3009"/>
      <c r="F6" s="2724"/>
      <c r="G6" s="2724"/>
      <c r="H6" s="2724"/>
      <c r="I6" s="2724"/>
      <c r="J6" s="2602"/>
      <c r="K6" s="3106" t="str">
        <f>IF(COUNTIF(B6,"*上海银行*"),"上海银行","")</f>
        <v/>
      </c>
      <c r="L6" s="3107"/>
      <c r="M6" s="3107"/>
      <c r="N6" s="2602"/>
      <c r="O6" s="3108"/>
      <c r="P6" s="2602"/>
      <c r="Q6" s="2602"/>
      <c r="R6" s="2602"/>
    </row>
    <row r="7" spans="1:28">
      <c r="A7" s="3020" t="s">
        <v>337</v>
      </c>
      <c r="B7" s="3024"/>
      <c r="C7" s="3022"/>
      <c r="D7" s="3023"/>
      <c r="E7" s="3009"/>
      <c r="F7" s="2724"/>
      <c r="G7" s="2724"/>
      <c r="H7" s="2724"/>
      <c r="I7" s="2724"/>
      <c r="J7" s="2602"/>
      <c r="K7" s="3109"/>
      <c r="L7" s="3107"/>
      <c r="M7" s="3107"/>
      <c r="N7" s="2602"/>
      <c r="O7" s="3108"/>
      <c r="P7" s="2602"/>
      <c r="Q7" s="2602"/>
      <c r="R7" s="2602"/>
    </row>
    <row r="8" spans="1:28">
      <c r="A8" s="3025" t="s">
        <v>338</v>
      </c>
      <c r="B8" s="3026" t="s">
        <v>317</v>
      </c>
      <c r="C8" s="3027"/>
      <c r="D8" s="3350" t="s">
        <v>339</v>
      </c>
      <c r="E8" s="3028" t="s">
        <v>322</v>
      </c>
      <c r="F8" s="3029"/>
      <c r="G8" s="3010"/>
      <c r="H8" s="3010"/>
      <c r="I8" s="3010"/>
      <c r="J8" s="2602"/>
      <c r="K8" s="3110"/>
      <c r="L8" s="3107"/>
      <c r="M8" s="3107"/>
      <c r="N8" s="2602"/>
      <c r="O8" s="3108"/>
      <c r="P8" s="2602"/>
      <c r="Q8" s="2602"/>
      <c r="R8" s="2602"/>
    </row>
    <row r="9" spans="1:28">
      <c r="A9" s="3030" t="s">
        <v>340</v>
      </c>
      <c r="B9" s="3031" t="s">
        <v>322</v>
      </c>
      <c r="C9" s="3032"/>
      <c r="D9" s="3351"/>
      <c r="E9" s="3031" t="s">
        <v>328</v>
      </c>
      <c r="F9" s="3033"/>
      <c r="G9" s="3034"/>
      <c r="H9" s="3034"/>
      <c r="I9" s="3034"/>
      <c r="J9" s="2602"/>
      <c r="K9" s="3109"/>
      <c r="L9" s="3107"/>
      <c r="M9" s="3107"/>
      <c r="N9" s="2602"/>
      <c r="O9" s="3108"/>
      <c r="P9" s="2602"/>
      <c r="Q9" s="2602"/>
      <c r="R9" s="2602"/>
    </row>
    <row r="10" spans="1:28">
      <c r="A10" s="3035" t="s">
        <v>341</v>
      </c>
      <c r="B10" s="3036" t="s">
        <v>342</v>
      </c>
      <c r="C10" s="3037"/>
      <c r="D10" s="3019"/>
      <c r="E10" s="3038" t="s">
        <v>343</v>
      </c>
      <c r="F10" s="3039"/>
      <c r="G10" s="3040"/>
      <c r="H10" s="3041"/>
      <c r="I10" s="3111"/>
      <c r="J10" s="2602"/>
      <c r="K10" s="3109"/>
      <c r="L10" s="3107"/>
      <c r="M10" s="3107"/>
      <c r="N10" s="2602"/>
      <c r="O10" s="3108"/>
      <c r="P10" s="2602"/>
      <c r="Q10" s="2602"/>
      <c r="R10" s="2602"/>
    </row>
    <row r="11" spans="1:28">
      <c r="A11" s="3042" t="s">
        <v>344</v>
      </c>
      <c r="B11" s="3043" t="s">
        <v>345</v>
      </c>
      <c r="C11" s="3044"/>
      <c r="D11" s="3045"/>
      <c r="E11" s="3046"/>
      <c r="F11" s="3046"/>
      <c r="G11" s="3046"/>
      <c r="H11" s="3046"/>
      <c r="I11" s="3046"/>
      <c r="J11" s="2602"/>
      <c r="K11" s="3109"/>
      <c r="L11" s="3107"/>
      <c r="M11" s="3107"/>
      <c r="N11" s="2602"/>
      <c r="O11" s="3108"/>
      <c r="P11" s="2602"/>
      <c r="Q11" s="2602"/>
      <c r="R11" s="2602"/>
    </row>
    <row r="12" spans="1:28">
      <c r="A12" s="3047" t="s">
        <v>346</v>
      </c>
      <c r="B12" s="3043" t="s">
        <v>347</v>
      </c>
      <c r="C12" s="1858" t="s">
        <v>348</v>
      </c>
      <c r="D12" s="3048" t="s">
        <v>349</v>
      </c>
      <c r="E12" s="3048" t="s">
        <v>350</v>
      </c>
      <c r="F12" s="3048" t="s">
        <v>351</v>
      </c>
      <c r="G12" s="3048" t="s">
        <v>352</v>
      </c>
      <c r="H12" s="3048" t="s">
        <v>353</v>
      </c>
      <c r="I12" s="3048" t="s">
        <v>354</v>
      </c>
      <c r="J12" s="2602"/>
      <c r="K12" s="3109"/>
      <c r="L12" s="3107"/>
      <c r="M12" s="3107"/>
      <c r="N12" s="2602"/>
      <c r="O12" s="3108"/>
      <c r="P12" s="2602"/>
      <c r="Q12" s="2602"/>
      <c r="R12" s="2602"/>
    </row>
    <row r="13" spans="1:28">
      <c r="A13" s="1844"/>
      <c r="B13" s="3049"/>
      <c r="C13" s="3050" t="s">
        <v>355</v>
      </c>
      <c r="D13" s="3051"/>
      <c r="E13" s="3051">
        <v>50901</v>
      </c>
      <c r="F13" s="3051"/>
      <c r="G13" s="3051">
        <v>50901</v>
      </c>
      <c r="H13" s="3051"/>
      <c r="I13" s="3051"/>
      <c r="J13" s="2602"/>
      <c r="K13" s="3109"/>
      <c r="L13" s="3107"/>
      <c r="M13" s="3107"/>
      <c r="N13" s="2602"/>
      <c r="O13" s="3108"/>
      <c r="P13" s="2602"/>
      <c r="Q13" s="2602"/>
      <c r="R13" s="2602"/>
    </row>
    <row r="14" spans="1:28">
      <c r="A14" s="1844"/>
      <c r="B14" s="3049"/>
      <c r="C14" s="3050" t="s">
        <v>356</v>
      </c>
      <c r="D14" s="3052"/>
      <c r="E14" s="3052">
        <v>40</v>
      </c>
      <c r="F14" s="3052"/>
      <c r="G14" s="3274">
        <v>40</v>
      </c>
      <c r="H14" s="3052"/>
      <c r="I14" s="3052"/>
      <c r="J14" s="2602"/>
      <c r="K14" s="3112"/>
      <c r="L14" s="3107"/>
      <c r="M14" s="3107"/>
      <c r="N14" s="2602"/>
      <c r="O14" s="3108"/>
      <c r="P14" s="2602"/>
      <c r="Q14" s="2602"/>
      <c r="R14" s="2602"/>
    </row>
    <row r="15" spans="1:28">
      <c r="A15" s="1851"/>
      <c r="B15" s="3053"/>
      <c r="C15" s="3054" t="s">
        <v>357</v>
      </c>
      <c r="D15" s="3055" t="str">
        <f>IF(B12="出让",IF(D13="","",ROUNDDOWN(MIN((D13-$D$3)/365,D14),2)),D14)</f>
        <v/>
      </c>
      <c r="E15" s="3055">
        <f>IF(B12="出让",IF(E13="","",ROUNDDOWN(MIN((E13-$D$3)/365,E14),2)),E14)</f>
        <v>16.829999999999998</v>
      </c>
      <c r="F15" s="3055" t="str">
        <f>IF(B12="出让",IF(F13="","",ROUNDDOWN(MIN((F13-$D$3)/365,F14),2)),F14)</f>
        <v/>
      </c>
      <c r="G15" s="3055">
        <f>IF(B12="出让",IF(G13="","",ROUNDDOWN(MIN((G13-$D$3)/365,G14),2)),G14)</f>
        <v>16.829999999999998</v>
      </c>
      <c r="H15" s="3055" t="str">
        <f>IF(B12="出让",IF(H13="","",ROUNDDOWN(MIN((H13-$D$3)/365,H14),2)),H14)</f>
        <v/>
      </c>
      <c r="I15" s="3055" t="str">
        <f>IF(B12="出让",IF(I13="","",ROUNDDOWN(MIN((I13-$D$3)/365,I14),2)),I14)</f>
        <v/>
      </c>
      <c r="J15" s="2602"/>
      <c r="K15" s="3113"/>
      <c r="L15" s="3114"/>
      <c r="M15" s="3114"/>
      <c r="N15" s="2603"/>
      <c r="O15" s="3114"/>
      <c r="P15" s="2603"/>
      <c r="Q15" s="2602"/>
      <c r="R15" s="2602"/>
    </row>
    <row r="16" spans="1:28">
      <c r="A16" s="3038" t="s">
        <v>358</v>
      </c>
      <c r="B16" s="3338"/>
      <c r="C16" s="3339"/>
      <c r="D16" s="3340"/>
      <c r="E16" s="3056" t="s">
        <v>359</v>
      </c>
      <c r="F16" s="3341"/>
      <c r="G16" s="3342"/>
      <c r="H16" s="3342"/>
      <c r="I16" s="3343"/>
      <c r="J16" s="2602"/>
      <c r="K16" s="3113"/>
      <c r="L16" s="3114"/>
      <c r="M16" s="3114"/>
      <c r="N16" s="2603"/>
      <c r="O16" s="3114"/>
      <c r="P16" s="2603"/>
      <c r="Q16" s="2602"/>
      <c r="R16" s="2602"/>
    </row>
    <row r="17" spans="1:28">
      <c r="A17" s="1828" t="s">
        <v>360</v>
      </c>
      <c r="B17" s="1817" t="s">
        <v>361</v>
      </c>
      <c r="C17" s="296">
        <f>'数据-汇总表'!E3</f>
        <v>16578.28</v>
      </c>
      <c r="D17" s="1871" t="s">
        <v>362</v>
      </c>
      <c r="E17" s="3344" t="s">
        <v>363</v>
      </c>
      <c r="F17" s="3345"/>
      <c r="G17" s="3345"/>
      <c r="H17" s="3345"/>
      <c r="I17" s="3346"/>
      <c r="J17" s="2602"/>
      <c r="K17" s="3115"/>
      <c r="L17" s="3114"/>
      <c r="M17" s="3114"/>
      <c r="N17" s="2603"/>
      <c r="O17" s="3114"/>
      <c r="P17" s="2603"/>
      <c r="Q17" s="2602"/>
      <c r="R17" s="2602"/>
      <c r="S17" s="2602"/>
      <c r="T17" s="2602"/>
      <c r="U17" s="2602"/>
      <c r="V17" s="2602"/>
    </row>
    <row r="18" spans="1:28" ht="24">
      <c r="A18" s="3057" t="s">
        <v>364</v>
      </c>
      <c r="B18" s="1839" t="s">
        <v>365</v>
      </c>
      <c r="C18" s="3058">
        <f>'数据-汇总表'!D3</f>
        <v>5788.26</v>
      </c>
      <c r="D18" s="1864" t="s">
        <v>362</v>
      </c>
      <c r="E18" s="3347" t="s">
        <v>3438</v>
      </c>
      <c r="F18" s="3348"/>
      <c r="G18" s="3348"/>
      <c r="H18" s="3348"/>
      <c r="I18" s="3349"/>
      <c r="J18" s="2602"/>
      <c r="K18" s="3115"/>
      <c r="L18" s="3114"/>
      <c r="M18" s="3114"/>
      <c r="N18" s="2603"/>
      <c r="O18" s="3114"/>
      <c r="P18" s="2603"/>
      <c r="Q18" s="2602"/>
      <c r="R18" s="2602"/>
      <c r="S18" s="2602"/>
      <c r="T18" s="2602"/>
      <c r="U18" s="2602"/>
      <c r="V18" s="2602"/>
    </row>
    <row r="19" spans="1:28" ht="36">
      <c r="A19" s="1881" t="s">
        <v>366</v>
      </c>
      <c r="B19" s="1821" t="s">
        <v>367</v>
      </c>
      <c r="C19" s="3059"/>
      <c r="D19" s="3060" t="s">
        <v>368</v>
      </c>
      <c r="E19" s="3061"/>
      <c r="F19" s="3062" t="str">
        <f>IF(AND(C19="是",E19="否"),"是否提供他项权证或相关说明","")</f>
        <v/>
      </c>
      <c r="G19" s="3063"/>
      <c r="H19" s="2724"/>
      <c r="I19" s="2724"/>
      <c r="J19" s="2602"/>
      <c r="K19" s="3109"/>
      <c r="L19" s="3107"/>
      <c r="M19" s="3107"/>
      <c r="N19" s="2603"/>
      <c r="O19" s="3114"/>
      <c r="P19" s="2603"/>
      <c r="Q19" s="2602"/>
      <c r="R19" s="2602"/>
      <c r="S19" s="2602"/>
      <c r="T19" s="2602"/>
      <c r="U19" s="2602"/>
      <c r="V19" s="2602"/>
    </row>
    <row r="20" spans="1:28">
      <c r="A20" s="3064" t="s">
        <v>369</v>
      </c>
      <c r="B20" s="3324" t="s">
        <v>370</v>
      </c>
      <c r="C20" s="3325"/>
      <c r="D20" s="3326" t="s">
        <v>371</v>
      </c>
      <c r="E20" s="3327"/>
      <c r="F20" s="3065" t="s">
        <v>372</v>
      </c>
      <c r="G20" s="2724"/>
      <c r="H20" s="2724"/>
      <c r="I20" s="2724"/>
      <c r="J20" s="2602"/>
      <c r="K20" s="3322" t="s">
        <v>373</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4"/>
      <c r="N20" s="3116"/>
      <c r="O20" s="3117"/>
      <c r="P20" s="3116"/>
      <c r="Q20" s="3046"/>
      <c r="R20" s="3046"/>
      <c r="S20" s="3046"/>
      <c r="T20" s="3046"/>
      <c r="U20" s="3046"/>
      <c r="V20" s="3046"/>
      <c r="W20" s="2618"/>
      <c r="X20" s="2618"/>
      <c r="Y20" s="2618"/>
      <c r="Z20" s="2618"/>
      <c r="AA20" s="2618"/>
      <c r="AB20" s="2618"/>
    </row>
    <row r="21" spans="1:28" ht="24">
      <c r="A21" s="3064"/>
      <c r="B21" s="3066" t="s">
        <v>374</v>
      </c>
      <c r="C21" s="3067" t="s">
        <v>375</v>
      </c>
      <c r="D21" s="3068" t="s">
        <v>376</v>
      </c>
      <c r="E21" s="3069" t="s">
        <v>375</v>
      </c>
      <c r="F21" s="3070"/>
      <c r="G21" s="2724"/>
      <c r="H21" s="2724"/>
      <c r="I21" s="2724"/>
      <c r="J21" s="2602"/>
      <c r="K21" s="3322"/>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4"/>
      <c r="N21" s="3116"/>
      <c r="O21" s="3117"/>
      <c r="P21" s="3116"/>
      <c r="Q21" s="3046"/>
      <c r="R21" s="3046"/>
      <c r="S21" s="3046"/>
      <c r="T21" s="3046"/>
      <c r="U21" s="3046"/>
      <c r="V21" s="3046"/>
      <c r="W21" s="2618"/>
      <c r="X21" s="2618"/>
      <c r="Y21" s="2618"/>
      <c r="Z21" s="2618"/>
      <c r="AA21" s="2618"/>
      <c r="AB21" s="2618"/>
    </row>
    <row r="22" spans="1:28" ht="24">
      <c r="A22" s="3064"/>
      <c r="B22" s="3071" t="s">
        <v>377</v>
      </c>
      <c r="C22" s="3067" t="s">
        <v>378</v>
      </c>
      <c r="D22" s="3010"/>
      <c r="E22" s="3010"/>
      <c r="F22" s="3010"/>
      <c r="G22" s="2724"/>
      <c r="H22" s="2724"/>
      <c r="I22" s="2724"/>
      <c r="J22" s="2602"/>
      <c r="K22" s="3322"/>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4"/>
      <c r="N22" s="3116"/>
      <c r="O22" s="3117"/>
      <c r="P22" s="3116"/>
      <c r="Q22" s="3046"/>
      <c r="R22" s="3046"/>
      <c r="S22" s="3046"/>
      <c r="T22" s="3046"/>
      <c r="U22" s="3046"/>
      <c r="V22" s="3046"/>
      <c r="W22" s="2618"/>
      <c r="X22" s="2618"/>
      <c r="Y22" s="2618"/>
      <c r="Z22" s="2618"/>
      <c r="AA22" s="2618"/>
      <c r="AB22" s="2618"/>
    </row>
    <row r="23" spans="1:28">
      <c r="A23" s="3072" t="s">
        <v>379</v>
      </c>
      <c r="B23" s="2593" t="s">
        <v>380</v>
      </c>
      <c r="C23" s="3073"/>
      <c r="D23" s="3074" t="s">
        <v>380</v>
      </c>
      <c r="E23" s="3075"/>
      <c r="F23" s="3010"/>
      <c r="G23" s="2724"/>
      <c r="H23" s="2724"/>
      <c r="I23" s="2724"/>
      <c r="J23" s="2602"/>
      <c r="K23" s="3118"/>
      <c r="L23" s="1979"/>
      <c r="M23" s="3107"/>
      <c r="N23" s="2603"/>
      <c r="O23" s="3114"/>
      <c r="P23" s="2603"/>
      <c r="Q23" s="2602"/>
      <c r="R23" s="2602"/>
      <c r="S23" s="2602"/>
      <c r="T23" s="2602"/>
      <c r="U23" s="2602"/>
      <c r="V23" s="2602"/>
    </row>
    <row r="24" spans="1:28">
      <c r="A24" s="3072"/>
      <c r="B24" s="2593" t="s">
        <v>381</v>
      </c>
      <c r="C24" s="3076"/>
      <c r="D24" s="3072" t="s">
        <v>381</v>
      </c>
      <c r="E24" s="3077"/>
      <c r="F24" s="3010"/>
      <c r="G24" s="2724"/>
      <c r="H24" s="2724"/>
      <c r="I24" s="2724"/>
      <c r="J24" s="2602"/>
      <c r="K24" s="3118"/>
      <c r="L24" s="1979"/>
      <c r="M24" s="3107"/>
      <c r="N24" s="2603"/>
      <c r="O24" s="3114"/>
      <c r="P24" s="2603"/>
      <c r="Q24" s="2602"/>
      <c r="R24" s="2602"/>
      <c r="S24" s="2602"/>
      <c r="T24" s="2602"/>
      <c r="U24" s="2602"/>
      <c r="V24" s="2602"/>
    </row>
    <row r="25" spans="1:28">
      <c r="A25" s="3072"/>
      <c r="B25" s="2593" t="s">
        <v>382</v>
      </c>
      <c r="C25" s="3076"/>
      <c r="D25" s="3072" t="s">
        <v>382</v>
      </c>
      <c r="E25" s="3077"/>
      <c r="F25" s="3010"/>
      <c r="G25" s="2724"/>
      <c r="H25" s="2724"/>
      <c r="I25" s="2724"/>
      <c r="J25" s="2602"/>
      <c r="K25" s="3109"/>
      <c r="L25" s="3107"/>
      <c r="M25" s="3107"/>
      <c r="N25" s="2603"/>
      <c r="O25" s="3114"/>
      <c r="P25" s="2603"/>
      <c r="Q25" s="2602"/>
      <c r="R25" s="2602"/>
      <c r="S25" s="2602"/>
      <c r="T25" s="2602"/>
      <c r="U25" s="2602"/>
      <c r="V25" s="2602"/>
    </row>
    <row r="26" spans="1:28">
      <c r="A26" s="3078"/>
      <c r="B26" s="3079" t="s">
        <v>383</v>
      </c>
      <c r="C26" s="3080"/>
      <c r="D26" s="3078" t="s">
        <v>383</v>
      </c>
      <c r="E26" s="3081"/>
      <c r="F26" s="3034"/>
      <c r="G26" s="3034"/>
      <c r="H26" s="3034"/>
      <c r="I26" s="3034"/>
      <c r="J26" s="2602"/>
      <c r="K26" s="3109"/>
      <c r="L26" s="3107"/>
      <c r="M26" s="3107"/>
      <c r="N26" s="2603"/>
      <c r="O26" s="3114"/>
      <c r="P26" s="2603"/>
      <c r="Q26" s="2602"/>
      <c r="R26" s="2602"/>
      <c r="S26" s="2602"/>
      <c r="T26" s="2602"/>
      <c r="U26" s="2602"/>
      <c r="V26" s="2602"/>
    </row>
    <row r="27" spans="1:28">
      <c r="A27" s="3331" t="s">
        <v>384</v>
      </c>
      <c r="B27" s="1851" t="s">
        <v>385</v>
      </c>
      <c r="C27" s="3082"/>
      <c r="D27" s="3083"/>
      <c r="E27" s="2724"/>
      <c r="F27" s="2724"/>
      <c r="G27" s="2724"/>
      <c r="H27" s="2724"/>
      <c r="I27" s="2724"/>
      <c r="J27" s="2602"/>
      <c r="K27" s="3113"/>
      <c r="L27" s="3114"/>
      <c r="M27" s="3114"/>
      <c r="N27" s="2603"/>
      <c r="O27" s="3114"/>
      <c r="P27" s="2603"/>
      <c r="Q27" s="2602"/>
      <c r="R27" s="2602"/>
      <c r="S27" s="2602"/>
      <c r="T27" s="2602"/>
      <c r="U27" s="2602"/>
      <c r="V27" s="2602"/>
    </row>
    <row r="28" spans="1:28">
      <c r="A28" s="3331"/>
      <c r="B28" s="1817" t="s">
        <v>386</v>
      </c>
      <c r="C28" s="3084"/>
      <c r="D28" s="3085"/>
      <c r="E28" s="2724"/>
      <c r="F28" s="2724"/>
      <c r="G28" s="2724"/>
      <c r="H28" s="2724"/>
      <c r="I28" s="2724"/>
      <c r="J28" s="2602"/>
      <c r="K28" s="3109"/>
      <c r="L28" s="3107"/>
      <c r="M28" s="3107"/>
      <c r="N28" s="2602"/>
      <c r="O28" s="3108"/>
      <c r="P28" s="2602"/>
      <c r="Q28" s="2602"/>
      <c r="R28" s="2602"/>
      <c r="S28" s="2602"/>
      <c r="T28" s="2602"/>
      <c r="U28" s="2602"/>
      <c r="V28" s="2602"/>
    </row>
    <row r="29" spans="1:28">
      <c r="A29" s="3331"/>
      <c r="B29" s="1817" t="s">
        <v>387</v>
      </c>
      <c r="C29" s="3086"/>
      <c r="D29" s="3087"/>
      <c r="E29" s="2724"/>
      <c r="F29" s="2724"/>
      <c r="G29" s="2724"/>
      <c r="H29" s="2724"/>
      <c r="I29" s="2724"/>
      <c r="J29" s="2602"/>
      <c r="K29" s="3109"/>
      <c r="L29" s="3107"/>
      <c r="M29" s="3107"/>
      <c r="N29" s="2602"/>
      <c r="O29" s="3108"/>
      <c r="P29" s="2602"/>
      <c r="Q29" s="2602"/>
      <c r="R29" s="2602"/>
      <c r="S29" s="2602"/>
      <c r="T29" s="2602"/>
      <c r="U29" s="2602"/>
      <c r="V29" s="2602"/>
    </row>
    <row r="30" spans="1:28">
      <c r="A30" s="3332"/>
      <c r="B30" s="1817" t="s">
        <v>388</v>
      </c>
      <c r="C30" s="3328"/>
      <c r="D30" s="3329"/>
      <c r="E30" s="2724"/>
      <c r="F30" s="2724"/>
      <c r="G30" s="2724"/>
      <c r="H30" s="2724"/>
      <c r="I30" s="2724"/>
      <c r="J30" s="2602"/>
      <c r="K30" s="3109"/>
      <c r="L30" s="3107"/>
      <c r="M30" s="3107"/>
      <c r="N30" s="2602"/>
      <c r="O30" s="3108"/>
      <c r="P30" s="2602"/>
      <c r="Q30" s="2602"/>
      <c r="R30" s="2602"/>
      <c r="S30" s="2602"/>
      <c r="T30" s="2602"/>
      <c r="U30" s="2602"/>
      <c r="V30" s="2602"/>
    </row>
    <row r="31" spans="1:28">
      <c r="A31" s="3333" t="s">
        <v>389</v>
      </c>
      <c r="B31" s="3088"/>
      <c r="C31" s="1970" t="str">
        <f>IF(B31="现房","成新及维护状况正常否",IF(B31="在建","工程状态是否正常",IF(B31="土地","是否闲置","-")))</f>
        <v>-</v>
      </c>
      <c r="D31" s="2126"/>
      <c r="E31" s="3089"/>
      <c r="F31" s="2724"/>
      <c r="G31" s="2724"/>
      <c r="H31" s="2724"/>
      <c r="I31" s="2724"/>
      <c r="J31" s="2602"/>
      <c r="K31" s="3106"/>
      <c r="L31" s="3107"/>
      <c r="M31" s="3107"/>
      <c r="N31" s="2602"/>
      <c r="O31" s="3108"/>
      <c r="P31" s="2602"/>
      <c r="Q31" s="2602"/>
      <c r="R31" s="2602"/>
      <c r="S31" s="2602"/>
      <c r="T31" s="2602"/>
      <c r="U31" s="2602"/>
      <c r="V31" s="2602"/>
    </row>
    <row r="32" spans="1:28">
      <c r="A32" s="3334"/>
      <c r="B32" s="3088"/>
      <c r="C32" s="1970" t="str">
        <f>IF(B32="现房","成新及维护状况是否正常",IF(B32="在建","工程状态是否正常",IF(B32="土地","是否闲置","-")))</f>
        <v>-</v>
      </c>
      <c r="D32" s="2126"/>
      <c r="E32" s="3089"/>
      <c r="F32" s="2724"/>
      <c r="G32" s="2724"/>
      <c r="H32" s="2724"/>
      <c r="I32" s="2724"/>
      <c r="J32" s="2602"/>
      <c r="K32" s="3109"/>
      <c r="L32" s="3107"/>
      <c r="M32" s="3107"/>
      <c r="N32" s="2602"/>
      <c r="O32" s="3108"/>
      <c r="P32" s="2602"/>
      <c r="Q32" s="2602"/>
      <c r="R32" s="2602"/>
      <c r="S32" s="2602"/>
      <c r="T32" s="2602"/>
      <c r="U32" s="2602"/>
      <c r="V32" s="2602"/>
    </row>
    <row r="33" spans="1:30">
      <c r="A33" s="3334"/>
      <c r="B33" s="3090"/>
      <c r="C33" s="2354" t="str">
        <f>IF(B33="现房","成新及维护状况是否正常",IF(B33="在建","工程状态是否正常",IF(B33="土地","是否闲置","-")))</f>
        <v>-</v>
      </c>
      <c r="D33" s="1826"/>
      <c r="E33" s="3091"/>
      <c r="F33" s="2724"/>
      <c r="G33" s="2724"/>
      <c r="H33" s="2724"/>
      <c r="I33" s="2724"/>
      <c r="J33" s="2602"/>
      <c r="K33" s="3109"/>
      <c r="L33" s="3107"/>
      <c r="M33" s="3107"/>
      <c r="N33" s="2602"/>
      <c r="O33" s="3108"/>
      <c r="P33" s="2602"/>
      <c r="Q33" s="2602"/>
      <c r="R33" s="2602"/>
      <c r="S33" s="2602"/>
      <c r="T33" s="2602"/>
      <c r="U33" s="2602"/>
      <c r="V33" s="2602"/>
    </row>
    <row r="34" spans="1:30">
      <c r="A34" s="1817" t="s">
        <v>390</v>
      </c>
      <c r="B34" s="620"/>
      <c r="C34" s="620"/>
      <c r="D34" s="620"/>
      <c r="E34" s="620"/>
      <c r="F34" s="620"/>
      <c r="G34" s="620"/>
      <c r="H34" s="620"/>
      <c r="I34" s="2724"/>
      <c r="J34" s="2602"/>
      <c r="K34" s="296">
        <f>COUNTIF(B34:H34,"——")</f>
        <v>0</v>
      </c>
      <c r="L34" s="1858" t="s">
        <v>391</v>
      </c>
      <c r="M34" s="1858" t="s">
        <v>392</v>
      </c>
      <c r="N34" s="1858" t="s">
        <v>393</v>
      </c>
      <c r="O34" s="1858" t="s">
        <v>394</v>
      </c>
      <c r="P34" s="1858" t="s">
        <v>395</v>
      </c>
      <c r="Q34" s="1858" t="s">
        <v>396</v>
      </c>
      <c r="R34" s="1858" t="s">
        <v>397</v>
      </c>
      <c r="S34" s="3323" t="s">
        <v>398</v>
      </c>
      <c r="T34" s="3128" t="str">
        <f>NUMBERSTRING(7-K34,1)&amp;"通"</f>
        <v>七通</v>
      </c>
      <c r="U34" s="2602"/>
      <c r="V34" s="2602"/>
    </row>
    <row r="35" spans="1:30">
      <c r="A35" s="3092"/>
      <c r="B35" s="3330" t="s">
        <v>399</v>
      </c>
      <c r="C35" s="3330"/>
      <c r="D35" s="3330"/>
      <c r="E35" s="3330"/>
      <c r="F35" s="354">
        <f>C10</f>
        <v>0</v>
      </c>
      <c r="G35" s="2724"/>
      <c r="H35" s="2724"/>
      <c r="I35" s="2724"/>
      <c r="J35" s="2602"/>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323"/>
      <c r="T35" s="1860" t="str">
        <f>IF(T34="一通",L35,IF(T34="二通",M35,IF(T34="三通",N35,IF(T34="四通",O35,IF(T34="五通",P35,IF(T34="六通",Q35,R35))))))</f>
        <v>、、、、、、</v>
      </c>
      <c r="U35" s="2602"/>
      <c r="V35" s="2602"/>
    </row>
    <row r="36" spans="1:30">
      <c r="A36" s="3093"/>
      <c r="B36" s="354" t="s">
        <v>350</v>
      </c>
      <c r="C36" s="354" t="s">
        <v>351</v>
      </c>
      <c r="D36" s="354" t="s">
        <v>349</v>
      </c>
      <c r="E36" s="354" t="s">
        <v>354</v>
      </c>
      <c r="F36" s="3094"/>
      <c r="G36" s="2724"/>
      <c r="H36" s="2724"/>
      <c r="I36" s="2724"/>
      <c r="J36" s="2602"/>
      <c r="K36" s="3109"/>
      <c r="L36" s="3107"/>
      <c r="M36" s="3107"/>
      <c r="N36" s="2602"/>
      <c r="O36" s="3108"/>
      <c r="P36" s="2602"/>
      <c r="Q36" s="2602"/>
      <c r="R36" s="2602"/>
      <c r="S36" s="2602"/>
      <c r="T36" s="2602"/>
      <c r="U36" s="2602"/>
      <c r="V36" s="2602"/>
    </row>
    <row r="37" spans="1:30">
      <c r="A37" s="3095" t="s">
        <v>400</v>
      </c>
      <c r="B37" s="3096" t="s">
        <v>251</v>
      </c>
      <c r="C37" s="3096"/>
      <c r="D37" s="3096"/>
      <c r="E37" s="3096"/>
      <c r="F37" s="3094"/>
      <c r="G37" s="2724"/>
      <c r="H37" s="2724"/>
      <c r="I37" s="2724"/>
      <c r="J37" s="2602"/>
      <c r="K37" s="3109"/>
      <c r="L37" s="3107"/>
      <c r="M37" s="3107"/>
      <c r="N37" s="2602"/>
      <c r="O37" s="3108"/>
      <c r="P37" s="2602"/>
      <c r="Q37" s="2602"/>
      <c r="R37" s="2602"/>
      <c r="S37" s="2602"/>
      <c r="T37" s="2602"/>
      <c r="U37" s="2602"/>
      <c r="V37" s="2602"/>
    </row>
    <row r="38" spans="1:30">
      <c r="A38" s="3097" t="s">
        <v>401</v>
      </c>
      <c r="B38" s="3098" t="s">
        <v>402</v>
      </c>
      <c r="C38" s="3098"/>
      <c r="D38" s="3098"/>
      <c r="E38" s="3098"/>
      <c r="F38" s="3099"/>
      <c r="G38" s="3034"/>
      <c r="H38" s="3034"/>
      <c r="I38" s="3034"/>
      <c r="J38" s="2602"/>
      <c r="K38" s="3109"/>
      <c r="L38" s="3107"/>
      <c r="M38" s="3107"/>
      <c r="N38" s="2602"/>
      <c r="O38" s="3108"/>
      <c r="P38" s="2602"/>
      <c r="Q38" s="2602"/>
      <c r="R38" s="2602"/>
      <c r="S38" s="2602"/>
      <c r="T38" s="2602"/>
      <c r="U38" s="2602"/>
      <c r="V38" s="2602"/>
    </row>
    <row r="39" spans="1:30" s="3001" customFormat="1">
      <c r="A39" s="3100" t="s">
        <v>403</v>
      </c>
      <c r="B39" s="3101"/>
      <c r="C39" s="3101"/>
      <c r="D39" s="3101"/>
      <c r="E39" s="3101"/>
      <c r="F39" s="3101"/>
      <c r="G39" s="3101"/>
      <c r="H39" s="3101"/>
      <c r="I39" s="3101"/>
      <c r="J39" s="3119"/>
      <c r="K39" s="3120"/>
      <c r="L39" s="3119"/>
      <c r="M39" s="3119"/>
      <c r="N39" s="3119"/>
      <c r="O39" s="3121"/>
      <c r="P39" s="3119"/>
      <c r="Q39" s="3119"/>
      <c r="R39" s="3119"/>
      <c r="S39" s="3119"/>
      <c r="T39" s="3119"/>
      <c r="U39" s="3119"/>
      <c r="V39" s="3119"/>
      <c r="W39" s="3129"/>
      <c r="X39" s="3129"/>
      <c r="Y39" s="3129"/>
      <c r="Z39" s="3129"/>
      <c r="AA39" s="3129"/>
      <c r="AB39" s="3129"/>
      <c r="AC39" s="3129"/>
      <c r="AD39" s="3129"/>
    </row>
    <row r="40" spans="1:30">
      <c r="A40" s="3046"/>
      <c r="B40" s="3046"/>
      <c r="C40" s="3046"/>
      <c r="D40" s="3046"/>
      <c r="E40" s="3046"/>
      <c r="F40" s="3046"/>
      <c r="G40" s="3046"/>
      <c r="H40" s="3046"/>
      <c r="I40" s="2374"/>
      <c r="J40" s="2603"/>
      <c r="K40" s="3106"/>
      <c r="L40" s="3114"/>
      <c r="M40" s="3114"/>
      <c r="N40" s="2603"/>
      <c r="O40" s="3114"/>
      <c r="P40" s="2602"/>
      <c r="Q40" s="2602"/>
      <c r="R40" s="2602"/>
      <c r="S40" s="2602"/>
      <c r="T40" s="2602"/>
      <c r="U40" s="2602"/>
      <c r="V40" s="2602"/>
    </row>
    <row r="41" spans="1:30">
      <c r="A41" s="3102" t="s">
        <v>404</v>
      </c>
      <c r="B41" s="2260"/>
      <c r="C41" s="2126"/>
      <c r="D41" s="3046"/>
      <c r="E41" s="3046"/>
      <c r="F41" s="3046"/>
      <c r="G41" s="3046"/>
      <c r="H41" s="3046"/>
      <c r="I41" s="2913"/>
      <c r="J41" s="2602"/>
      <c r="K41" s="3109"/>
      <c r="L41" s="3107"/>
      <c r="M41" s="3107"/>
      <c r="N41" s="2602"/>
      <c r="O41" s="3108"/>
      <c r="P41" s="2602"/>
      <c r="Q41" s="2602"/>
      <c r="R41" s="2602"/>
      <c r="S41" s="2602"/>
      <c r="T41" s="2602"/>
      <c r="U41" s="2602"/>
      <c r="V41" s="2602"/>
    </row>
    <row r="42" spans="1:30" ht="25.5">
      <c r="A42" s="1858" t="s">
        <v>405</v>
      </c>
      <c r="B42" s="296" t="s">
        <v>406</v>
      </c>
      <c r="C42" s="296" t="s">
        <v>407</v>
      </c>
      <c r="D42" s="296" t="s">
        <v>408</v>
      </c>
      <c r="E42" s="296" t="s">
        <v>409</v>
      </c>
      <c r="F42" s="296" t="s">
        <v>410</v>
      </c>
      <c r="G42" s="296" t="s">
        <v>411</v>
      </c>
      <c r="H42" s="296" t="s">
        <v>412</v>
      </c>
      <c r="I42" s="296" t="s">
        <v>413</v>
      </c>
      <c r="J42" s="3122" t="s">
        <v>414</v>
      </c>
      <c r="K42" s="3123" t="s">
        <v>415</v>
      </c>
      <c r="L42" s="3123" t="s">
        <v>416</v>
      </c>
      <c r="M42" s="3123" t="s">
        <v>417</v>
      </c>
      <c r="N42" s="3124" t="s">
        <v>418</v>
      </c>
      <c r="O42" s="3124" t="s">
        <v>419</v>
      </c>
      <c r="P42" s="3124" t="s">
        <v>420</v>
      </c>
      <c r="Q42" s="3130" t="s">
        <v>421</v>
      </c>
      <c r="R42" s="3130" t="s">
        <v>422</v>
      </c>
      <c r="S42" s="2602"/>
      <c r="T42" s="2602"/>
      <c r="U42" s="2602"/>
      <c r="V42" s="2602"/>
    </row>
    <row r="43" spans="1:30" s="2814" customFormat="1">
      <c r="A43" s="2938"/>
      <c r="B43" s="2934"/>
      <c r="C43" s="2934"/>
      <c r="D43" s="2934"/>
      <c r="E43" s="2934"/>
      <c r="F43" s="2934"/>
      <c r="G43" s="2934"/>
      <c r="H43" s="2934"/>
      <c r="I43" s="2934"/>
      <c r="J43" s="3125"/>
      <c r="K43" s="3126"/>
      <c r="L43" s="3126"/>
      <c r="M43" s="2934"/>
      <c r="N43" s="2934"/>
      <c r="O43" s="2934"/>
      <c r="P43" s="2934"/>
      <c r="Q43" s="2934"/>
      <c r="R43" s="2934"/>
      <c r="S43" s="2602"/>
      <c r="T43" s="2602"/>
      <c r="U43" s="2602"/>
      <c r="V43" s="2602"/>
    </row>
    <row r="44" spans="1:30" s="2814" customFormat="1">
      <c r="A44" s="2938"/>
      <c r="B44" s="2938"/>
      <c r="C44" s="2934"/>
      <c r="D44" s="2934"/>
      <c r="E44" s="2934"/>
      <c r="F44" s="2934"/>
      <c r="G44" s="2934"/>
      <c r="H44" s="2934"/>
      <c r="I44" s="2934"/>
      <c r="J44" s="3125"/>
      <c r="K44" s="3126"/>
      <c r="L44" s="3126"/>
      <c r="M44" s="2934"/>
      <c r="N44" s="2934"/>
      <c r="O44" s="2934"/>
      <c r="P44" s="2934"/>
      <c r="Q44" s="2934"/>
      <c r="R44" s="2934"/>
      <c r="S44" s="2602"/>
      <c r="T44" s="2602"/>
      <c r="U44" s="2602"/>
      <c r="V44" s="2602"/>
    </row>
    <row r="45" spans="1:30" s="2814" customFormat="1">
      <c r="A45" s="2938"/>
      <c r="B45" s="2938"/>
      <c r="C45" s="2934"/>
      <c r="D45" s="2934"/>
      <c r="E45" s="2934"/>
      <c r="F45" s="2934"/>
      <c r="G45" s="2934"/>
      <c r="H45" s="2934"/>
      <c r="I45" s="2934"/>
      <c r="J45" s="3125"/>
      <c r="K45" s="3126"/>
      <c r="L45" s="3126"/>
      <c r="M45" s="2934"/>
      <c r="N45" s="2934"/>
      <c r="O45" s="2934"/>
      <c r="P45" s="2934"/>
      <c r="Q45" s="2934"/>
      <c r="R45" s="2934"/>
      <c r="S45" s="2602"/>
      <c r="T45" s="2602"/>
      <c r="U45" s="2602"/>
      <c r="V45" s="2602"/>
    </row>
    <row r="46" spans="1:30" s="2814" customFormat="1">
      <c r="A46" s="2938"/>
      <c r="B46" s="2938"/>
      <c r="C46" s="2934"/>
      <c r="D46" s="2934"/>
      <c r="E46" s="2934"/>
      <c r="F46" s="2934"/>
      <c r="G46" s="2934"/>
      <c r="H46" s="2934"/>
      <c r="I46" s="2934"/>
      <c r="J46" s="3125"/>
      <c r="K46" s="3126"/>
      <c r="L46" s="3126"/>
      <c r="M46" s="2934"/>
      <c r="N46" s="2934"/>
      <c r="O46" s="2934"/>
      <c r="P46" s="2934"/>
      <c r="Q46" s="2934"/>
      <c r="R46" s="2934"/>
      <c r="S46" s="2602"/>
      <c r="T46" s="2602"/>
      <c r="U46" s="2602"/>
      <c r="V46" s="2602"/>
    </row>
    <row r="47" spans="1:30" s="2814" customFormat="1">
      <c r="A47" s="2938"/>
      <c r="B47" s="2938"/>
      <c r="C47" s="2934"/>
      <c r="D47" s="2934"/>
      <c r="E47" s="2934"/>
      <c r="F47" s="2934"/>
      <c r="G47" s="2934"/>
      <c r="H47" s="2934"/>
      <c r="I47" s="2934"/>
      <c r="J47" s="3125"/>
      <c r="K47" s="3126"/>
      <c r="L47" s="3126"/>
      <c r="M47" s="2934"/>
      <c r="N47" s="2934"/>
      <c r="O47" s="2934"/>
      <c r="P47" s="2934"/>
      <c r="Q47" s="2934"/>
      <c r="R47" s="2934"/>
      <c r="S47" s="2602"/>
      <c r="T47" s="2602"/>
      <c r="U47" s="2602"/>
      <c r="V47" s="2602"/>
    </row>
    <row r="48" spans="1:30" s="2814" customFormat="1">
      <c r="A48" s="2938"/>
      <c r="B48" s="2938"/>
      <c r="C48" s="2934"/>
      <c r="D48" s="2934"/>
      <c r="E48" s="2934"/>
      <c r="F48" s="2934"/>
      <c r="G48" s="2934"/>
      <c r="H48" s="2934"/>
      <c r="I48" s="2934"/>
      <c r="J48" s="3125"/>
      <c r="K48" s="3126"/>
      <c r="L48" s="3126"/>
      <c r="M48" s="2934"/>
      <c r="N48" s="2934"/>
      <c r="O48" s="2934"/>
      <c r="P48" s="2934"/>
      <c r="Q48" s="2934"/>
      <c r="R48" s="2934"/>
      <c r="S48" s="2602"/>
      <c r="T48" s="2602"/>
      <c r="U48" s="2602"/>
      <c r="V48" s="2602"/>
    </row>
    <row r="49" spans="1:22" s="2814" customFormat="1">
      <c r="A49" s="2938"/>
      <c r="B49" s="2938"/>
      <c r="C49" s="2934"/>
      <c r="D49" s="2934"/>
      <c r="E49" s="2934"/>
      <c r="F49" s="2934"/>
      <c r="G49" s="2934"/>
      <c r="H49" s="2934"/>
      <c r="I49" s="2934"/>
      <c r="J49" s="3125"/>
      <c r="K49" s="3126"/>
      <c r="L49" s="3126"/>
      <c r="M49" s="2934"/>
      <c r="N49" s="2934"/>
      <c r="O49" s="2934"/>
      <c r="P49" s="2934"/>
      <c r="Q49" s="2934"/>
      <c r="R49" s="2934"/>
      <c r="S49" s="2602"/>
      <c r="T49" s="2602"/>
      <c r="U49" s="2602"/>
      <c r="V49" s="2602"/>
    </row>
    <row r="50" spans="1:22" s="2814" customFormat="1">
      <c r="A50" s="2938"/>
      <c r="B50" s="2938"/>
      <c r="C50" s="2934"/>
      <c r="D50" s="2934"/>
      <c r="E50" s="2934"/>
      <c r="F50" s="2934"/>
      <c r="G50" s="2934"/>
      <c r="H50" s="2934"/>
      <c r="I50" s="2934"/>
      <c r="J50" s="3125"/>
      <c r="K50" s="3126"/>
      <c r="L50" s="3126"/>
      <c r="M50" s="2934"/>
      <c r="N50" s="2934"/>
      <c r="O50" s="2934"/>
      <c r="P50" s="2934"/>
      <c r="Q50" s="2934"/>
      <c r="R50" s="2934"/>
      <c r="S50" s="2602"/>
      <c r="T50" s="2602"/>
      <c r="U50" s="2602"/>
      <c r="V50" s="2602"/>
    </row>
    <row r="51" spans="1:22" s="2814" customFormat="1">
      <c r="A51" s="2938"/>
      <c r="B51" s="2938"/>
      <c r="C51" s="2934"/>
      <c r="D51" s="2934"/>
      <c r="E51" s="2934"/>
      <c r="F51" s="2934"/>
      <c r="G51" s="2934"/>
      <c r="H51" s="2934"/>
      <c r="I51" s="2934"/>
      <c r="J51" s="3125"/>
      <c r="K51" s="3126"/>
      <c r="L51" s="3126"/>
      <c r="M51" s="2934"/>
      <c r="N51" s="2934"/>
      <c r="O51" s="2934"/>
      <c r="P51" s="2934"/>
      <c r="Q51" s="2934"/>
      <c r="R51" s="2934"/>
    </row>
    <row r="52" spans="1:22" s="2814" customFormat="1">
      <c r="A52" s="2938"/>
      <c r="B52" s="2938"/>
      <c r="C52" s="2938"/>
      <c r="D52" s="2938"/>
      <c r="E52" s="2938"/>
      <c r="F52" s="2934"/>
      <c r="G52" s="2938"/>
      <c r="H52" s="2938"/>
      <c r="I52" s="2938"/>
      <c r="J52" s="3127"/>
      <c r="K52" s="3126"/>
      <c r="L52" s="3126"/>
      <c r="M52" s="3126"/>
      <c r="N52" s="2938"/>
      <c r="O52" s="2938"/>
      <c r="P52" s="2938"/>
      <c r="Q52" s="2938"/>
      <c r="R52" s="2938"/>
    </row>
    <row r="53" spans="1:22" s="2814" customFormat="1">
      <c r="A53" s="2938"/>
      <c r="B53" s="2938"/>
      <c r="C53" s="2938"/>
      <c r="D53" s="2938"/>
      <c r="E53" s="2938"/>
      <c r="F53" s="2934"/>
      <c r="G53" s="2938"/>
      <c r="H53" s="2938"/>
      <c r="I53" s="2938"/>
      <c r="J53" s="3127"/>
      <c r="K53" s="3126"/>
      <c r="L53" s="3126"/>
      <c r="M53" s="3126"/>
      <c r="N53" s="2938"/>
      <c r="O53" s="2938"/>
      <c r="P53" s="2938"/>
      <c r="Q53" s="2938"/>
      <c r="R53" s="2938"/>
    </row>
    <row r="54" spans="1:22" s="2814" customFormat="1">
      <c r="A54" s="2938"/>
      <c r="B54" s="2938"/>
      <c r="C54" s="2938"/>
      <c r="D54" s="2938"/>
      <c r="E54" s="2938"/>
      <c r="F54" s="2934"/>
      <c r="G54" s="2938"/>
      <c r="H54" s="2938"/>
      <c r="I54" s="2938"/>
      <c r="J54" s="3127"/>
      <c r="K54" s="3126"/>
      <c r="L54" s="3126"/>
      <c r="M54" s="3126"/>
      <c r="N54" s="2938"/>
      <c r="O54" s="2938"/>
      <c r="P54" s="2938"/>
      <c r="Q54" s="2938"/>
      <c r="R54" s="2938"/>
    </row>
    <row r="55" spans="1:22" s="2814" customFormat="1">
      <c r="A55" s="2938"/>
      <c r="B55" s="2938"/>
      <c r="C55" s="2938"/>
      <c r="D55" s="2938"/>
      <c r="E55" s="2938"/>
      <c r="F55" s="2934"/>
      <c r="G55" s="2938"/>
      <c r="H55" s="2938"/>
      <c r="I55" s="2938"/>
      <c r="J55" s="3127"/>
      <c r="K55" s="3126"/>
      <c r="L55" s="3126"/>
      <c r="M55" s="3126"/>
      <c r="N55" s="2938"/>
      <c r="O55" s="2938"/>
      <c r="P55" s="2938"/>
      <c r="Q55" s="2938"/>
      <c r="R55" s="2938"/>
    </row>
    <row r="56" spans="1:22" s="2814" customFormat="1">
      <c r="A56" s="2938"/>
      <c r="B56" s="2938"/>
      <c r="C56" s="2938"/>
      <c r="D56" s="2938"/>
      <c r="E56" s="2938"/>
      <c r="F56" s="2934"/>
      <c r="G56" s="2938"/>
      <c r="H56" s="2938"/>
      <c r="I56" s="2938"/>
      <c r="J56" s="3127"/>
      <c r="K56" s="3126"/>
      <c r="L56" s="3126"/>
      <c r="M56" s="3126"/>
      <c r="N56" s="2938"/>
      <c r="O56" s="2938"/>
      <c r="P56" s="2938"/>
      <c r="Q56" s="2938"/>
      <c r="R56" s="293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E38">
      <formula1>INDIRECT($E$37)</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8">
      <formula1>INDIRECT(B37)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910" customWidth="1"/>
    <col min="2" max="2" width="11" style="2910" customWidth="1"/>
    <col min="3" max="3" width="10.375" style="2910" customWidth="1"/>
    <col min="4" max="4" width="9.125" style="2910" customWidth="1"/>
    <col min="5" max="6" width="10" style="2908" customWidth="1"/>
    <col min="7" max="8" width="10" style="2910" customWidth="1"/>
    <col min="9" max="9" width="10.625" style="2910" customWidth="1"/>
    <col min="10" max="10" width="9.5" style="2910" customWidth="1"/>
    <col min="11" max="11" width="11" style="2910" customWidth="1"/>
    <col min="12" max="14" width="9.5" style="2910" customWidth="1"/>
    <col min="15" max="15" width="9.875" style="2910" customWidth="1"/>
    <col min="16" max="16" width="9.75" style="2910" customWidth="1"/>
    <col min="17" max="17" width="9.375" style="2910" customWidth="1"/>
    <col min="18" max="18" width="9.25" style="2910" customWidth="1"/>
    <col min="19" max="19" width="10.875" style="2910" customWidth="1"/>
    <col min="20" max="21" width="10.75" style="2910" customWidth="1"/>
    <col min="22" max="22" width="10.875" style="2910" customWidth="1"/>
    <col min="23" max="27" width="10.75" style="2910" customWidth="1"/>
    <col min="28" max="28" width="10.875" style="2910" customWidth="1"/>
    <col min="29" max="29" width="11" style="2910" customWidth="1"/>
    <col min="30" max="30" width="10" style="2910" customWidth="1"/>
    <col min="31" max="31" width="9.75" style="2910" customWidth="1"/>
    <col min="32" max="46" width="9.5" style="2910" customWidth="1"/>
    <col min="47" max="47" width="18.125" style="2910" customWidth="1"/>
    <col min="48" max="50" width="9.75" style="2910" customWidth="1"/>
    <col min="51" max="55" width="10.5" style="2910" customWidth="1"/>
    <col min="56" max="56" width="9.5" style="2910" customWidth="1"/>
    <col min="57" max="63" width="9.125" style="2910" customWidth="1"/>
    <col min="64" max="64" width="9.5" style="2910" customWidth="1"/>
    <col min="65" max="65" width="9.125" style="2910" customWidth="1"/>
    <col min="66" max="66" width="9.5" style="2910" customWidth="1"/>
    <col min="67" max="69" width="9.125" style="2910" customWidth="1"/>
    <col min="70" max="70" width="9.5" style="2910" customWidth="1"/>
    <col min="71" max="71" width="9" style="2910" customWidth="1"/>
    <col min="72" max="72" width="9.125" style="2910" customWidth="1"/>
    <col min="73" max="16384" width="8.875" style="2910"/>
  </cols>
  <sheetData>
    <row r="1" spans="1:72" ht="20.25">
      <c r="A1" s="2911" t="s">
        <v>423</v>
      </c>
      <c r="B1" s="2912"/>
      <c r="C1" s="2912"/>
      <c r="D1" s="2912"/>
      <c r="E1" s="2912"/>
      <c r="F1" s="2912"/>
      <c r="G1" s="2912"/>
      <c r="H1" s="2912"/>
      <c r="I1" s="2912"/>
      <c r="J1" s="2912"/>
      <c r="K1" s="2912"/>
      <c r="L1" s="2912"/>
      <c r="M1" s="2912"/>
      <c r="N1" s="2912"/>
      <c r="O1" s="2912"/>
      <c r="P1" s="2912"/>
      <c r="Q1" s="2912"/>
      <c r="R1" s="2912"/>
      <c r="S1" s="2912"/>
      <c r="T1" s="2912"/>
      <c r="U1" s="2912"/>
      <c r="V1" s="2912"/>
      <c r="W1" s="2912"/>
      <c r="X1" s="2912"/>
      <c r="Y1" s="2912"/>
      <c r="Z1" s="2912"/>
      <c r="AA1" s="2912"/>
      <c r="AB1" s="2912"/>
      <c r="AC1" s="2912"/>
      <c r="AD1" s="2912"/>
      <c r="AE1" s="2912"/>
      <c r="AF1" s="2912"/>
      <c r="AG1" s="2912"/>
      <c r="AH1" s="2912"/>
      <c r="AI1" s="2912"/>
      <c r="AJ1" s="2912"/>
      <c r="AK1" s="2912"/>
      <c r="AL1" s="2912"/>
      <c r="AM1" s="2912"/>
      <c r="AN1" s="2912"/>
      <c r="AO1" s="2912"/>
      <c r="AP1" s="2912"/>
      <c r="AQ1" s="2912"/>
      <c r="AR1" s="2912"/>
      <c r="AS1" s="2912"/>
      <c r="AT1" s="2912"/>
      <c r="AU1" s="2912"/>
      <c r="AV1" s="2964" t="s">
        <v>424</v>
      </c>
      <c r="AW1" s="2912"/>
      <c r="AX1" s="2912"/>
      <c r="AY1" s="2912"/>
      <c r="AZ1" s="2912"/>
      <c r="BA1" s="2912"/>
      <c r="BB1" s="2912"/>
      <c r="BC1" s="2912"/>
      <c r="BD1" s="2912"/>
      <c r="BE1" s="2912"/>
      <c r="BF1" s="2912"/>
      <c r="BG1" s="2912"/>
      <c r="BH1" s="2912"/>
      <c r="BI1" s="2912"/>
      <c r="BJ1" s="2912"/>
      <c r="BK1" s="2912"/>
      <c r="BL1" s="2912"/>
      <c r="BM1" s="2912"/>
      <c r="BN1" s="2912"/>
      <c r="BO1" s="2912"/>
      <c r="BP1" s="2912"/>
      <c r="BQ1" s="2912"/>
      <c r="BR1" s="2912"/>
      <c r="BS1" s="2912"/>
      <c r="BT1" s="2912"/>
    </row>
    <row r="2" spans="1:72" s="2905" customFormat="1" ht="24">
      <c r="A2" s="296" t="s">
        <v>365</v>
      </c>
      <c r="B2" s="296" t="s">
        <v>361</v>
      </c>
      <c r="C2" s="296" t="s">
        <v>425</v>
      </c>
      <c r="D2" s="2913"/>
      <c r="E2" s="2334"/>
      <c r="F2" s="2374"/>
      <c r="G2" s="2913"/>
      <c r="H2" s="2913"/>
      <c r="I2" s="2913"/>
      <c r="J2" s="2913"/>
      <c r="K2" s="2913"/>
      <c r="L2" s="2913"/>
      <c r="M2" s="2913"/>
      <c r="N2" s="2913"/>
      <c r="O2" s="2913"/>
      <c r="P2" s="2913"/>
      <c r="Q2" s="2913"/>
      <c r="R2" s="2913"/>
      <c r="S2" s="2913"/>
      <c r="T2" s="2913"/>
      <c r="U2" s="2913"/>
      <c r="V2" s="2913"/>
      <c r="W2" s="2913"/>
      <c r="X2" s="2913"/>
      <c r="Y2" s="2913"/>
      <c r="Z2" s="2913"/>
      <c r="AA2" s="2913"/>
      <c r="AB2" s="2913"/>
      <c r="AC2" s="2913"/>
      <c r="AD2" s="2913"/>
      <c r="AE2" s="2913"/>
      <c r="AF2" s="2913"/>
      <c r="AG2" s="2913"/>
      <c r="AH2" s="2913"/>
      <c r="AI2" s="2913"/>
      <c r="AJ2" s="2913"/>
      <c r="AK2" s="2913"/>
      <c r="AL2" s="2913"/>
      <c r="AM2" s="2913"/>
      <c r="AN2" s="2913"/>
      <c r="AO2" s="2913"/>
      <c r="AP2" s="2913"/>
      <c r="AQ2" s="2913"/>
      <c r="AR2" s="2913"/>
      <c r="AS2" s="2913"/>
      <c r="AT2" s="2913"/>
      <c r="AU2" s="2913"/>
      <c r="AV2" s="2913"/>
      <c r="AW2" s="2913"/>
      <c r="AX2" s="2913"/>
      <c r="AY2" s="2974" t="s">
        <v>426</v>
      </c>
      <c r="AZ2" s="2975" t="s">
        <v>427</v>
      </c>
      <c r="BA2" s="296" t="s">
        <v>428</v>
      </c>
      <c r="BB2" s="2913"/>
      <c r="BC2" s="2913"/>
      <c r="BD2" s="2913"/>
      <c r="BE2" s="2913"/>
      <c r="BF2" s="2913"/>
      <c r="BG2" s="2913"/>
      <c r="BH2" s="2913"/>
      <c r="BI2" s="2913"/>
      <c r="BJ2" s="2913"/>
      <c r="BK2" s="2913"/>
      <c r="BL2" s="2913"/>
      <c r="BM2" s="2913"/>
      <c r="BN2" s="2913"/>
      <c r="BO2" s="2913"/>
      <c r="BP2" s="2913"/>
      <c r="BQ2" s="2913"/>
      <c r="BR2" s="2913"/>
      <c r="BS2" s="2913"/>
      <c r="BT2" s="2913"/>
    </row>
    <row r="3" spans="1:72" s="2905" customFormat="1" ht="12.75">
      <c r="A3" s="2914">
        <v>5788.26</v>
      </c>
      <c r="B3" s="2915">
        <f>IF(C3="否",G5-AT5,G5)</f>
        <v>16578.28</v>
      </c>
      <c r="C3" s="2916" t="s">
        <v>429</v>
      </c>
      <c r="D3" s="2913"/>
      <c r="E3" s="2913"/>
      <c r="F3" s="2913"/>
      <c r="G3" s="2913"/>
      <c r="H3" s="2913"/>
      <c r="I3" s="2913"/>
      <c r="J3" s="2913"/>
      <c r="K3" s="2913"/>
      <c r="L3" s="2913"/>
      <c r="M3" s="2913"/>
      <c r="N3" s="2913"/>
      <c r="O3" s="2913"/>
      <c r="P3" s="2913"/>
      <c r="Q3" s="2913"/>
      <c r="R3" s="2913"/>
      <c r="S3" s="2913"/>
      <c r="T3" s="2913"/>
      <c r="U3" s="2913"/>
      <c r="V3" s="2913"/>
      <c r="W3" s="2913"/>
      <c r="X3" s="2913"/>
      <c r="Y3" s="2913"/>
      <c r="Z3" s="2913"/>
      <c r="AA3" s="2913"/>
      <c r="AB3" s="2913"/>
      <c r="AC3" s="2913"/>
      <c r="AD3" s="2913"/>
      <c r="AE3" s="2913"/>
      <c r="AF3" s="2913"/>
      <c r="AG3" s="2913"/>
      <c r="AH3" s="2913"/>
      <c r="AI3" s="2913"/>
      <c r="AJ3" s="2913"/>
      <c r="AK3" s="2913"/>
      <c r="AL3" s="2913"/>
      <c r="AM3" s="2913"/>
      <c r="AN3" s="2913"/>
      <c r="AO3" s="2913"/>
      <c r="AP3" s="2913"/>
      <c r="AQ3" s="2913"/>
      <c r="AR3" s="2913"/>
      <c r="AS3" s="2913"/>
      <c r="AT3" s="2913"/>
      <c r="AU3" s="2913"/>
      <c r="AV3" s="2913"/>
      <c r="AW3" s="2913"/>
      <c r="AX3" s="2913"/>
      <c r="AY3" s="2976"/>
      <c r="AZ3" s="2934"/>
      <c r="BA3" s="2977"/>
      <c r="BB3" s="2913"/>
      <c r="BC3" s="2913"/>
      <c r="BD3" s="2913"/>
      <c r="BE3" s="2913"/>
      <c r="BF3" s="2913"/>
      <c r="BG3" s="2913"/>
      <c r="BH3" s="2913"/>
      <c r="BI3" s="2913"/>
      <c r="BJ3" s="2913"/>
      <c r="BK3" s="2913"/>
      <c r="BL3" s="2913"/>
      <c r="BM3" s="2913"/>
      <c r="BN3" s="2913"/>
      <c r="BO3" s="2913"/>
      <c r="BP3" s="2913"/>
      <c r="BQ3" s="2913"/>
      <c r="BR3" s="2913"/>
      <c r="BS3" s="2913"/>
      <c r="BT3" s="2913"/>
    </row>
    <row r="4" spans="1:72" s="2906" customFormat="1" ht="12.75">
      <c r="A4" s="2917"/>
      <c r="B4" s="2918"/>
      <c r="C4" s="2919"/>
      <c r="D4" s="2913"/>
      <c r="E4" s="2913"/>
      <c r="F4" s="2913"/>
      <c r="G4" s="2913"/>
      <c r="H4" s="2913"/>
      <c r="I4" s="2913"/>
      <c r="J4" s="2913"/>
      <c r="K4" s="2913"/>
      <c r="L4" s="2913"/>
      <c r="M4" s="2913"/>
      <c r="N4" s="2913"/>
      <c r="O4" s="2913"/>
      <c r="P4" s="2913"/>
      <c r="Q4" s="2913"/>
      <c r="R4" s="2913"/>
      <c r="S4" s="2913"/>
      <c r="T4" s="2913"/>
      <c r="U4" s="2913"/>
      <c r="V4" s="2913"/>
      <c r="W4" s="2913"/>
      <c r="X4" s="2913"/>
      <c r="Y4" s="2913"/>
      <c r="Z4" s="2913"/>
      <c r="AA4" s="2913"/>
      <c r="AB4" s="2913"/>
      <c r="AC4" s="2913"/>
      <c r="AD4" s="2913"/>
      <c r="AE4" s="2913"/>
      <c r="AF4" s="2913"/>
      <c r="AG4" s="2913"/>
      <c r="AH4" s="2913"/>
      <c r="AI4" s="2913"/>
      <c r="AJ4" s="2913"/>
      <c r="AK4" s="2913"/>
      <c r="AL4" s="2913"/>
      <c r="AM4" s="2913"/>
      <c r="AN4" s="2913"/>
      <c r="AO4" s="2913"/>
      <c r="AP4" s="2913"/>
      <c r="AQ4" s="2913"/>
      <c r="AR4" s="2913"/>
      <c r="AS4" s="2913"/>
      <c r="AT4" s="2913"/>
      <c r="AU4" s="2913"/>
      <c r="AV4" s="2913"/>
      <c r="AW4" s="2913"/>
      <c r="AX4" s="2913"/>
      <c r="AY4" s="2913"/>
      <c r="AZ4" s="2913"/>
      <c r="BA4" s="2978"/>
      <c r="BB4" s="2913"/>
      <c r="BC4" s="2913"/>
      <c r="BD4" s="2913"/>
      <c r="BE4" s="2913"/>
      <c r="BF4" s="2913"/>
      <c r="BG4" s="2913"/>
      <c r="BH4" s="2913"/>
      <c r="BI4" s="2913"/>
      <c r="BJ4" s="2913"/>
      <c r="BK4" s="2913"/>
      <c r="BL4" s="2913"/>
      <c r="BM4" s="2913"/>
      <c r="BN4" s="2913"/>
      <c r="BO4" s="2913"/>
      <c r="BP4" s="2913"/>
      <c r="BQ4" s="2913"/>
      <c r="BR4" s="2913"/>
      <c r="BS4" s="2913"/>
      <c r="BT4" s="2913"/>
    </row>
    <row r="5" spans="1:72" s="2905" customFormat="1" ht="12.75">
      <c r="A5" s="1970" t="s">
        <v>430</v>
      </c>
      <c r="B5" s="2257"/>
      <c r="C5" s="2257"/>
      <c r="D5" s="2386"/>
      <c r="E5" s="2920" t="s">
        <v>124</v>
      </c>
      <c r="F5" s="2920">
        <f>SUM(F13:F587)</f>
        <v>0</v>
      </c>
      <c r="G5" s="2920">
        <f>SUM(G13:G587)</f>
        <v>16578.28</v>
      </c>
      <c r="H5" s="2920">
        <f t="shared" ref="H5:AT5" si="0">SUM(H13:H656)</f>
        <v>16578.28</v>
      </c>
      <c r="I5" s="2920">
        <f t="shared" si="0"/>
        <v>10513.99</v>
      </c>
      <c r="J5" s="2920">
        <f t="shared" si="0"/>
        <v>0</v>
      </c>
      <c r="K5" s="2920">
        <f t="shared" si="0"/>
        <v>6064.29</v>
      </c>
      <c r="L5" s="2920">
        <f t="shared" si="0"/>
        <v>0</v>
      </c>
      <c r="M5" s="2920">
        <f t="shared" si="0"/>
        <v>0</v>
      </c>
      <c r="N5" s="2920">
        <f t="shared" si="0"/>
        <v>0</v>
      </c>
      <c r="O5" s="2920">
        <f t="shared" si="0"/>
        <v>0</v>
      </c>
      <c r="P5" s="2920">
        <f t="shared" si="0"/>
        <v>0</v>
      </c>
      <c r="Q5" s="2920">
        <f t="shared" si="0"/>
        <v>0</v>
      </c>
      <c r="R5" s="2920">
        <f t="shared" si="0"/>
        <v>0</v>
      </c>
      <c r="S5" s="2920">
        <f t="shared" si="0"/>
        <v>0</v>
      </c>
      <c r="T5" s="2920">
        <f t="shared" si="0"/>
        <v>0</v>
      </c>
      <c r="U5" s="2920">
        <f t="shared" si="0"/>
        <v>0</v>
      </c>
      <c r="V5" s="2920">
        <f t="shared" si="0"/>
        <v>0</v>
      </c>
      <c r="W5" s="2920">
        <f t="shared" si="0"/>
        <v>0</v>
      </c>
      <c r="X5" s="2920">
        <f t="shared" si="0"/>
        <v>0</v>
      </c>
      <c r="Y5" s="2920">
        <f t="shared" si="0"/>
        <v>0</v>
      </c>
      <c r="Z5" s="2920">
        <f t="shared" si="0"/>
        <v>0</v>
      </c>
      <c r="AA5" s="2920">
        <f t="shared" si="0"/>
        <v>0</v>
      </c>
      <c r="AB5" s="2920">
        <f t="shared" si="0"/>
        <v>0</v>
      </c>
      <c r="AC5" s="2920">
        <f t="shared" si="0"/>
        <v>0</v>
      </c>
      <c r="AD5" s="2920">
        <f t="shared" si="0"/>
        <v>0</v>
      </c>
      <c r="AE5" s="2920">
        <f t="shared" si="0"/>
        <v>0</v>
      </c>
      <c r="AF5" s="2920">
        <f t="shared" si="0"/>
        <v>0</v>
      </c>
      <c r="AG5" s="2920">
        <f t="shared" si="0"/>
        <v>0</v>
      </c>
      <c r="AH5" s="2920">
        <f t="shared" si="0"/>
        <v>0</v>
      </c>
      <c r="AI5" s="2920">
        <f t="shared" si="0"/>
        <v>0</v>
      </c>
      <c r="AJ5" s="2920">
        <f t="shared" si="0"/>
        <v>0</v>
      </c>
      <c r="AK5" s="2920">
        <f t="shared" si="0"/>
        <v>0</v>
      </c>
      <c r="AL5" s="2920">
        <f t="shared" si="0"/>
        <v>0</v>
      </c>
      <c r="AM5" s="2920">
        <f t="shared" si="0"/>
        <v>0</v>
      </c>
      <c r="AN5" s="2920">
        <f t="shared" si="0"/>
        <v>0</v>
      </c>
      <c r="AO5" s="2920">
        <f t="shared" si="0"/>
        <v>0</v>
      </c>
      <c r="AP5" s="2920">
        <f t="shared" si="0"/>
        <v>0</v>
      </c>
      <c r="AQ5" s="2920">
        <f t="shared" si="0"/>
        <v>0</v>
      </c>
      <c r="AR5" s="2920">
        <f t="shared" si="0"/>
        <v>0</v>
      </c>
      <c r="AS5" s="2920">
        <f t="shared" si="0"/>
        <v>0</v>
      </c>
      <c r="AT5" s="2920">
        <f t="shared" si="0"/>
        <v>0</v>
      </c>
      <c r="AU5" s="2256"/>
      <c r="AV5" s="1970" t="s">
        <v>430</v>
      </c>
      <c r="AW5" s="2257"/>
      <c r="AX5" s="2257"/>
      <c r="AY5" s="2979" t="s">
        <v>124</v>
      </c>
      <c r="AZ5" s="2980">
        <f t="shared" ref="AZ5:BT5" si="1">SUM(AZ13:AZ656)</f>
        <v>16578.28</v>
      </c>
      <c r="BA5" s="2980">
        <f t="shared" si="1"/>
        <v>16578.28</v>
      </c>
      <c r="BB5" s="2980">
        <f t="shared" si="1"/>
        <v>10513.99</v>
      </c>
      <c r="BC5" s="2980">
        <f t="shared" si="1"/>
        <v>6064.29</v>
      </c>
      <c r="BD5" s="2980">
        <f t="shared" si="1"/>
        <v>0</v>
      </c>
      <c r="BE5" s="2980">
        <f t="shared" si="1"/>
        <v>0</v>
      </c>
      <c r="BF5" s="2980">
        <f t="shared" si="1"/>
        <v>0</v>
      </c>
      <c r="BG5" s="2980">
        <f t="shared" si="1"/>
        <v>0</v>
      </c>
      <c r="BH5" s="2980">
        <f t="shared" si="1"/>
        <v>0</v>
      </c>
      <c r="BI5" s="2980">
        <f t="shared" si="1"/>
        <v>0</v>
      </c>
      <c r="BJ5" s="2980">
        <f t="shared" si="1"/>
        <v>0</v>
      </c>
      <c r="BK5" s="2980">
        <f t="shared" si="1"/>
        <v>0</v>
      </c>
      <c r="BL5" s="2980">
        <f t="shared" si="1"/>
        <v>0</v>
      </c>
      <c r="BM5" s="2980">
        <f t="shared" si="1"/>
        <v>0</v>
      </c>
      <c r="BN5" s="2980">
        <f t="shared" si="1"/>
        <v>0</v>
      </c>
      <c r="BO5" s="2980">
        <f t="shared" si="1"/>
        <v>0</v>
      </c>
      <c r="BP5" s="2980">
        <f t="shared" si="1"/>
        <v>0</v>
      </c>
      <c r="BQ5" s="2980">
        <f t="shared" si="1"/>
        <v>0</v>
      </c>
      <c r="BR5" s="2980">
        <f t="shared" si="1"/>
        <v>0</v>
      </c>
      <c r="BS5" s="2980">
        <f t="shared" si="1"/>
        <v>0</v>
      </c>
      <c r="BT5" s="2989">
        <f t="shared" si="1"/>
        <v>0</v>
      </c>
    </row>
    <row r="6" spans="1:72" s="2907" customFormat="1" ht="12.75">
      <c r="A6" s="1970" t="s">
        <v>431</v>
      </c>
      <c r="B6" s="2921"/>
      <c r="C6" s="2921"/>
      <c r="D6" s="2922"/>
      <c r="E6" s="2920">
        <f>H6+AC6+AT6</f>
        <v>5788.26</v>
      </c>
      <c r="F6" s="2920" t="s">
        <v>124</v>
      </c>
      <c r="G6" s="2920" t="s">
        <v>124</v>
      </c>
      <c r="H6" s="2923">
        <f>SUMIF(I$12:AB$12,"总值",I6:AB6)</f>
        <v>5788.26</v>
      </c>
      <c r="I6" s="2920">
        <f t="shared" ref="I6:AB6" si="2">ROUND($A$3*I5/$B$3,2)</f>
        <v>3670.93</v>
      </c>
      <c r="J6" s="2920">
        <f t="shared" si="2"/>
        <v>0</v>
      </c>
      <c r="K6" s="2920">
        <f t="shared" si="2"/>
        <v>2117.33</v>
      </c>
      <c r="L6" s="2920">
        <f t="shared" si="2"/>
        <v>0</v>
      </c>
      <c r="M6" s="2920">
        <f t="shared" si="2"/>
        <v>0</v>
      </c>
      <c r="N6" s="2920">
        <f t="shared" si="2"/>
        <v>0</v>
      </c>
      <c r="O6" s="2920">
        <f t="shared" si="2"/>
        <v>0</v>
      </c>
      <c r="P6" s="2920">
        <f t="shared" si="2"/>
        <v>0</v>
      </c>
      <c r="Q6" s="2920">
        <f t="shared" si="2"/>
        <v>0</v>
      </c>
      <c r="R6" s="2920">
        <f t="shared" si="2"/>
        <v>0</v>
      </c>
      <c r="S6" s="2920">
        <f t="shared" si="2"/>
        <v>0</v>
      </c>
      <c r="T6" s="2920">
        <f t="shared" si="2"/>
        <v>0</v>
      </c>
      <c r="U6" s="2920">
        <f t="shared" si="2"/>
        <v>0</v>
      </c>
      <c r="V6" s="2920">
        <f t="shared" si="2"/>
        <v>0</v>
      </c>
      <c r="W6" s="2920">
        <f t="shared" si="2"/>
        <v>0</v>
      </c>
      <c r="X6" s="2920">
        <f t="shared" si="2"/>
        <v>0</v>
      </c>
      <c r="Y6" s="2920">
        <f t="shared" si="2"/>
        <v>0</v>
      </c>
      <c r="Z6" s="2920">
        <f t="shared" si="2"/>
        <v>0</v>
      </c>
      <c r="AA6" s="2920">
        <f t="shared" si="2"/>
        <v>0</v>
      </c>
      <c r="AB6" s="2920">
        <f t="shared" si="2"/>
        <v>0</v>
      </c>
      <c r="AC6" s="2923">
        <f>SUMIF(AD$12:AS$12,"总值",AD6:AS6)</f>
        <v>0</v>
      </c>
      <c r="AD6" s="2920">
        <f t="shared" ref="AD6:AS6" si="3">ROUND($A$3*AD5/$B$3,2)</f>
        <v>0</v>
      </c>
      <c r="AE6" s="2920">
        <f t="shared" si="3"/>
        <v>0</v>
      </c>
      <c r="AF6" s="2920">
        <f t="shared" si="3"/>
        <v>0</v>
      </c>
      <c r="AG6" s="2920">
        <f t="shared" si="3"/>
        <v>0</v>
      </c>
      <c r="AH6" s="2920">
        <f t="shared" si="3"/>
        <v>0</v>
      </c>
      <c r="AI6" s="2920">
        <f t="shared" si="3"/>
        <v>0</v>
      </c>
      <c r="AJ6" s="2920">
        <f t="shared" si="3"/>
        <v>0</v>
      </c>
      <c r="AK6" s="2920">
        <f t="shared" si="3"/>
        <v>0</v>
      </c>
      <c r="AL6" s="2920">
        <f t="shared" si="3"/>
        <v>0</v>
      </c>
      <c r="AM6" s="2920">
        <f t="shared" si="3"/>
        <v>0</v>
      </c>
      <c r="AN6" s="2920">
        <f t="shared" si="3"/>
        <v>0</v>
      </c>
      <c r="AO6" s="2920">
        <f t="shared" si="3"/>
        <v>0</v>
      </c>
      <c r="AP6" s="2920">
        <f t="shared" si="3"/>
        <v>0</v>
      </c>
      <c r="AQ6" s="2920">
        <f t="shared" si="3"/>
        <v>0</v>
      </c>
      <c r="AR6" s="2920">
        <f t="shared" si="3"/>
        <v>0</v>
      </c>
      <c r="AS6" s="2920">
        <f t="shared" si="3"/>
        <v>0</v>
      </c>
      <c r="AT6" s="2923">
        <f>IF(C3="是",ROUND($A$3*AT5/$B$3,2),0)</f>
        <v>0</v>
      </c>
      <c r="AU6" s="2965"/>
      <c r="AV6" s="1970" t="s">
        <v>431</v>
      </c>
      <c r="AW6" s="2921"/>
      <c r="AX6" s="2921"/>
      <c r="AY6" s="2981">
        <f>IF(AY3&gt;0,AY3,ROUND($A$3*AZ5/$B$3,2))</f>
        <v>5788.26</v>
      </c>
      <c r="AZ6" s="2920" t="s">
        <v>124</v>
      </c>
      <c r="BA6" s="2920">
        <f>ROUND($AY$6*BA5/$AZ$5,2)</f>
        <v>5788.26</v>
      </c>
      <c r="BB6" s="2920">
        <f>ROUND($AY$6*BB5/$AZ$5,2)</f>
        <v>3670.93</v>
      </c>
      <c r="BC6" s="2920">
        <f t="shared" ref="BC6:BH6" si="4">ROUND($AY$6*BC5/$AZ$5,2)</f>
        <v>2117.33</v>
      </c>
      <c r="BD6" s="2920">
        <f t="shared" si="4"/>
        <v>0</v>
      </c>
      <c r="BE6" s="2920">
        <f t="shared" si="4"/>
        <v>0</v>
      </c>
      <c r="BF6" s="2920">
        <f t="shared" si="4"/>
        <v>0</v>
      </c>
      <c r="BG6" s="2920">
        <f t="shared" si="4"/>
        <v>0</v>
      </c>
      <c r="BH6" s="2920">
        <f t="shared" si="4"/>
        <v>0</v>
      </c>
      <c r="BI6" s="2920">
        <f t="shared" ref="BI6:BT6" si="5">ROUND($AY$6*BI5/$AZ$5,2)</f>
        <v>0</v>
      </c>
      <c r="BJ6" s="2920">
        <f t="shared" si="5"/>
        <v>0</v>
      </c>
      <c r="BK6" s="2920">
        <f t="shared" si="5"/>
        <v>0</v>
      </c>
      <c r="BL6" s="2920">
        <f t="shared" si="5"/>
        <v>0</v>
      </c>
      <c r="BM6" s="2920">
        <f t="shared" si="5"/>
        <v>0</v>
      </c>
      <c r="BN6" s="2920">
        <f t="shared" si="5"/>
        <v>0</v>
      </c>
      <c r="BO6" s="2920">
        <f t="shared" si="5"/>
        <v>0</v>
      </c>
      <c r="BP6" s="2920">
        <f t="shared" si="5"/>
        <v>0</v>
      </c>
      <c r="BQ6" s="2920">
        <f t="shared" si="5"/>
        <v>0</v>
      </c>
      <c r="BR6" s="2920">
        <f t="shared" si="5"/>
        <v>0</v>
      </c>
      <c r="BS6" s="2920">
        <f t="shared" si="5"/>
        <v>0</v>
      </c>
      <c r="BT6" s="2990">
        <f t="shared" si="5"/>
        <v>0</v>
      </c>
    </row>
    <row r="7" spans="1:72" s="2905" customFormat="1" ht="24.75">
      <c r="A7" s="2924" t="s">
        <v>432</v>
      </c>
      <c r="B7" s="2924" t="s">
        <v>433</v>
      </c>
      <c r="C7" s="2924" t="s">
        <v>406</v>
      </c>
      <c r="D7" s="2924" t="s">
        <v>434</v>
      </c>
      <c r="E7" s="2924" t="s">
        <v>431</v>
      </c>
      <c r="F7" s="2924" t="s">
        <v>435</v>
      </c>
      <c r="G7" s="2354" t="s">
        <v>436</v>
      </c>
      <c r="H7" s="2925"/>
      <c r="I7" s="2925"/>
      <c r="J7" s="2925"/>
      <c r="K7" s="2925"/>
      <c r="L7" s="2925"/>
      <c r="M7" s="2925"/>
      <c r="N7" s="2925"/>
      <c r="O7" s="2925"/>
      <c r="P7" s="2925"/>
      <c r="Q7" s="2925"/>
      <c r="R7" s="2925"/>
      <c r="S7" s="2925"/>
      <c r="T7" s="2925"/>
      <c r="U7" s="2925"/>
      <c r="V7" s="2925"/>
      <c r="W7" s="2925"/>
      <c r="X7" s="2925"/>
      <c r="Y7" s="2925"/>
      <c r="Z7" s="2925"/>
      <c r="AA7" s="2925"/>
      <c r="AB7" s="2925"/>
      <c r="AC7" s="2925"/>
      <c r="AD7" s="2925"/>
      <c r="AE7" s="2925"/>
      <c r="AF7" s="2925"/>
      <c r="AG7" s="2925"/>
      <c r="AH7" s="2925"/>
      <c r="AI7" s="2925"/>
      <c r="AJ7" s="2925"/>
      <c r="AK7" s="2925"/>
      <c r="AL7" s="2925"/>
      <c r="AM7" s="2925"/>
      <c r="AN7" s="2925"/>
      <c r="AO7" s="2925"/>
      <c r="AP7" s="2925"/>
      <c r="AQ7" s="2925"/>
      <c r="AR7" s="2925"/>
      <c r="AS7" s="2925"/>
      <c r="AT7" s="2386"/>
      <c r="AU7" s="2925" t="s">
        <v>437</v>
      </c>
      <c r="AV7" s="2966" t="s">
        <v>432</v>
      </c>
      <c r="AW7" s="2374" t="s">
        <v>433</v>
      </c>
      <c r="AX7" s="2966" t="s">
        <v>406</v>
      </c>
      <c r="AY7" s="2257" t="s">
        <v>438</v>
      </c>
      <c r="AZ7" s="2957"/>
      <c r="BA7" s="2925"/>
      <c r="BB7" s="2925"/>
      <c r="BC7" s="2925"/>
      <c r="BD7" s="2925"/>
      <c r="BE7" s="2925"/>
      <c r="BF7" s="2925"/>
      <c r="BG7" s="2925"/>
      <c r="BH7" s="2925"/>
      <c r="BI7" s="2925"/>
      <c r="BJ7" s="2925"/>
      <c r="BK7" s="2925"/>
      <c r="BL7" s="2925"/>
      <c r="BM7" s="2925"/>
      <c r="BN7" s="2925"/>
      <c r="BO7" s="2925"/>
      <c r="BP7" s="2925"/>
      <c r="BQ7" s="2925"/>
      <c r="BR7" s="2925"/>
      <c r="BS7" s="2925"/>
      <c r="BT7" s="2991"/>
    </row>
    <row r="8" spans="1:72" s="2621" customFormat="1" ht="24">
      <c r="A8" s="2926"/>
      <c r="B8" s="2926"/>
      <c r="C8" s="2926"/>
      <c r="D8" s="2926"/>
      <c r="E8" s="2926"/>
      <c r="F8" s="2926"/>
      <c r="G8" s="2927" t="s">
        <v>439</v>
      </c>
      <c r="H8" s="2928" t="s">
        <v>440</v>
      </c>
      <c r="I8" s="2946"/>
      <c r="J8" s="295"/>
      <c r="K8" s="295"/>
      <c r="L8" s="295"/>
      <c r="M8" s="295"/>
      <c r="N8" s="295"/>
      <c r="O8" s="295"/>
      <c r="P8" s="295"/>
      <c r="Q8" s="295"/>
      <c r="R8" s="295"/>
      <c r="S8" s="295"/>
      <c r="T8" s="295"/>
      <c r="U8" s="295"/>
      <c r="V8" s="2953"/>
      <c r="W8" s="295"/>
      <c r="X8" s="295"/>
      <c r="Y8" s="295"/>
      <c r="Z8" s="295"/>
      <c r="AA8" s="2953"/>
      <c r="AB8" s="2955"/>
      <c r="AC8" s="2176" t="s">
        <v>441</v>
      </c>
      <c r="AD8" s="2956"/>
      <c r="AE8" s="2957"/>
      <c r="AF8" s="295"/>
      <c r="AG8" s="295"/>
      <c r="AH8" s="295"/>
      <c r="AI8" s="295"/>
      <c r="AJ8" s="295"/>
      <c r="AK8" s="295"/>
      <c r="AL8" s="295"/>
      <c r="AM8" s="295"/>
      <c r="AN8" s="295"/>
      <c r="AO8" s="295"/>
      <c r="AP8" s="295"/>
      <c r="AQ8" s="295"/>
      <c r="AR8" s="295"/>
      <c r="AS8" s="295"/>
      <c r="AT8" s="1810" t="s">
        <v>442</v>
      </c>
      <c r="AU8" s="2926" t="s">
        <v>443</v>
      </c>
      <c r="AV8" s="1810"/>
      <c r="AW8" s="2334"/>
      <c r="AX8" s="1810"/>
      <c r="AY8" s="2374" t="s">
        <v>431</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621" customFormat="1" ht="12.75">
      <c r="A9" s="2926"/>
      <c r="B9" s="2926"/>
      <c r="C9" s="2926"/>
      <c r="D9" s="2926"/>
      <c r="E9" s="2926"/>
      <c r="F9" s="2926"/>
      <c r="G9" s="1810"/>
      <c r="H9" s="2929" t="s">
        <v>444</v>
      </c>
      <c r="I9" s="2947" t="s">
        <v>445</v>
      </c>
      <c r="J9" s="2176"/>
      <c r="K9" s="2947" t="s">
        <v>445</v>
      </c>
      <c r="L9" s="2176"/>
      <c r="M9" s="2947"/>
      <c r="N9" s="2176"/>
      <c r="O9" s="2947"/>
      <c r="P9" s="2176"/>
      <c r="Q9" s="2947"/>
      <c r="R9" s="2176"/>
      <c r="S9" s="2947"/>
      <c r="T9" s="2176"/>
      <c r="U9" s="2947"/>
      <c r="V9" s="2176"/>
      <c r="W9" s="2947"/>
      <c r="X9" s="2954"/>
      <c r="Y9" s="2947"/>
      <c r="Z9" s="2176"/>
      <c r="AA9" s="2947"/>
      <c r="AB9" s="2176"/>
      <c r="AC9" s="2927" t="s">
        <v>444</v>
      </c>
      <c r="AD9" s="1970" t="s">
        <v>446</v>
      </c>
      <c r="AE9" s="1822"/>
      <c r="AF9" s="1970" t="s">
        <v>447</v>
      </c>
      <c r="AG9" s="1822"/>
      <c r="AH9" s="1970" t="s">
        <v>446</v>
      </c>
      <c r="AI9" s="1822"/>
      <c r="AJ9" s="1970" t="s">
        <v>447</v>
      </c>
      <c r="AK9" s="1822"/>
      <c r="AL9" s="1970" t="s">
        <v>446</v>
      </c>
      <c r="AM9" s="1822"/>
      <c r="AN9" s="1970" t="s">
        <v>447</v>
      </c>
      <c r="AO9" s="1822"/>
      <c r="AP9" s="1970" t="s">
        <v>446</v>
      </c>
      <c r="AQ9" s="1822"/>
      <c r="AR9" s="1970" t="s">
        <v>447</v>
      </c>
      <c r="AS9" s="2967"/>
      <c r="AT9" s="2926"/>
      <c r="AU9" s="2926" t="s">
        <v>448</v>
      </c>
      <c r="AV9" s="1810"/>
      <c r="AW9" s="2334"/>
      <c r="AX9" s="1810"/>
      <c r="AY9" s="2930"/>
      <c r="AZ9" s="2930" t="s">
        <v>439</v>
      </c>
      <c r="BA9" s="2982" t="s">
        <v>449</v>
      </c>
      <c r="BB9" s="2983"/>
      <c r="BC9" s="1868"/>
      <c r="BD9" s="1868"/>
      <c r="BE9" s="1868"/>
      <c r="BF9" s="1868"/>
      <c r="BG9" s="1868"/>
      <c r="BH9" s="1868"/>
      <c r="BI9" s="1868"/>
      <c r="BJ9" s="1868"/>
      <c r="BK9" s="2988"/>
      <c r="BL9" s="1970" t="s">
        <v>450</v>
      </c>
      <c r="BM9" s="295"/>
      <c r="BN9" s="2946"/>
      <c r="BO9" s="295"/>
      <c r="BP9" s="295"/>
      <c r="BQ9" s="295"/>
      <c r="BR9" s="295"/>
      <c r="BS9" s="295"/>
      <c r="BT9" s="1856"/>
    </row>
    <row r="10" spans="1:72" s="2621" customFormat="1" ht="12.75">
      <c r="A10" s="2926"/>
      <c r="B10" s="2926"/>
      <c r="C10" s="2926"/>
      <c r="D10" s="2926"/>
      <c r="E10" s="2926"/>
      <c r="F10" s="2926"/>
      <c r="G10" s="1810"/>
      <c r="H10" s="2930"/>
      <c r="I10" s="2947" t="s">
        <v>451</v>
      </c>
      <c r="J10" s="2176"/>
      <c r="K10" s="2948" t="s">
        <v>452</v>
      </c>
      <c r="L10" s="2176"/>
      <c r="M10" s="2948"/>
      <c r="N10" s="2176"/>
      <c r="O10" s="2948"/>
      <c r="P10" s="2176"/>
      <c r="Q10" s="2948"/>
      <c r="R10" s="2176"/>
      <c r="S10" s="2948"/>
      <c r="T10" s="2176"/>
      <c r="U10" s="2948"/>
      <c r="V10" s="2176"/>
      <c r="W10" s="2948"/>
      <c r="X10" s="2176"/>
      <c r="Y10" s="2948"/>
      <c r="Z10" s="2176"/>
      <c r="AA10" s="2948"/>
      <c r="AB10" s="2176"/>
      <c r="AC10" s="1810"/>
      <c r="AD10" s="1970" t="s">
        <v>453</v>
      </c>
      <c r="AE10" s="2958"/>
      <c r="AF10" s="1970" t="s">
        <v>453</v>
      </c>
      <c r="AG10" s="2958"/>
      <c r="AH10" s="1970" t="s">
        <v>454</v>
      </c>
      <c r="AI10" s="2958"/>
      <c r="AJ10" s="1970" t="s">
        <v>454</v>
      </c>
      <c r="AK10" s="2958"/>
      <c r="AL10" s="1970" t="s">
        <v>455</v>
      </c>
      <c r="AM10" s="1822"/>
      <c r="AN10" s="1970" t="s">
        <v>455</v>
      </c>
      <c r="AO10" s="1822"/>
      <c r="AP10" s="1970" t="s">
        <v>456</v>
      </c>
      <c r="AQ10" s="1822"/>
      <c r="AR10" s="1970" t="s">
        <v>456</v>
      </c>
      <c r="AS10" s="1822"/>
      <c r="AT10" s="2926"/>
      <c r="AU10" s="2926"/>
      <c r="AV10" s="1810"/>
      <c r="AW10" s="2334"/>
      <c r="AX10" s="1810"/>
      <c r="AY10" s="2930"/>
      <c r="AZ10" s="2930"/>
      <c r="BA10" s="2931" t="s">
        <v>444</v>
      </c>
      <c r="BB10" s="2984" t="str">
        <f>I9</f>
        <v>地下</v>
      </c>
      <c r="BC10" s="1880" t="str">
        <f>K9</f>
        <v>地下</v>
      </c>
      <c r="BD10" s="1880">
        <f>M9</f>
        <v>0</v>
      </c>
      <c r="BE10" s="1880">
        <f>O9</f>
        <v>0</v>
      </c>
      <c r="BF10" s="1880">
        <f>Q9</f>
        <v>0</v>
      </c>
      <c r="BG10" s="1880">
        <f>S9</f>
        <v>0</v>
      </c>
      <c r="BH10" s="1880">
        <f>U9</f>
        <v>0</v>
      </c>
      <c r="BI10" s="1880">
        <f>W9</f>
        <v>0</v>
      </c>
      <c r="BJ10" s="1880">
        <f>Y9</f>
        <v>0</v>
      </c>
      <c r="BK10" s="1880">
        <f>AA9</f>
        <v>0</v>
      </c>
      <c r="BL10" s="1876" t="s">
        <v>444</v>
      </c>
      <c r="BM10" s="294" t="str">
        <f>AD9</f>
        <v>地上</v>
      </c>
      <c r="BN10" s="1880" t="str">
        <f>AF9</f>
        <v>地下</v>
      </c>
      <c r="BO10" s="294" t="str">
        <f>AH9</f>
        <v>地上</v>
      </c>
      <c r="BP10" s="1880" t="str">
        <f>AJ9</f>
        <v>地下</v>
      </c>
      <c r="BQ10" s="294" t="str">
        <f>AL9</f>
        <v>地上</v>
      </c>
      <c r="BR10" s="1880" t="str">
        <f>AN9</f>
        <v>地下</v>
      </c>
      <c r="BS10" s="294" t="str">
        <f>AP9</f>
        <v>地上</v>
      </c>
      <c r="BT10" s="2992" t="str">
        <f>AR9</f>
        <v>地下</v>
      </c>
    </row>
    <row r="11" spans="1:72" s="2621" customFormat="1" ht="12.75">
      <c r="A11" s="2926"/>
      <c r="B11" s="2926"/>
      <c r="C11" s="2926"/>
      <c r="D11" s="2926"/>
      <c r="E11" s="2926"/>
      <c r="F11" s="2926"/>
      <c r="G11" s="1810"/>
      <c r="H11" s="2931"/>
      <c r="I11" s="2949"/>
      <c r="J11" s="2950"/>
      <c r="K11" s="2949"/>
      <c r="L11" s="2950"/>
      <c r="M11" s="2949"/>
      <c r="N11" s="2950"/>
      <c r="O11" s="2949"/>
      <c r="P11" s="2950"/>
      <c r="Q11" s="2949"/>
      <c r="R11" s="2950"/>
      <c r="S11" s="2949"/>
      <c r="T11" s="2950"/>
      <c r="U11" s="2949"/>
      <c r="V11" s="2950"/>
      <c r="W11" s="2949"/>
      <c r="X11" s="2950"/>
      <c r="Y11" s="2949"/>
      <c r="Z11" s="2950"/>
      <c r="AA11" s="2949"/>
      <c r="AB11" s="2950"/>
      <c r="AC11" s="1810"/>
      <c r="AD11" s="2959" t="s">
        <v>457</v>
      </c>
      <c r="AE11" s="352"/>
      <c r="AF11" s="2959" t="s">
        <v>457</v>
      </c>
      <c r="AG11" s="352"/>
      <c r="AH11" s="2959" t="s">
        <v>458</v>
      </c>
      <c r="AI11" s="2963"/>
      <c r="AJ11" s="2959" t="s">
        <v>458</v>
      </c>
      <c r="AK11" s="352"/>
      <c r="AL11" s="294"/>
      <c r="AM11" s="352"/>
      <c r="AN11" s="294"/>
      <c r="AO11" s="352"/>
      <c r="AP11" s="294"/>
      <c r="AQ11" s="352"/>
      <c r="AR11" s="294"/>
      <c r="AS11" s="352"/>
      <c r="AT11" s="2334"/>
      <c r="AU11" s="2926"/>
      <c r="AV11" s="1810"/>
      <c r="AW11" s="2334"/>
      <c r="AX11" s="1810"/>
      <c r="AY11" s="2930"/>
      <c r="AZ11" s="2930"/>
      <c r="BA11" s="2930"/>
      <c r="BB11" s="2955" t="str">
        <f>I10</f>
        <v>商业</v>
      </c>
      <c r="BC11" s="2955" t="str">
        <f>K10</f>
        <v>车库—商业</v>
      </c>
      <c r="BD11" s="2955">
        <f>M10</f>
        <v>0</v>
      </c>
      <c r="BE11" s="2955">
        <f>O10</f>
        <v>0</v>
      </c>
      <c r="BF11" s="2955">
        <f>Q10</f>
        <v>0</v>
      </c>
      <c r="BG11" s="2955">
        <f>S10</f>
        <v>0</v>
      </c>
      <c r="BH11" s="2955">
        <f>U10</f>
        <v>0</v>
      </c>
      <c r="BI11" s="2955">
        <f>W10</f>
        <v>0</v>
      </c>
      <c r="BJ11" s="2955">
        <f>Y10</f>
        <v>0</v>
      </c>
      <c r="BK11" s="2955">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93" t="str">
        <f>AR10</f>
        <v>未注明</v>
      </c>
    </row>
    <row r="12" spans="1:72" s="2905" customFormat="1" ht="12.75">
      <c r="A12" s="2932"/>
      <c r="B12" s="2932"/>
      <c r="C12" s="2932"/>
      <c r="D12" s="2932"/>
      <c r="E12" s="2932"/>
      <c r="F12" s="2932"/>
      <c r="G12" s="638"/>
      <c r="H12" s="2933"/>
      <c r="I12" s="2386" t="s">
        <v>459</v>
      </c>
      <c r="J12" s="296" t="s">
        <v>460</v>
      </c>
      <c r="K12" s="296" t="s">
        <v>459</v>
      </c>
      <c r="L12" s="296" t="s">
        <v>460</v>
      </c>
      <c r="M12" s="296" t="s">
        <v>459</v>
      </c>
      <c r="N12" s="296" t="s">
        <v>460</v>
      </c>
      <c r="O12" s="296" t="s">
        <v>459</v>
      </c>
      <c r="P12" s="296" t="s">
        <v>460</v>
      </c>
      <c r="Q12" s="296" t="s">
        <v>459</v>
      </c>
      <c r="R12" s="296" t="s">
        <v>460</v>
      </c>
      <c r="S12" s="296" t="s">
        <v>459</v>
      </c>
      <c r="T12" s="296" t="s">
        <v>460</v>
      </c>
      <c r="U12" s="296" t="s">
        <v>459</v>
      </c>
      <c r="V12" s="2256" t="s">
        <v>460</v>
      </c>
      <c r="W12" s="296" t="s">
        <v>459</v>
      </c>
      <c r="X12" s="296" t="s">
        <v>460</v>
      </c>
      <c r="Y12" s="296" t="s">
        <v>459</v>
      </c>
      <c r="Z12" s="296" t="s">
        <v>460</v>
      </c>
      <c r="AA12" s="296" t="s">
        <v>459</v>
      </c>
      <c r="AB12" s="296" t="s">
        <v>460</v>
      </c>
      <c r="AC12" s="2960"/>
      <c r="AD12" s="2386" t="s">
        <v>459</v>
      </c>
      <c r="AE12" s="296" t="s">
        <v>460</v>
      </c>
      <c r="AF12" s="296" t="s">
        <v>459</v>
      </c>
      <c r="AG12" s="296" t="s">
        <v>460</v>
      </c>
      <c r="AH12" s="296" t="s">
        <v>459</v>
      </c>
      <c r="AI12" s="296" t="s">
        <v>460</v>
      </c>
      <c r="AJ12" s="296" t="s">
        <v>459</v>
      </c>
      <c r="AK12" s="296" t="s">
        <v>460</v>
      </c>
      <c r="AL12" s="296" t="s">
        <v>459</v>
      </c>
      <c r="AM12" s="296" t="s">
        <v>460</v>
      </c>
      <c r="AN12" s="296" t="s">
        <v>459</v>
      </c>
      <c r="AO12" s="296" t="s">
        <v>460</v>
      </c>
      <c r="AP12" s="296" t="s">
        <v>459</v>
      </c>
      <c r="AQ12" s="296" t="s">
        <v>460</v>
      </c>
      <c r="AR12" s="638" t="s">
        <v>459</v>
      </c>
      <c r="AS12" s="2932" t="s">
        <v>460</v>
      </c>
      <c r="AT12" s="2968"/>
      <c r="AU12" s="2932"/>
      <c r="AV12" s="2969"/>
      <c r="AW12" s="2374"/>
      <c r="AX12" s="2969"/>
      <c r="AY12" s="2985"/>
      <c r="AZ12" s="2930"/>
      <c r="BA12" s="2931"/>
      <c r="BB12" s="293">
        <f>I11</f>
        <v>0</v>
      </c>
      <c r="BC12" s="2986">
        <f>K11</f>
        <v>0</v>
      </c>
      <c r="BD12" s="2986">
        <f>M11</f>
        <v>0</v>
      </c>
      <c r="BE12" s="2955">
        <f>O11</f>
        <v>0</v>
      </c>
      <c r="BF12" s="2955">
        <f>Q11</f>
        <v>0</v>
      </c>
      <c r="BG12" s="2955">
        <f>S11</f>
        <v>0</v>
      </c>
      <c r="BH12" s="2955">
        <f>U11</f>
        <v>0</v>
      </c>
      <c r="BI12" s="2955">
        <f>W11</f>
        <v>0</v>
      </c>
      <c r="BJ12" s="2955">
        <f>Y11</f>
        <v>0</v>
      </c>
      <c r="BK12" s="2955">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93">
        <f>AR11</f>
        <v>0</v>
      </c>
    </row>
    <row r="13" spans="1:72" s="2905" customFormat="1" ht="12.75">
      <c r="A13" s="2934"/>
      <c r="B13" s="2934"/>
      <c r="C13" s="2934"/>
      <c r="D13" s="2935" t="s">
        <v>461</v>
      </c>
      <c r="E13" s="2920">
        <f>IF($C$3="是",ROUND($A$3*G13/$B$3,2),ROUND($A$3*(G13-AT13)/$B$3,2))</f>
        <v>3826.39</v>
      </c>
      <c r="F13" s="2936"/>
      <c r="G13" s="2937">
        <f>H13+AC13+AT13</f>
        <v>10959.25</v>
      </c>
      <c r="H13" s="2923">
        <f>SUMIF(I$12:AB$12,"总值",I13:AB13)</f>
        <v>10959.25</v>
      </c>
      <c r="I13" s="2951">
        <f>16578.28-I14-K13</f>
        <v>4894.96</v>
      </c>
      <c r="J13" s="2951"/>
      <c r="K13" s="2951">
        <f>4618.68+1445.61</f>
        <v>6064.29</v>
      </c>
      <c r="L13" s="2951"/>
      <c r="M13" s="2951"/>
      <c r="N13" s="2951"/>
      <c r="O13" s="2951"/>
      <c r="P13" s="2951"/>
      <c r="Q13" s="2951"/>
      <c r="R13" s="2951"/>
      <c r="S13" s="2951"/>
      <c r="T13" s="2951"/>
      <c r="U13" s="2951"/>
      <c r="V13" s="2951"/>
      <c r="W13" s="2951"/>
      <c r="X13" s="2951"/>
      <c r="Y13" s="2951"/>
      <c r="Z13" s="2951"/>
      <c r="AA13" s="2951"/>
      <c r="AB13" s="2951"/>
      <c r="AC13" s="2920">
        <f>SUMIF(AD$12:AS$12,"总值",AD13:AS13)</f>
        <v>0</v>
      </c>
      <c r="AD13" s="2961"/>
      <c r="AE13" s="2961"/>
      <c r="AF13" s="2961"/>
      <c r="AG13" s="2961"/>
      <c r="AH13" s="2961"/>
      <c r="AI13" s="2961"/>
      <c r="AJ13" s="2961"/>
      <c r="AK13" s="2961"/>
      <c r="AL13" s="2961"/>
      <c r="AM13" s="2961"/>
      <c r="AN13" s="2961"/>
      <c r="AO13" s="2961"/>
      <c r="AP13" s="2961"/>
      <c r="AQ13" s="2961"/>
      <c r="AR13" s="2961"/>
      <c r="AS13" s="2961"/>
      <c r="AT13" s="2970"/>
      <c r="AU13" s="2971"/>
      <c r="AV13" s="296">
        <f t="shared" ref="AV13:AX17" si="6">A13</f>
        <v>0</v>
      </c>
      <c r="AW13" s="296">
        <f t="shared" si="6"/>
        <v>0</v>
      </c>
      <c r="AX13" s="296">
        <f t="shared" si="6"/>
        <v>0</v>
      </c>
      <c r="AY13" s="2386">
        <f>ROUND($AY$6*AZ13/$AZ$5,2)</f>
        <v>3826.39</v>
      </c>
      <c r="AZ13" s="2920">
        <f>BA13+BL13</f>
        <v>10959.25</v>
      </c>
      <c r="BA13" s="2920">
        <f>SUM(BB13:BK13)</f>
        <v>10959.25</v>
      </c>
      <c r="BB13" s="2920">
        <f>IF($D13="是",I13-J13,0)</f>
        <v>4894.96</v>
      </c>
      <c r="BC13" s="2920">
        <f>IF($D13="是",K13-L13,0)</f>
        <v>6064.29</v>
      </c>
      <c r="BD13" s="2920">
        <f>IF($D13="是",M13-N13,0)</f>
        <v>0</v>
      </c>
      <c r="BE13" s="2920">
        <f>IF($D13="是",O13-P13,0)</f>
        <v>0</v>
      </c>
      <c r="BF13" s="2920">
        <f>IF($D13="是",Q13-R13,0)</f>
        <v>0</v>
      </c>
      <c r="BG13" s="2920">
        <f>IF($D13="是",S13-T13,0)</f>
        <v>0</v>
      </c>
      <c r="BH13" s="2920">
        <f>IF($D13="是",U13-V13,0)</f>
        <v>0</v>
      </c>
      <c r="BI13" s="2920">
        <f>IF($D13="是",W13-X13,0)</f>
        <v>0</v>
      </c>
      <c r="BJ13" s="2920">
        <f>IF($D13="是",Y13-Z13,0)</f>
        <v>0</v>
      </c>
      <c r="BK13" s="2920">
        <f>IF($D13="是",AA13-AB13,0)</f>
        <v>0</v>
      </c>
      <c r="BL13" s="2920">
        <f>SUM(BM13:BT13)</f>
        <v>0</v>
      </c>
      <c r="BM13" s="2920">
        <f>IF($D13="是",AD13-AE13,0)</f>
        <v>0</v>
      </c>
      <c r="BN13" s="2920">
        <f>IF($D13="是",AF13-AG13,0)</f>
        <v>0</v>
      </c>
      <c r="BO13" s="2920">
        <f>IF($D13="是",AH13-AI13,0)</f>
        <v>0</v>
      </c>
      <c r="BP13" s="2920">
        <f>IF($D13="是",AJ13-AK13,0)</f>
        <v>0</v>
      </c>
      <c r="BQ13" s="2920">
        <f>IF($D13="是",AL13-AM13,0)</f>
        <v>0</v>
      </c>
      <c r="BR13" s="2920">
        <f>IF($D13="是",AN13-AO13,0)</f>
        <v>0</v>
      </c>
      <c r="BS13" s="2920">
        <f>IF($D13="是",AP13-AQ13,0)</f>
        <v>0</v>
      </c>
      <c r="BT13" s="2990">
        <f>IF($D13="是",AR13-AS13,0)</f>
        <v>0</v>
      </c>
    </row>
    <row r="14" spans="1:72" s="2905" customFormat="1" ht="12.75">
      <c r="A14" s="2934"/>
      <c r="B14" s="2934"/>
      <c r="C14" s="2938"/>
      <c r="D14" s="2935" t="s">
        <v>461</v>
      </c>
      <c r="E14" s="2920">
        <f>IF($C$3="是",ROUND($A$3*G14/$B$3,2),ROUND($A$3*(G14-AT14)/$B$3,2))</f>
        <v>1961.87</v>
      </c>
      <c r="F14" s="2936"/>
      <c r="G14" s="2937">
        <f>H14+AC14+AT14</f>
        <v>5619.03</v>
      </c>
      <c r="H14" s="2923">
        <f>SUMIF(I$12:AB$12,"总值",I14:AB14)</f>
        <v>5619.03</v>
      </c>
      <c r="I14" s="2951">
        <v>5619.03</v>
      </c>
      <c r="J14" s="2951"/>
      <c r="K14" s="2951"/>
      <c r="L14" s="2951"/>
      <c r="M14" s="2951"/>
      <c r="N14" s="2951"/>
      <c r="O14" s="2951"/>
      <c r="P14" s="2951"/>
      <c r="Q14" s="2951"/>
      <c r="R14" s="2951"/>
      <c r="S14" s="2951"/>
      <c r="T14" s="2951"/>
      <c r="U14" s="2951"/>
      <c r="V14" s="2951"/>
      <c r="W14" s="2951"/>
      <c r="X14" s="2951"/>
      <c r="Y14" s="2951"/>
      <c r="Z14" s="2951"/>
      <c r="AA14" s="2951"/>
      <c r="AB14" s="2951"/>
      <c r="AC14" s="2920">
        <f>SUMIF(AD$12:AS$12,"总值",AD14:AS14)</f>
        <v>0</v>
      </c>
      <c r="AD14" s="2961"/>
      <c r="AE14" s="2961"/>
      <c r="AF14" s="2961"/>
      <c r="AG14" s="2961"/>
      <c r="AH14" s="2961"/>
      <c r="AI14" s="2961"/>
      <c r="AJ14" s="2961"/>
      <c r="AK14" s="2961"/>
      <c r="AL14" s="2961"/>
      <c r="AM14" s="2961"/>
      <c r="AN14" s="2961"/>
      <c r="AO14" s="2961"/>
      <c r="AP14" s="2961"/>
      <c r="AQ14" s="2961"/>
      <c r="AR14" s="2961"/>
      <c r="AS14" s="2961"/>
      <c r="AT14" s="2970"/>
      <c r="AU14" s="2971"/>
      <c r="AV14" s="296">
        <f t="shared" si="6"/>
        <v>0</v>
      </c>
      <c r="AW14" s="296">
        <f t="shared" si="6"/>
        <v>0</v>
      </c>
      <c r="AX14" s="296">
        <f t="shared" si="6"/>
        <v>0</v>
      </c>
      <c r="AY14" s="2386">
        <f>ROUND($AY$6*AZ14/$AZ$5,2)</f>
        <v>1961.87</v>
      </c>
      <c r="AZ14" s="2920">
        <f>BA14+BL14</f>
        <v>5619.03</v>
      </c>
      <c r="BA14" s="2920">
        <f>SUM(BB14:BK14)</f>
        <v>5619.03</v>
      </c>
      <c r="BB14" s="2920">
        <f>IF($D14="是",I14-J14,0)</f>
        <v>5619.03</v>
      </c>
      <c r="BC14" s="2920">
        <f>IF($D14="是",K14-L14,0)</f>
        <v>0</v>
      </c>
      <c r="BD14" s="2920">
        <f>IF($D14="是",M14-N14,0)</f>
        <v>0</v>
      </c>
      <c r="BE14" s="2920">
        <f>IF($D14="是",O14-P14,0)</f>
        <v>0</v>
      </c>
      <c r="BF14" s="2920">
        <f>IF($D14="是",Q14-R14,0)</f>
        <v>0</v>
      </c>
      <c r="BG14" s="2920">
        <f>IF($D14="是",S14-T14,0)</f>
        <v>0</v>
      </c>
      <c r="BH14" s="2920">
        <f>IF($D14="是",U14-V14,0)</f>
        <v>0</v>
      </c>
      <c r="BI14" s="2920">
        <f>IF($D14="是",W14-X14,0)</f>
        <v>0</v>
      </c>
      <c r="BJ14" s="2920">
        <f>IF($D14="是",Y14-Z14,0)</f>
        <v>0</v>
      </c>
      <c r="BK14" s="2920">
        <f>IF($D14="是",AA14-AB14,0)</f>
        <v>0</v>
      </c>
      <c r="BL14" s="2920">
        <f>SUM(BM14:BT14)</f>
        <v>0</v>
      </c>
      <c r="BM14" s="2920">
        <f>IF($D14="是",AD14-AE14,0)</f>
        <v>0</v>
      </c>
      <c r="BN14" s="2920">
        <f>IF($D14="是",AF14-AG14,0)</f>
        <v>0</v>
      </c>
      <c r="BO14" s="2920">
        <f>IF($D14="是",AH14-AI14,0)</f>
        <v>0</v>
      </c>
      <c r="BP14" s="2920">
        <f>IF($D14="是",AJ14-AK14,0)</f>
        <v>0</v>
      </c>
      <c r="BQ14" s="2920">
        <f>IF($D14="是",AL14-AM14,0)</f>
        <v>0</v>
      </c>
      <c r="BR14" s="2920">
        <f>IF($D14="是",AN14-AO14,0)</f>
        <v>0</v>
      </c>
      <c r="BS14" s="2920">
        <f>IF($D14="是",AP14-AQ14,0)</f>
        <v>0</v>
      </c>
      <c r="BT14" s="2990">
        <f>IF($D14="是",AR14-AS14,0)</f>
        <v>0</v>
      </c>
    </row>
    <row r="15" spans="1:72" s="2905" customFormat="1" ht="12.75">
      <c r="A15" s="2934"/>
      <c r="B15" s="2934"/>
      <c r="C15" s="2938"/>
      <c r="D15" s="2935"/>
      <c r="E15" s="2920">
        <f>IF($C$3="是",ROUND($A$3*G15/$B$3,2),ROUND($A$3*(G15-AT15)/$B$3,2))</f>
        <v>0</v>
      </c>
      <c r="F15" s="2936"/>
      <c r="G15" s="2937">
        <f>H15+AC15+AT15</f>
        <v>0</v>
      </c>
      <c r="H15" s="2923">
        <f>SUMIF(I$12:AB$12,"总值",I15:AB15)</f>
        <v>0</v>
      </c>
      <c r="I15" s="2951"/>
      <c r="J15" s="2951"/>
      <c r="K15" s="2951"/>
      <c r="L15" s="2951"/>
      <c r="M15" s="2951"/>
      <c r="N15" s="2951"/>
      <c r="O15" s="2951"/>
      <c r="P15" s="2951"/>
      <c r="Q15" s="2951"/>
      <c r="R15" s="2951"/>
      <c r="S15" s="2951"/>
      <c r="T15" s="2951"/>
      <c r="U15" s="2951"/>
      <c r="V15" s="2951"/>
      <c r="W15" s="2951"/>
      <c r="X15" s="2951"/>
      <c r="Y15" s="2951"/>
      <c r="Z15" s="2951"/>
      <c r="AA15" s="2951"/>
      <c r="AB15" s="2951"/>
      <c r="AC15" s="2920">
        <f>SUMIF(AD$12:AS$12,"总值",AD15:AS15)</f>
        <v>0</v>
      </c>
      <c r="AD15" s="2961"/>
      <c r="AE15" s="2961"/>
      <c r="AF15" s="2961"/>
      <c r="AG15" s="2961"/>
      <c r="AH15" s="2961"/>
      <c r="AI15" s="2961"/>
      <c r="AJ15" s="2961"/>
      <c r="AK15" s="2961"/>
      <c r="AL15" s="2961"/>
      <c r="AM15" s="2961"/>
      <c r="AN15" s="2961"/>
      <c r="AO15" s="2961"/>
      <c r="AP15" s="2961"/>
      <c r="AQ15" s="2961"/>
      <c r="AR15" s="2961"/>
      <c r="AS15" s="2961"/>
      <c r="AT15" s="2970"/>
      <c r="AU15" s="2971"/>
      <c r="AV15" s="296">
        <f t="shared" si="6"/>
        <v>0</v>
      </c>
      <c r="AW15" s="296">
        <f t="shared" si="6"/>
        <v>0</v>
      </c>
      <c r="AX15" s="296">
        <f t="shared" si="6"/>
        <v>0</v>
      </c>
      <c r="AY15" s="2386">
        <f>ROUND($AY$6*AZ15/$AZ$5,2)</f>
        <v>0</v>
      </c>
      <c r="AZ15" s="2920">
        <f>BA15+BL15</f>
        <v>0</v>
      </c>
      <c r="BA15" s="2920">
        <f>SUM(BB15:BK15)</f>
        <v>0</v>
      </c>
      <c r="BB15" s="2920">
        <f>IF($D15="是",I15-J15,0)</f>
        <v>0</v>
      </c>
      <c r="BC15" s="2920">
        <f>IF($D15="是",K15-L15,0)</f>
        <v>0</v>
      </c>
      <c r="BD15" s="2920">
        <f>IF($D15="是",M15-N15,0)</f>
        <v>0</v>
      </c>
      <c r="BE15" s="2920">
        <f>IF($D15="是",O15-P15,0)</f>
        <v>0</v>
      </c>
      <c r="BF15" s="2920">
        <f>IF($D15="是",Q15-R15,0)</f>
        <v>0</v>
      </c>
      <c r="BG15" s="2920">
        <f>IF($D15="是",S15-T15,0)</f>
        <v>0</v>
      </c>
      <c r="BH15" s="2920">
        <f>IF($D15="是",U15-V15,0)</f>
        <v>0</v>
      </c>
      <c r="BI15" s="2920">
        <f>IF($D15="是",W15-X15,0)</f>
        <v>0</v>
      </c>
      <c r="BJ15" s="2920">
        <f>IF($D15="是",Y15-Z15,0)</f>
        <v>0</v>
      </c>
      <c r="BK15" s="2920">
        <f>IF($D15="是",AA15-AB15,0)</f>
        <v>0</v>
      </c>
      <c r="BL15" s="2920">
        <f>SUM(BM15:BT15)</f>
        <v>0</v>
      </c>
      <c r="BM15" s="2920">
        <f>IF($D15="是",AD15-AE15,0)</f>
        <v>0</v>
      </c>
      <c r="BN15" s="2920">
        <f>IF($D15="是",AF15-AG15,0)</f>
        <v>0</v>
      </c>
      <c r="BO15" s="2920">
        <f>IF($D15="是",AH15-AI15,0)</f>
        <v>0</v>
      </c>
      <c r="BP15" s="2920">
        <f>IF($D15="是",AJ15-AK15,0)</f>
        <v>0</v>
      </c>
      <c r="BQ15" s="2920">
        <f>IF($D15="是",AL15-AM15,0)</f>
        <v>0</v>
      </c>
      <c r="BR15" s="2920">
        <f>IF($D15="是",AN15-AO15,0)</f>
        <v>0</v>
      </c>
      <c r="BS15" s="2920">
        <f>IF($D15="是",AP15-AQ15,0)</f>
        <v>0</v>
      </c>
      <c r="BT15" s="2990">
        <f>IF($D15="是",AR15-AS15,0)</f>
        <v>0</v>
      </c>
    </row>
    <row r="16" spans="1:72" s="2905" customFormat="1" ht="12.75">
      <c r="A16" s="2934"/>
      <c r="B16" s="2934"/>
      <c r="C16" s="2938"/>
      <c r="D16" s="2935"/>
      <c r="E16" s="2920">
        <f>IF($C$3="是",ROUND($A$3*G16/$B$3,2),ROUND($A$3*(G16-AT16)/$B$3,2))</f>
        <v>0</v>
      </c>
      <c r="F16" s="2936"/>
      <c r="G16" s="2937">
        <f>H16+AC16+AT16</f>
        <v>0</v>
      </c>
      <c r="H16" s="2923">
        <f>SUMIF(I$12:AB$12,"总值",I16:AB16)</f>
        <v>0</v>
      </c>
      <c r="I16" s="2951"/>
      <c r="J16" s="2951"/>
      <c r="K16" s="2951"/>
      <c r="L16" s="2951"/>
      <c r="M16" s="2951"/>
      <c r="N16" s="2951"/>
      <c r="O16" s="2951"/>
      <c r="P16" s="2951"/>
      <c r="Q16" s="2951"/>
      <c r="R16" s="2951"/>
      <c r="S16" s="2951"/>
      <c r="T16" s="2951"/>
      <c r="U16" s="2951"/>
      <c r="V16" s="2951"/>
      <c r="W16" s="2951"/>
      <c r="X16" s="2951"/>
      <c r="Y16" s="2951"/>
      <c r="Z16" s="2951"/>
      <c r="AA16" s="2951"/>
      <c r="AB16" s="2951"/>
      <c r="AC16" s="2920">
        <f>SUMIF(AD$12:AS$12,"总值",AD16:AS16)</f>
        <v>0</v>
      </c>
      <c r="AD16" s="2961"/>
      <c r="AE16" s="2961"/>
      <c r="AF16" s="2961"/>
      <c r="AG16" s="2961"/>
      <c r="AH16" s="2961"/>
      <c r="AI16" s="2961"/>
      <c r="AJ16" s="2961"/>
      <c r="AK16" s="2961"/>
      <c r="AL16" s="2961"/>
      <c r="AM16" s="2961"/>
      <c r="AN16" s="2961"/>
      <c r="AO16" s="2961"/>
      <c r="AP16" s="2961"/>
      <c r="AQ16" s="2961"/>
      <c r="AR16" s="2961"/>
      <c r="AS16" s="2961"/>
      <c r="AT16" s="2970"/>
      <c r="AU16" s="2971"/>
      <c r="AV16" s="296">
        <f t="shared" si="6"/>
        <v>0</v>
      </c>
      <c r="AW16" s="296">
        <f t="shared" si="6"/>
        <v>0</v>
      </c>
      <c r="AX16" s="296">
        <f t="shared" si="6"/>
        <v>0</v>
      </c>
      <c r="AY16" s="2386">
        <f>ROUND($AY$6*AZ16/$AZ$5,2)</f>
        <v>0</v>
      </c>
      <c r="AZ16" s="2920">
        <f>BA16+BL16</f>
        <v>0</v>
      </c>
      <c r="BA16" s="2920">
        <f>SUM(BB16:BK16)</f>
        <v>0</v>
      </c>
      <c r="BB16" s="2920">
        <f>IF($D16="是",I16-J16,0)</f>
        <v>0</v>
      </c>
      <c r="BC16" s="2920">
        <f>IF($D16="是",K16-L16,0)</f>
        <v>0</v>
      </c>
      <c r="BD16" s="2920">
        <f>IF($D16="是",M16-N16,0)</f>
        <v>0</v>
      </c>
      <c r="BE16" s="2920">
        <f>IF($D16="是",O16-P16,0)</f>
        <v>0</v>
      </c>
      <c r="BF16" s="2920">
        <f>IF($D16="是",Q16-R16,0)</f>
        <v>0</v>
      </c>
      <c r="BG16" s="2920">
        <f>IF($D16="是",S16-T16,0)</f>
        <v>0</v>
      </c>
      <c r="BH16" s="2920">
        <f>IF($D16="是",U16-V16,0)</f>
        <v>0</v>
      </c>
      <c r="BI16" s="2920">
        <f>IF($D16="是",W16-X16,0)</f>
        <v>0</v>
      </c>
      <c r="BJ16" s="2920">
        <f>IF($D16="是",Y16-Z16,0)</f>
        <v>0</v>
      </c>
      <c r="BK16" s="2920">
        <f>IF($D16="是",AA16-AB16,0)</f>
        <v>0</v>
      </c>
      <c r="BL16" s="2920">
        <f>SUM(BM16:BT16)</f>
        <v>0</v>
      </c>
      <c r="BM16" s="2920">
        <f>IF($D16="是",AD16-AE16,0)</f>
        <v>0</v>
      </c>
      <c r="BN16" s="2920">
        <f>IF($D16="是",AF16-AG16,0)</f>
        <v>0</v>
      </c>
      <c r="BO16" s="2920">
        <f>IF($D16="是",AH16-AI16,0)</f>
        <v>0</v>
      </c>
      <c r="BP16" s="2920">
        <f>IF($D16="是",AJ16-AK16,0)</f>
        <v>0</v>
      </c>
      <c r="BQ16" s="2920">
        <f>IF($D16="是",AL16-AM16,0)</f>
        <v>0</v>
      </c>
      <c r="BR16" s="2920">
        <f>IF($D16="是",AN16-AO16,0)</f>
        <v>0</v>
      </c>
      <c r="BS16" s="2920">
        <f>IF($D16="是",AP16-AQ16,0)</f>
        <v>0</v>
      </c>
      <c r="BT16" s="2990">
        <f>IF($D16="是",AR16-AS16,0)</f>
        <v>0</v>
      </c>
    </row>
    <row r="17" spans="1:72" s="2905" customFormat="1" ht="12.75">
      <c r="A17" s="2934"/>
      <c r="B17" s="2934"/>
      <c r="C17" s="2938"/>
      <c r="D17" s="2935"/>
      <c r="E17" s="2920">
        <f>IF($C$3="是",ROUND($A$3*G17/$B$3,2),ROUND($A$3*(G17-AT17)/$B$3,2))</f>
        <v>0</v>
      </c>
      <c r="F17" s="2936"/>
      <c r="G17" s="2937">
        <f>H17+AC17+AT17</f>
        <v>0</v>
      </c>
      <c r="H17" s="2923">
        <f>SUMIF(I$12:AB$12,"总值",I17:AB17)</f>
        <v>0</v>
      </c>
      <c r="I17" s="2951"/>
      <c r="J17" s="2951"/>
      <c r="K17" s="2951"/>
      <c r="L17" s="2951"/>
      <c r="M17" s="2951"/>
      <c r="N17" s="2951"/>
      <c r="O17" s="2951"/>
      <c r="P17" s="2951"/>
      <c r="Q17" s="2951"/>
      <c r="R17" s="2951"/>
      <c r="S17" s="2951"/>
      <c r="T17" s="2951"/>
      <c r="U17" s="2951"/>
      <c r="V17" s="2951"/>
      <c r="W17" s="2951"/>
      <c r="X17" s="2951"/>
      <c r="Y17" s="2951"/>
      <c r="Z17" s="2951"/>
      <c r="AA17" s="2951"/>
      <c r="AB17" s="2951"/>
      <c r="AC17" s="2920">
        <f>SUMIF(AD$12:AS$12,"总值",AD17:AS17)</f>
        <v>0</v>
      </c>
      <c r="AD17" s="2961"/>
      <c r="AE17" s="2961"/>
      <c r="AF17" s="2961"/>
      <c r="AG17" s="2961"/>
      <c r="AH17" s="2961"/>
      <c r="AI17" s="2961"/>
      <c r="AJ17" s="2961"/>
      <c r="AK17" s="2961"/>
      <c r="AL17" s="2961"/>
      <c r="AM17" s="2961"/>
      <c r="AN17" s="2961"/>
      <c r="AO17" s="2961"/>
      <c r="AP17" s="2961"/>
      <c r="AQ17" s="2961"/>
      <c r="AR17" s="2961"/>
      <c r="AS17" s="2961"/>
      <c r="AT17" s="2970"/>
      <c r="AU17" s="2971"/>
      <c r="AV17" s="296">
        <f t="shared" si="6"/>
        <v>0</v>
      </c>
      <c r="AW17" s="296">
        <f t="shared" si="6"/>
        <v>0</v>
      </c>
      <c r="AX17" s="296">
        <f t="shared" si="6"/>
        <v>0</v>
      </c>
      <c r="AY17" s="2386">
        <f>ROUND($AY$6*AZ17/$AZ$5,2)</f>
        <v>0</v>
      </c>
      <c r="AZ17" s="2920">
        <f>BA17+BL17</f>
        <v>0</v>
      </c>
      <c r="BA17" s="2920">
        <f>SUM(BB17:BK17)</f>
        <v>0</v>
      </c>
      <c r="BB17" s="2920">
        <f>IF($D17="是",I17-J17,0)</f>
        <v>0</v>
      </c>
      <c r="BC17" s="2920">
        <f>IF($D17="是",K17-L17,0)</f>
        <v>0</v>
      </c>
      <c r="BD17" s="2920">
        <f>IF($D17="是",M17-N17,0)</f>
        <v>0</v>
      </c>
      <c r="BE17" s="2920">
        <f>IF($D17="是",O17-P17,0)</f>
        <v>0</v>
      </c>
      <c r="BF17" s="2920">
        <f>IF($D17="是",Q17-R17,0)</f>
        <v>0</v>
      </c>
      <c r="BG17" s="2920">
        <f>IF($D17="是",S17-T17,0)</f>
        <v>0</v>
      </c>
      <c r="BH17" s="2920">
        <f>IF($D17="是",U17-V17,0)</f>
        <v>0</v>
      </c>
      <c r="BI17" s="2920">
        <f>IF($D17="是",W17-X17,0)</f>
        <v>0</v>
      </c>
      <c r="BJ17" s="2920">
        <f>IF($D17="是",Y17-Z17,0)</f>
        <v>0</v>
      </c>
      <c r="BK17" s="2920">
        <f>IF($D17="是",AA17-AB17,0)</f>
        <v>0</v>
      </c>
      <c r="BL17" s="2920">
        <f>SUM(BM17:BT17)</f>
        <v>0</v>
      </c>
      <c r="BM17" s="2920">
        <f>IF($D17="是",AD17-AE17,0)</f>
        <v>0</v>
      </c>
      <c r="BN17" s="2920">
        <f>IF($D17="是",AF17-AG17,0)</f>
        <v>0</v>
      </c>
      <c r="BO17" s="2920">
        <f>IF($D17="是",AH17-AI17,0)</f>
        <v>0</v>
      </c>
      <c r="BP17" s="2920">
        <f>IF($D17="是",AJ17-AK17,0)</f>
        <v>0</v>
      </c>
      <c r="BQ17" s="2920">
        <f>IF($D17="是",AL17-AM17,0)</f>
        <v>0</v>
      </c>
      <c r="BR17" s="2920">
        <f>IF($D17="是",AN17-AO17,0)</f>
        <v>0</v>
      </c>
      <c r="BS17" s="2920">
        <f>IF($D17="是",AP17-AQ17,0)</f>
        <v>0</v>
      </c>
      <c r="BT17" s="2990">
        <f>IF($D17="是",AR17-AS17,0)</f>
        <v>0</v>
      </c>
    </row>
    <row r="18" spans="1:72">
      <c r="A18" s="2939"/>
      <c r="B18" s="2940"/>
      <c r="C18" s="2940"/>
      <c r="D18" s="2941"/>
      <c r="E18" s="2942">
        <f t="shared" ref="E18:E112" si="7">IF($C$3="是",ROUND($A$3*G18/$B$3,2),ROUND($A$3*(G18-AT18)/$B$3,2))</f>
        <v>0</v>
      </c>
      <c r="F18" s="2943"/>
      <c r="G18" s="2944">
        <f t="shared" ref="G18:G109" si="8">H18+AC18+AT18</f>
        <v>0</v>
      </c>
      <c r="H18" s="2945">
        <f t="shared" ref="H18:H109" si="9">SUMIF(I$12:AB$12,"总值",I18:AB18)</f>
        <v>0</v>
      </c>
      <c r="I18" s="2952"/>
      <c r="J18" s="2952"/>
      <c r="K18" s="2952"/>
      <c r="L18" s="2952"/>
      <c r="M18" s="2952"/>
      <c r="N18" s="2952"/>
      <c r="O18" s="2952"/>
      <c r="P18" s="2952"/>
      <c r="Q18" s="2952"/>
      <c r="R18" s="2952"/>
      <c r="S18" s="2952"/>
      <c r="T18" s="2952"/>
      <c r="U18" s="2952"/>
      <c r="V18" s="2952"/>
      <c r="W18" s="2952"/>
      <c r="X18" s="2952"/>
      <c r="Y18" s="2952"/>
      <c r="Z18" s="2952"/>
      <c r="AA18" s="2952"/>
      <c r="AB18" s="2952"/>
      <c r="AC18" s="2942">
        <f t="shared" ref="AC18:AC109" si="10">SUMIF(AD$12:AS$12,"总值",AD18:AS18)</f>
        <v>0</v>
      </c>
      <c r="AD18" s="2962"/>
      <c r="AE18" s="2962"/>
      <c r="AF18" s="2962"/>
      <c r="AG18" s="2962"/>
      <c r="AH18" s="2962"/>
      <c r="AI18" s="2962"/>
      <c r="AJ18" s="2962"/>
      <c r="AK18" s="2962"/>
      <c r="AL18" s="2962"/>
      <c r="AM18" s="2962"/>
      <c r="AN18" s="2962"/>
      <c r="AO18" s="2962"/>
      <c r="AP18" s="2962"/>
      <c r="AQ18" s="2962"/>
      <c r="AR18" s="2962"/>
      <c r="AS18" s="2962"/>
      <c r="AT18" s="2972"/>
      <c r="AU18" s="2973"/>
      <c r="AV18" s="1120">
        <f t="shared" ref="AV18:AV112" si="11">A18</f>
        <v>0</v>
      </c>
      <c r="AW18" s="1120">
        <f t="shared" ref="AW18:AW112" si="12">B18</f>
        <v>0</v>
      </c>
      <c r="AX18" s="1120">
        <f t="shared" ref="AX18:AX112" si="13">C18</f>
        <v>0</v>
      </c>
      <c r="AY18" s="2987">
        <f t="shared" ref="AY18:AY109" si="14">ROUND($AY$6*AZ18/$AZ$5,2)</f>
        <v>0</v>
      </c>
      <c r="AZ18" s="2942">
        <f t="shared" ref="AZ18:AZ109" si="15">BA18+BL18</f>
        <v>0</v>
      </c>
      <c r="BA18" s="2942">
        <f t="shared" ref="BA18:BA109" si="16">SUM(BB18:BK18)</f>
        <v>0</v>
      </c>
      <c r="BB18" s="2942">
        <f t="shared" ref="BB18:BB109" si="17">IF($D18="是",I18-J18,0)</f>
        <v>0</v>
      </c>
      <c r="BC18" s="2942">
        <f t="shared" ref="BC18:BC109" si="18">IF($D18="是",K18-L18,0)</f>
        <v>0</v>
      </c>
      <c r="BD18" s="2942">
        <f t="shared" ref="BD18:BD109" si="19">IF($D18="是",M18-N18,0)</f>
        <v>0</v>
      </c>
      <c r="BE18" s="2942">
        <f t="shared" ref="BE18:BE109" si="20">IF($D18="是",O18-P18,0)</f>
        <v>0</v>
      </c>
      <c r="BF18" s="2942">
        <f t="shared" ref="BF18:BF109" si="21">IF($D18="是",Q18-R18,0)</f>
        <v>0</v>
      </c>
      <c r="BG18" s="2942">
        <f t="shared" ref="BG18:BG109" si="22">IF($D18="是",S18-T18,0)</f>
        <v>0</v>
      </c>
      <c r="BH18" s="2942">
        <f t="shared" ref="BH18:BH109" si="23">IF($D18="是",U18-V18,0)</f>
        <v>0</v>
      </c>
      <c r="BI18" s="2942">
        <f t="shared" ref="BI18:BI109" si="24">IF($D18="是",W18-X18,0)</f>
        <v>0</v>
      </c>
      <c r="BJ18" s="2942">
        <f t="shared" ref="BJ18:BJ109" si="25">IF($D18="是",Y18-Z18,0)</f>
        <v>0</v>
      </c>
      <c r="BK18" s="2942">
        <f t="shared" ref="BK18:BK109" si="26">IF($D18="是",AA18-AB18,0)</f>
        <v>0</v>
      </c>
      <c r="BL18" s="2942">
        <f t="shared" ref="BL18:BL109" si="27">SUM(BM18:BT18)</f>
        <v>0</v>
      </c>
      <c r="BM18" s="2942">
        <f t="shared" ref="BM18:BM109" si="28">IF($D18="是",AD18-AE18,0)</f>
        <v>0</v>
      </c>
      <c r="BN18" s="2942">
        <f t="shared" ref="BN18:BN109" si="29">IF($D18="是",AF18-AG18,0)</f>
        <v>0</v>
      </c>
      <c r="BO18" s="2942">
        <f t="shared" ref="BO18:BO109" si="30">IF($D18="是",AH18-AI18,0)</f>
        <v>0</v>
      </c>
      <c r="BP18" s="2942">
        <f t="shared" ref="BP18:BP109" si="31">IF($D18="是",AJ18-AK18,0)</f>
        <v>0</v>
      </c>
      <c r="BQ18" s="2942">
        <f t="shared" ref="BQ18:BQ109" si="32">IF($D18="是",AL18-AM18,0)</f>
        <v>0</v>
      </c>
      <c r="BR18" s="2942">
        <f t="shared" ref="BR18:BR109" si="33">IF($D18="是",AN18-AO18,0)</f>
        <v>0</v>
      </c>
      <c r="BS18" s="2942">
        <f t="shared" ref="BS18:BS109" si="34">IF($D18="是",AP18-AQ18,0)</f>
        <v>0</v>
      </c>
      <c r="BT18" s="2994">
        <f t="shared" ref="BT18:BT109" si="35">IF($D18="是",AR18-AS18,0)</f>
        <v>0</v>
      </c>
    </row>
    <row r="19" spans="1:72">
      <c r="A19" s="2939"/>
      <c r="B19" s="2940"/>
      <c r="C19" s="2940"/>
      <c r="D19" s="2941"/>
      <c r="E19" s="2942">
        <f t="shared" si="7"/>
        <v>0</v>
      </c>
      <c r="F19" s="2943"/>
      <c r="G19" s="2944">
        <f t="shared" si="8"/>
        <v>0</v>
      </c>
      <c r="H19" s="2945">
        <f t="shared" si="9"/>
        <v>0</v>
      </c>
      <c r="I19" s="2952"/>
      <c r="J19" s="2952"/>
      <c r="K19" s="2952"/>
      <c r="L19" s="2952"/>
      <c r="M19" s="2952"/>
      <c r="N19" s="2952"/>
      <c r="O19" s="2952"/>
      <c r="P19" s="2952"/>
      <c r="Q19" s="2952"/>
      <c r="R19" s="2952"/>
      <c r="S19" s="2952"/>
      <c r="T19" s="2952"/>
      <c r="U19" s="2952"/>
      <c r="V19" s="2952"/>
      <c r="W19" s="2952"/>
      <c r="X19" s="2952"/>
      <c r="Y19" s="2952"/>
      <c r="Z19" s="2952"/>
      <c r="AA19" s="2952"/>
      <c r="AB19" s="2952"/>
      <c r="AC19" s="2942">
        <f t="shared" si="10"/>
        <v>0</v>
      </c>
      <c r="AD19" s="2962"/>
      <c r="AE19" s="2962"/>
      <c r="AF19" s="2962"/>
      <c r="AG19" s="2962"/>
      <c r="AH19" s="2962"/>
      <c r="AI19" s="2962"/>
      <c r="AJ19" s="2962"/>
      <c r="AK19" s="2962"/>
      <c r="AL19" s="2962"/>
      <c r="AM19" s="2962"/>
      <c r="AN19" s="2962"/>
      <c r="AO19" s="2962"/>
      <c r="AP19" s="2962"/>
      <c r="AQ19" s="2962"/>
      <c r="AR19" s="2962"/>
      <c r="AS19" s="2962"/>
      <c r="AT19" s="2972"/>
      <c r="AU19" s="2973"/>
      <c r="AV19" s="1120">
        <f t="shared" si="11"/>
        <v>0</v>
      </c>
      <c r="AW19" s="1120">
        <f t="shared" si="12"/>
        <v>0</v>
      </c>
      <c r="AX19" s="1120">
        <f t="shared" si="13"/>
        <v>0</v>
      </c>
      <c r="AY19" s="2987">
        <f t="shared" si="14"/>
        <v>0</v>
      </c>
      <c r="AZ19" s="2942">
        <f t="shared" si="15"/>
        <v>0</v>
      </c>
      <c r="BA19" s="2942">
        <f t="shared" si="16"/>
        <v>0</v>
      </c>
      <c r="BB19" s="2942">
        <f t="shared" si="17"/>
        <v>0</v>
      </c>
      <c r="BC19" s="2942">
        <f t="shared" si="18"/>
        <v>0</v>
      </c>
      <c r="BD19" s="2942">
        <f t="shared" si="19"/>
        <v>0</v>
      </c>
      <c r="BE19" s="2942">
        <f t="shared" si="20"/>
        <v>0</v>
      </c>
      <c r="BF19" s="2942">
        <f t="shared" si="21"/>
        <v>0</v>
      </c>
      <c r="BG19" s="2942">
        <f t="shared" si="22"/>
        <v>0</v>
      </c>
      <c r="BH19" s="2942">
        <f t="shared" si="23"/>
        <v>0</v>
      </c>
      <c r="BI19" s="2942">
        <f t="shared" si="24"/>
        <v>0</v>
      </c>
      <c r="BJ19" s="2942">
        <f t="shared" si="25"/>
        <v>0</v>
      </c>
      <c r="BK19" s="2942">
        <f t="shared" si="26"/>
        <v>0</v>
      </c>
      <c r="BL19" s="2942">
        <f t="shared" si="27"/>
        <v>0</v>
      </c>
      <c r="BM19" s="2942">
        <f t="shared" si="28"/>
        <v>0</v>
      </c>
      <c r="BN19" s="2942">
        <f t="shared" si="29"/>
        <v>0</v>
      </c>
      <c r="BO19" s="2942">
        <f t="shared" si="30"/>
        <v>0</v>
      </c>
      <c r="BP19" s="2942">
        <f t="shared" si="31"/>
        <v>0</v>
      </c>
      <c r="BQ19" s="2942">
        <f t="shared" si="32"/>
        <v>0</v>
      </c>
      <c r="BR19" s="2942">
        <f t="shared" si="33"/>
        <v>0</v>
      </c>
      <c r="BS19" s="2942">
        <f t="shared" si="34"/>
        <v>0</v>
      </c>
      <c r="BT19" s="2994">
        <f t="shared" si="35"/>
        <v>0</v>
      </c>
    </row>
    <row r="20" spans="1:72">
      <c r="A20" s="2939"/>
      <c r="B20" s="2940"/>
      <c r="C20" s="2940"/>
      <c r="D20" s="2941"/>
      <c r="E20" s="2942">
        <f t="shared" si="7"/>
        <v>0</v>
      </c>
      <c r="F20" s="2943"/>
      <c r="G20" s="2944">
        <f t="shared" si="8"/>
        <v>0</v>
      </c>
      <c r="H20" s="2945">
        <f t="shared" si="9"/>
        <v>0</v>
      </c>
      <c r="I20" s="2952"/>
      <c r="J20" s="2952"/>
      <c r="K20" s="2952"/>
      <c r="L20" s="2952"/>
      <c r="M20" s="2952"/>
      <c r="N20" s="2952"/>
      <c r="O20" s="2952"/>
      <c r="P20" s="2952"/>
      <c r="Q20" s="2952"/>
      <c r="R20" s="2952"/>
      <c r="S20" s="2952"/>
      <c r="T20" s="2952"/>
      <c r="U20" s="2952"/>
      <c r="V20" s="2952"/>
      <c r="W20" s="2952"/>
      <c r="X20" s="2952"/>
      <c r="Y20" s="2952"/>
      <c r="Z20" s="2952"/>
      <c r="AA20" s="2952"/>
      <c r="AB20" s="2952"/>
      <c r="AC20" s="2942">
        <f t="shared" si="10"/>
        <v>0</v>
      </c>
      <c r="AD20" s="2962"/>
      <c r="AE20" s="2962"/>
      <c r="AF20" s="2962"/>
      <c r="AG20" s="2962"/>
      <c r="AH20" s="2962"/>
      <c r="AI20" s="2962"/>
      <c r="AJ20" s="2962"/>
      <c r="AK20" s="2962"/>
      <c r="AL20" s="2962"/>
      <c r="AM20" s="2962"/>
      <c r="AN20" s="2962"/>
      <c r="AO20" s="2962"/>
      <c r="AP20" s="2962"/>
      <c r="AQ20" s="2962"/>
      <c r="AR20" s="2962"/>
      <c r="AS20" s="2962"/>
      <c r="AT20" s="2972"/>
      <c r="AU20" s="2973"/>
      <c r="AV20" s="1120">
        <f t="shared" si="11"/>
        <v>0</v>
      </c>
      <c r="AW20" s="1120">
        <f t="shared" si="12"/>
        <v>0</v>
      </c>
      <c r="AX20" s="1120">
        <f t="shared" si="13"/>
        <v>0</v>
      </c>
      <c r="AY20" s="2987">
        <f t="shared" si="14"/>
        <v>0</v>
      </c>
      <c r="AZ20" s="2942">
        <f t="shared" si="15"/>
        <v>0</v>
      </c>
      <c r="BA20" s="2942">
        <f t="shared" si="16"/>
        <v>0</v>
      </c>
      <c r="BB20" s="2942">
        <f t="shared" si="17"/>
        <v>0</v>
      </c>
      <c r="BC20" s="2942">
        <f t="shared" si="18"/>
        <v>0</v>
      </c>
      <c r="BD20" s="2942">
        <f t="shared" si="19"/>
        <v>0</v>
      </c>
      <c r="BE20" s="2942">
        <f t="shared" si="20"/>
        <v>0</v>
      </c>
      <c r="BF20" s="2942">
        <f t="shared" si="21"/>
        <v>0</v>
      </c>
      <c r="BG20" s="2942">
        <f t="shared" si="22"/>
        <v>0</v>
      </c>
      <c r="BH20" s="2942">
        <f t="shared" si="23"/>
        <v>0</v>
      </c>
      <c r="BI20" s="2942">
        <f t="shared" si="24"/>
        <v>0</v>
      </c>
      <c r="BJ20" s="2942">
        <f t="shared" si="25"/>
        <v>0</v>
      </c>
      <c r="BK20" s="2942">
        <f t="shared" si="26"/>
        <v>0</v>
      </c>
      <c r="BL20" s="2942">
        <f t="shared" si="27"/>
        <v>0</v>
      </c>
      <c r="BM20" s="2942">
        <f t="shared" si="28"/>
        <v>0</v>
      </c>
      <c r="BN20" s="2942">
        <f t="shared" si="29"/>
        <v>0</v>
      </c>
      <c r="BO20" s="2942">
        <f t="shared" si="30"/>
        <v>0</v>
      </c>
      <c r="BP20" s="2942">
        <f t="shared" si="31"/>
        <v>0</v>
      </c>
      <c r="BQ20" s="2942">
        <f t="shared" si="32"/>
        <v>0</v>
      </c>
      <c r="BR20" s="2942">
        <f t="shared" si="33"/>
        <v>0</v>
      </c>
      <c r="BS20" s="2942">
        <f t="shared" si="34"/>
        <v>0</v>
      </c>
      <c r="BT20" s="2994">
        <f t="shared" si="35"/>
        <v>0</v>
      </c>
    </row>
    <row r="21" spans="1:72">
      <c r="A21" s="2939"/>
      <c r="B21" s="2940"/>
      <c r="C21" s="2940"/>
      <c r="D21" s="2941"/>
      <c r="E21" s="2942">
        <f t="shared" si="7"/>
        <v>0</v>
      </c>
      <c r="F21" s="2943"/>
      <c r="G21" s="2944">
        <f t="shared" si="8"/>
        <v>0</v>
      </c>
      <c r="H21" s="2945">
        <f t="shared" si="9"/>
        <v>0</v>
      </c>
      <c r="I21" s="2952"/>
      <c r="J21" s="2952"/>
      <c r="K21" s="2952"/>
      <c r="L21" s="2952"/>
      <c r="M21" s="2952"/>
      <c r="N21" s="2952"/>
      <c r="O21" s="2952"/>
      <c r="P21" s="2952"/>
      <c r="Q21" s="2952"/>
      <c r="R21" s="2952"/>
      <c r="S21" s="2952"/>
      <c r="T21" s="2952"/>
      <c r="U21" s="2952"/>
      <c r="V21" s="2952"/>
      <c r="W21" s="2952"/>
      <c r="X21" s="2952"/>
      <c r="Y21" s="2952"/>
      <c r="Z21" s="2952"/>
      <c r="AA21" s="2952"/>
      <c r="AB21" s="2952"/>
      <c r="AC21" s="2942">
        <f t="shared" si="10"/>
        <v>0</v>
      </c>
      <c r="AD21" s="2962"/>
      <c r="AE21" s="2962"/>
      <c r="AF21" s="2962"/>
      <c r="AG21" s="2962"/>
      <c r="AH21" s="2962"/>
      <c r="AI21" s="2962"/>
      <c r="AJ21" s="2962"/>
      <c r="AK21" s="2962"/>
      <c r="AL21" s="2962"/>
      <c r="AM21" s="2962"/>
      <c r="AN21" s="2962"/>
      <c r="AO21" s="2962"/>
      <c r="AP21" s="2962"/>
      <c r="AQ21" s="2962"/>
      <c r="AR21" s="2962"/>
      <c r="AS21" s="2962"/>
      <c r="AT21" s="2972"/>
      <c r="AU21" s="2973"/>
      <c r="AV21" s="1120">
        <f t="shared" si="11"/>
        <v>0</v>
      </c>
      <c r="AW21" s="1120">
        <f t="shared" si="12"/>
        <v>0</v>
      </c>
      <c r="AX21" s="1120">
        <f t="shared" si="13"/>
        <v>0</v>
      </c>
      <c r="AY21" s="2987">
        <f t="shared" si="14"/>
        <v>0</v>
      </c>
      <c r="AZ21" s="2942">
        <f t="shared" si="15"/>
        <v>0</v>
      </c>
      <c r="BA21" s="2942">
        <f t="shared" si="16"/>
        <v>0</v>
      </c>
      <c r="BB21" s="2942">
        <f t="shared" si="17"/>
        <v>0</v>
      </c>
      <c r="BC21" s="2942">
        <f t="shared" si="18"/>
        <v>0</v>
      </c>
      <c r="BD21" s="2942">
        <f t="shared" si="19"/>
        <v>0</v>
      </c>
      <c r="BE21" s="2942">
        <f t="shared" si="20"/>
        <v>0</v>
      </c>
      <c r="BF21" s="2942">
        <f t="shared" si="21"/>
        <v>0</v>
      </c>
      <c r="BG21" s="2942">
        <f t="shared" si="22"/>
        <v>0</v>
      </c>
      <c r="BH21" s="2942">
        <f t="shared" si="23"/>
        <v>0</v>
      </c>
      <c r="BI21" s="2942">
        <f t="shared" si="24"/>
        <v>0</v>
      </c>
      <c r="BJ21" s="2942">
        <f t="shared" si="25"/>
        <v>0</v>
      </c>
      <c r="BK21" s="2942">
        <f t="shared" si="26"/>
        <v>0</v>
      </c>
      <c r="BL21" s="2942">
        <f t="shared" si="27"/>
        <v>0</v>
      </c>
      <c r="BM21" s="2942">
        <f t="shared" si="28"/>
        <v>0</v>
      </c>
      <c r="BN21" s="2942">
        <f t="shared" si="29"/>
        <v>0</v>
      </c>
      <c r="BO21" s="2942">
        <f t="shared" si="30"/>
        <v>0</v>
      </c>
      <c r="BP21" s="2942">
        <f t="shared" si="31"/>
        <v>0</v>
      </c>
      <c r="BQ21" s="2942">
        <f t="shared" si="32"/>
        <v>0</v>
      </c>
      <c r="BR21" s="2942">
        <f t="shared" si="33"/>
        <v>0</v>
      </c>
      <c r="BS21" s="2942">
        <f t="shared" si="34"/>
        <v>0</v>
      </c>
      <c r="BT21" s="2994">
        <f t="shared" si="35"/>
        <v>0</v>
      </c>
    </row>
    <row r="22" spans="1:72">
      <c r="A22" s="2939"/>
      <c r="B22" s="2940"/>
      <c r="C22" s="2940"/>
      <c r="D22" s="2941"/>
      <c r="E22" s="2942">
        <f t="shared" si="7"/>
        <v>0</v>
      </c>
      <c r="F22" s="2943"/>
      <c r="G22" s="2944">
        <f t="shared" si="8"/>
        <v>0</v>
      </c>
      <c r="H22" s="2945">
        <f t="shared" si="9"/>
        <v>0</v>
      </c>
      <c r="I22" s="2952"/>
      <c r="J22" s="2952"/>
      <c r="K22" s="2952"/>
      <c r="L22" s="2952"/>
      <c r="M22" s="2952"/>
      <c r="N22" s="2952"/>
      <c r="O22" s="2952"/>
      <c r="P22" s="2952"/>
      <c r="Q22" s="2952"/>
      <c r="R22" s="2952"/>
      <c r="S22" s="2952"/>
      <c r="T22" s="2952"/>
      <c r="U22" s="2952"/>
      <c r="V22" s="2952"/>
      <c r="W22" s="2952"/>
      <c r="X22" s="2952"/>
      <c r="Y22" s="2952"/>
      <c r="Z22" s="2952"/>
      <c r="AA22" s="2952"/>
      <c r="AB22" s="2952"/>
      <c r="AC22" s="2942">
        <f t="shared" si="10"/>
        <v>0</v>
      </c>
      <c r="AD22" s="2962"/>
      <c r="AE22" s="2962"/>
      <c r="AF22" s="2962"/>
      <c r="AG22" s="2962"/>
      <c r="AH22" s="2962"/>
      <c r="AI22" s="2962"/>
      <c r="AJ22" s="2962"/>
      <c r="AK22" s="2962"/>
      <c r="AL22" s="2962"/>
      <c r="AM22" s="2962"/>
      <c r="AN22" s="2962"/>
      <c r="AO22" s="2962"/>
      <c r="AP22" s="2962"/>
      <c r="AQ22" s="2962"/>
      <c r="AR22" s="2962"/>
      <c r="AS22" s="2962"/>
      <c r="AT22" s="2972"/>
      <c r="AU22" s="2973"/>
      <c r="AV22" s="1120">
        <f t="shared" si="11"/>
        <v>0</v>
      </c>
      <c r="AW22" s="1120">
        <f t="shared" si="12"/>
        <v>0</v>
      </c>
      <c r="AX22" s="1120">
        <f t="shared" si="13"/>
        <v>0</v>
      </c>
      <c r="AY22" s="2987">
        <f t="shared" si="14"/>
        <v>0</v>
      </c>
      <c r="AZ22" s="2942">
        <f t="shared" si="15"/>
        <v>0</v>
      </c>
      <c r="BA22" s="2942">
        <f t="shared" si="16"/>
        <v>0</v>
      </c>
      <c r="BB22" s="2942">
        <f t="shared" si="17"/>
        <v>0</v>
      </c>
      <c r="BC22" s="2942">
        <f t="shared" si="18"/>
        <v>0</v>
      </c>
      <c r="BD22" s="2942">
        <f t="shared" si="19"/>
        <v>0</v>
      </c>
      <c r="BE22" s="2942">
        <f t="shared" si="20"/>
        <v>0</v>
      </c>
      <c r="BF22" s="2942">
        <f t="shared" si="21"/>
        <v>0</v>
      </c>
      <c r="BG22" s="2942">
        <f t="shared" si="22"/>
        <v>0</v>
      </c>
      <c r="BH22" s="2942">
        <f t="shared" si="23"/>
        <v>0</v>
      </c>
      <c r="BI22" s="2942">
        <f t="shared" si="24"/>
        <v>0</v>
      </c>
      <c r="BJ22" s="2942">
        <f t="shared" si="25"/>
        <v>0</v>
      </c>
      <c r="BK22" s="2942">
        <f t="shared" si="26"/>
        <v>0</v>
      </c>
      <c r="BL22" s="2942">
        <f t="shared" si="27"/>
        <v>0</v>
      </c>
      <c r="BM22" s="2942">
        <f t="shared" si="28"/>
        <v>0</v>
      </c>
      <c r="BN22" s="2942">
        <f t="shared" si="29"/>
        <v>0</v>
      </c>
      <c r="BO22" s="2942">
        <f t="shared" si="30"/>
        <v>0</v>
      </c>
      <c r="BP22" s="2942">
        <f t="shared" si="31"/>
        <v>0</v>
      </c>
      <c r="BQ22" s="2942">
        <f t="shared" si="32"/>
        <v>0</v>
      </c>
      <c r="BR22" s="2942">
        <f t="shared" si="33"/>
        <v>0</v>
      </c>
      <c r="BS22" s="2942">
        <f t="shared" si="34"/>
        <v>0</v>
      </c>
      <c r="BT22" s="2994">
        <f t="shared" si="35"/>
        <v>0</v>
      </c>
    </row>
    <row r="23" spans="1:72">
      <c r="A23" s="2939"/>
      <c r="B23" s="2940"/>
      <c r="C23" s="2940"/>
      <c r="D23" s="2941"/>
      <c r="E23" s="2942">
        <f t="shared" si="7"/>
        <v>0</v>
      </c>
      <c r="F23" s="2943"/>
      <c r="G23" s="2944">
        <f t="shared" si="8"/>
        <v>0</v>
      </c>
      <c r="H23" s="2945">
        <f t="shared" si="9"/>
        <v>0</v>
      </c>
      <c r="I23" s="2952"/>
      <c r="J23" s="2952"/>
      <c r="K23" s="2952"/>
      <c r="L23" s="2952"/>
      <c r="M23" s="2952"/>
      <c r="N23" s="2952"/>
      <c r="O23" s="2952"/>
      <c r="P23" s="2952"/>
      <c r="Q23" s="2952"/>
      <c r="R23" s="2952"/>
      <c r="S23" s="2952"/>
      <c r="T23" s="2952"/>
      <c r="U23" s="2952"/>
      <c r="V23" s="2952"/>
      <c r="W23" s="2952"/>
      <c r="X23" s="2952"/>
      <c r="Y23" s="2952"/>
      <c r="Z23" s="2952"/>
      <c r="AA23" s="2952"/>
      <c r="AB23" s="2952"/>
      <c r="AC23" s="2942">
        <f t="shared" si="10"/>
        <v>0</v>
      </c>
      <c r="AD23" s="2962"/>
      <c r="AE23" s="2962"/>
      <c r="AF23" s="2962"/>
      <c r="AG23" s="2962"/>
      <c r="AH23" s="2962"/>
      <c r="AI23" s="2962"/>
      <c r="AJ23" s="2962"/>
      <c r="AK23" s="2962"/>
      <c r="AL23" s="2962"/>
      <c r="AM23" s="2962"/>
      <c r="AN23" s="2962"/>
      <c r="AO23" s="2962"/>
      <c r="AP23" s="2962"/>
      <c r="AQ23" s="2962"/>
      <c r="AR23" s="2962"/>
      <c r="AS23" s="2962"/>
      <c r="AT23" s="2972"/>
      <c r="AU23" s="2973"/>
      <c r="AV23" s="1120">
        <f t="shared" si="11"/>
        <v>0</v>
      </c>
      <c r="AW23" s="1120">
        <f t="shared" si="12"/>
        <v>0</v>
      </c>
      <c r="AX23" s="1120">
        <f t="shared" si="13"/>
        <v>0</v>
      </c>
      <c r="AY23" s="2987">
        <f t="shared" si="14"/>
        <v>0</v>
      </c>
      <c r="AZ23" s="2942">
        <f t="shared" si="15"/>
        <v>0</v>
      </c>
      <c r="BA23" s="2942">
        <f t="shared" si="16"/>
        <v>0</v>
      </c>
      <c r="BB23" s="2942">
        <f t="shared" si="17"/>
        <v>0</v>
      </c>
      <c r="BC23" s="2942">
        <f t="shared" si="18"/>
        <v>0</v>
      </c>
      <c r="BD23" s="2942">
        <f t="shared" si="19"/>
        <v>0</v>
      </c>
      <c r="BE23" s="2942">
        <f t="shared" si="20"/>
        <v>0</v>
      </c>
      <c r="BF23" s="2942">
        <f t="shared" si="21"/>
        <v>0</v>
      </c>
      <c r="BG23" s="2942">
        <f t="shared" si="22"/>
        <v>0</v>
      </c>
      <c r="BH23" s="2942">
        <f t="shared" si="23"/>
        <v>0</v>
      </c>
      <c r="BI23" s="2942">
        <f t="shared" si="24"/>
        <v>0</v>
      </c>
      <c r="BJ23" s="2942">
        <f t="shared" si="25"/>
        <v>0</v>
      </c>
      <c r="BK23" s="2942">
        <f t="shared" si="26"/>
        <v>0</v>
      </c>
      <c r="BL23" s="2942">
        <f t="shared" si="27"/>
        <v>0</v>
      </c>
      <c r="BM23" s="2942">
        <f t="shared" si="28"/>
        <v>0</v>
      </c>
      <c r="BN23" s="2942">
        <f t="shared" si="29"/>
        <v>0</v>
      </c>
      <c r="BO23" s="2942">
        <f t="shared" si="30"/>
        <v>0</v>
      </c>
      <c r="BP23" s="2942">
        <f t="shared" si="31"/>
        <v>0</v>
      </c>
      <c r="BQ23" s="2942">
        <f t="shared" si="32"/>
        <v>0</v>
      </c>
      <c r="BR23" s="2942">
        <f t="shared" si="33"/>
        <v>0</v>
      </c>
      <c r="BS23" s="2942">
        <f t="shared" si="34"/>
        <v>0</v>
      </c>
      <c r="BT23" s="2994">
        <f t="shared" si="35"/>
        <v>0</v>
      </c>
    </row>
    <row r="24" spans="1:72">
      <c r="A24" s="2939"/>
      <c r="B24" s="2940"/>
      <c r="C24" s="2940"/>
      <c r="D24" s="2941"/>
      <c r="E24" s="2942">
        <f t="shared" si="7"/>
        <v>0</v>
      </c>
      <c r="F24" s="2943"/>
      <c r="G24" s="2944">
        <f t="shared" si="8"/>
        <v>0</v>
      </c>
      <c r="H24" s="2945">
        <f t="shared" si="9"/>
        <v>0</v>
      </c>
      <c r="I24" s="2952"/>
      <c r="J24" s="2952"/>
      <c r="K24" s="2952"/>
      <c r="L24" s="2952"/>
      <c r="M24" s="2952"/>
      <c r="N24" s="2952"/>
      <c r="O24" s="2952"/>
      <c r="P24" s="2952"/>
      <c r="Q24" s="2952"/>
      <c r="R24" s="2952"/>
      <c r="S24" s="2952"/>
      <c r="T24" s="2952"/>
      <c r="U24" s="2952"/>
      <c r="V24" s="2952"/>
      <c r="W24" s="2952"/>
      <c r="X24" s="2952"/>
      <c r="Y24" s="2952"/>
      <c r="Z24" s="2952"/>
      <c r="AA24" s="2952"/>
      <c r="AB24" s="2952"/>
      <c r="AC24" s="2942">
        <f t="shared" si="10"/>
        <v>0</v>
      </c>
      <c r="AD24" s="2962"/>
      <c r="AE24" s="2962"/>
      <c r="AF24" s="2962"/>
      <c r="AG24" s="2962"/>
      <c r="AH24" s="2962"/>
      <c r="AI24" s="2962"/>
      <c r="AJ24" s="2962"/>
      <c r="AK24" s="2962"/>
      <c r="AL24" s="2962"/>
      <c r="AM24" s="2962"/>
      <c r="AN24" s="2962"/>
      <c r="AO24" s="2962"/>
      <c r="AP24" s="2962"/>
      <c r="AQ24" s="2962"/>
      <c r="AR24" s="2962"/>
      <c r="AS24" s="2962"/>
      <c r="AT24" s="2972"/>
      <c r="AU24" s="2973"/>
      <c r="AV24" s="1120">
        <f t="shared" si="11"/>
        <v>0</v>
      </c>
      <c r="AW24" s="1120">
        <f t="shared" si="12"/>
        <v>0</v>
      </c>
      <c r="AX24" s="1120">
        <f t="shared" si="13"/>
        <v>0</v>
      </c>
      <c r="AY24" s="2987">
        <f t="shared" si="14"/>
        <v>0</v>
      </c>
      <c r="AZ24" s="2942">
        <f t="shared" si="15"/>
        <v>0</v>
      </c>
      <c r="BA24" s="2942">
        <f t="shared" si="16"/>
        <v>0</v>
      </c>
      <c r="BB24" s="2942">
        <f t="shared" si="17"/>
        <v>0</v>
      </c>
      <c r="BC24" s="2942">
        <f t="shared" si="18"/>
        <v>0</v>
      </c>
      <c r="BD24" s="2942">
        <f t="shared" si="19"/>
        <v>0</v>
      </c>
      <c r="BE24" s="2942">
        <f t="shared" si="20"/>
        <v>0</v>
      </c>
      <c r="BF24" s="2942">
        <f t="shared" si="21"/>
        <v>0</v>
      </c>
      <c r="BG24" s="2942">
        <f t="shared" si="22"/>
        <v>0</v>
      </c>
      <c r="BH24" s="2942">
        <f t="shared" si="23"/>
        <v>0</v>
      </c>
      <c r="BI24" s="2942">
        <f t="shared" si="24"/>
        <v>0</v>
      </c>
      <c r="BJ24" s="2942">
        <f t="shared" si="25"/>
        <v>0</v>
      </c>
      <c r="BK24" s="2942">
        <f t="shared" si="26"/>
        <v>0</v>
      </c>
      <c r="BL24" s="2942">
        <f t="shared" si="27"/>
        <v>0</v>
      </c>
      <c r="BM24" s="2942">
        <f t="shared" si="28"/>
        <v>0</v>
      </c>
      <c r="BN24" s="2942">
        <f t="shared" si="29"/>
        <v>0</v>
      </c>
      <c r="BO24" s="2942">
        <f t="shared" si="30"/>
        <v>0</v>
      </c>
      <c r="BP24" s="2942">
        <f t="shared" si="31"/>
        <v>0</v>
      </c>
      <c r="BQ24" s="2942">
        <f t="shared" si="32"/>
        <v>0</v>
      </c>
      <c r="BR24" s="2942">
        <f t="shared" si="33"/>
        <v>0</v>
      </c>
      <c r="BS24" s="2942">
        <f t="shared" si="34"/>
        <v>0</v>
      </c>
      <c r="BT24" s="2994">
        <f t="shared" si="35"/>
        <v>0</v>
      </c>
    </row>
    <row r="25" spans="1:72">
      <c r="A25" s="2939"/>
      <c r="B25" s="2940"/>
      <c r="C25" s="2940"/>
      <c r="D25" s="2941"/>
      <c r="E25" s="2942">
        <f t="shared" si="7"/>
        <v>0</v>
      </c>
      <c r="F25" s="2943"/>
      <c r="G25" s="2944">
        <f t="shared" si="8"/>
        <v>0</v>
      </c>
      <c r="H25" s="2945">
        <f t="shared" si="9"/>
        <v>0</v>
      </c>
      <c r="I25" s="2952"/>
      <c r="J25" s="2952"/>
      <c r="K25" s="2952"/>
      <c r="L25" s="2952"/>
      <c r="M25" s="2952"/>
      <c r="N25" s="2952"/>
      <c r="O25" s="2952"/>
      <c r="P25" s="2952"/>
      <c r="Q25" s="2952"/>
      <c r="R25" s="2952"/>
      <c r="S25" s="2952"/>
      <c r="T25" s="2952"/>
      <c r="U25" s="2952"/>
      <c r="V25" s="2952"/>
      <c r="W25" s="2952"/>
      <c r="X25" s="2952"/>
      <c r="Y25" s="2952"/>
      <c r="Z25" s="2952"/>
      <c r="AA25" s="2952"/>
      <c r="AB25" s="2952"/>
      <c r="AC25" s="2942">
        <f t="shared" si="10"/>
        <v>0</v>
      </c>
      <c r="AD25" s="2962"/>
      <c r="AE25" s="2962"/>
      <c r="AF25" s="2962"/>
      <c r="AG25" s="2962"/>
      <c r="AH25" s="2962"/>
      <c r="AI25" s="2962"/>
      <c r="AJ25" s="2962"/>
      <c r="AK25" s="2962"/>
      <c r="AL25" s="2962"/>
      <c r="AM25" s="2962"/>
      <c r="AN25" s="2962"/>
      <c r="AO25" s="2962"/>
      <c r="AP25" s="2962"/>
      <c r="AQ25" s="2962"/>
      <c r="AR25" s="2962"/>
      <c r="AS25" s="2962"/>
      <c r="AT25" s="2972"/>
      <c r="AU25" s="2973"/>
      <c r="AV25" s="1120">
        <f t="shared" si="11"/>
        <v>0</v>
      </c>
      <c r="AW25" s="1120">
        <f t="shared" si="12"/>
        <v>0</v>
      </c>
      <c r="AX25" s="1120">
        <f t="shared" si="13"/>
        <v>0</v>
      </c>
      <c r="AY25" s="2987">
        <f t="shared" si="14"/>
        <v>0</v>
      </c>
      <c r="AZ25" s="2942">
        <f t="shared" si="15"/>
        <v>0</v>
      </c>
      <c r="BA25" s="2942">
        <f t="shared" si="16"/>
        <v>0</v>
      </c>
      <c r="BB25" s="2942">
        <f t="shared" si="17"/>
        <v>0</v>
      </c>
      <c r="BC25" s="2942">
        <f t="shared" si="18"/>
        <v>0</v>
      </c>
      <c r="BD25" s="2942">
        <f t="shared" si="19"/>
        <v>0</v>
      </c>
      <c r="BE25" s="2942">
        <f t="shared" si="20"/>
        <v>0</v>
      </c>
      <c r="BF25" s="2942">
        <f t="shared" si="21"/>
        <v>0</v>
      </c>
      <c r="BG25" s="2942">
        <f t="shared" si="22"/>
        <v>0</v>
      </c>
      <c r="BH25" s="2942">
        <f t="shared" si="23"/>
        <v>0</v>
      </c>
      <c r="BI25" s="2942">
        <f t="shared" si="24"/>
        <v>0</v>
      </c>
      <c r="BJ25" s="2942">
        <f t="shared" si="25"/>
        <v>0</v>
      </c>
      <c r="BK25" s="2942">
        <f t="shared" si="26"/>
        <v>0</v>
      </c>
      <c r="BL25" s="2942">
        <f t="shared" si="27"/>
        <v>0</v>
      </c>
      <c r="BM25" s="2942">
        <f t="shared" si="28"/>
        <v>0</v>
      </c>
      <c r="BN25" s="2942">
        <f t="shared" si="29"/>
        <v>0</v>
      </c>
      <c r="BO25" s="2942">
        <f t="shared" si="30"/>
        <v>0</v>
      </c>
      <c r="BP25" s="2942">
        <f t="shared" si="31"/>
        <v>0</v>
      </c>
      <c r="BQ25" s="2942">
        <f t="shared" si="32"/>
        <v>0</v>
      </c>
      <c r="BR25" s="2942">
        <f t="shared" si="33"/>
        <v>0</v>
      </c>
      <c r="BS25" s="2942">
        <f t="shared" si="34"/>
        <v>0</v>
      </c>
      <c r="BT25" s="2994">
        <f t="shared" si="35"/>
        <v>0</v>
      </c>
    </row>
    <row r="26" spans="1:72">
      <c r="A26" s="2939"/>
      <c r="B26" s="2940"/>
      <c r="C26" s="2940"/>
      <c r="D26" s="2941"/>
      <c r="E26" s="2942">
        <f t="shared" si="7"/>
        <v>0</v>
      </c>
      <c r="F26" s="2943"/>
      <c r="G26" s="2944">
        <f t="shared" si="8"/>
        <v>0</v>
      </c>
      <c r="H26" s="2945">
        <f t="shared" si="9"/>
        <v>0</v>
      </c>
      <c r="I26" s="2952"/>
      <c r="J26" s="2952"/>
      <c r="K26" s="2952"/>
      <c r="L26" s="2952"/>
      <c r="M26" s="2952"/>
      <c r="N26" s="2952"/>
      <c r="O26" s="2952"/>
      <c r="P26" s="2952"/>
      <c r="Q26" s="2952"/>
      <c r="R26" s="2952"/>
      <c r="S26" s="2952"/>
      <c r="T26" s="2952"/>
      <c r="U26" s="2952"/>
      <c r="V26" s="2952"/>
      <c r="W26" s="2952"/>
      <c r="X26" s="2952"/>
      <c r="Y26" s="2952"/>
      <c r="Z26" s="2952"/>
      <c r="AA26" s="2952"/>
      <c r="AB26" s="2952"/>
      <c r="AC26" s="2942">
        <f t="shared" si="10"/>
        <v>0</v>
      </c>
      <c r="AD26" s="2962"/>
      <c r="AE26" s="2962"/>
      <c r="AF26" s="2962"/>
      <c r="AG26" s="2962"/>
      <c r="AH26" s="2962"/>
      <c r="AI26" s="2962"/>
      <c r="AJ26" s="2962"/>
      <c r="AK26" s="2962"/>
      <c r="AL26" s="2962"/>
      <c r="AM26" s="2962"/>
      <c r="AN26" s="2962"/>
      <c r="AO26" s="2962"/>
      <c r="AP26" s="2962"/>
      <c r="AQ26" s="2962"/>
      <c r="AR26" s="2962"/>
      <c r="AS26" s="2962"/>
      <c r="AT26" s="2972"/>
      <c r="AU26" s="2973"/>
      <c r="AV26" s="1120">
        <f t="shared" si="11"/>
        <v>0</v>
      </c>
      <c r="AW26" s="1120">
        <f t="shared" si="12"/>
        <v>0</v>
      </c>
      <c r="AX26" s="1120">
        <f t="shared" si="13"/>
        <v>0</v>
      </c>
      <c r="AY26" s="2987">
        <f t="shared" si="14"/>
        <v>0</v>
      </c>
      <c r="AZ26" s="2942">
        <f t="shared" si="15"/>
        <v>0</v>
      </c>
      <c r="BA26" s="2942">
        <f t="shared" si="16"/>
        <v>0</v>
      </c>
      <c r="BB26" s="2942">
        <f t="shared" si="17"/>
        <v>0</v>
      </c>
      <c r="BC26" s="2942">
        <f t="shared" si="18"/>
        <v>0</v>
      </c>
      <c r="BD26" s="2942">
        <f t="shared" si="19"/>
        <v>0</v>
      </c>
      <c r="BE26" s="2942">
        <f t="shared" si="20"/>
        <v>0</v>
      </c>
      <c r="BF26" s="2942">
        <f t="shared" si="21"/>
        <v>0</v>
      </c>
      <c r="BG26" s="2942">
        <f t="shared" si="22"/>
        <v>0</v>
      </c>
      <c r="BH26" s="2942">
        <f t="shared" si="23"/>
        <v>0</v>
      </c>
      <c r="BI26" s="2942">
        <f t="shared" si="24"/>
        <v>0</v>
      </c>
      <c r="BJ26" s="2942">
        <f t="shared" si="25"/>
        <v>0</v>
      </c>
      <c r="BK26" s="2942">
        <f t="shared" si="26"/>
        <v>0</v>
      </c>
      <c r="BL26" s="2942">
        <f t="shared" si="27"/>
        <v>0</v>
      </c>
      <c r="BM26" s="2942">
        <f t="shared" si="28"/>
        <v>0</v>
      </c>
      <c r="BN26" s="2942">
        <f t="shared" si="29"/>
        <v>0</v>
      </c>
      <c r="BO26" s="2942">
        <f t="shared" si="30"/>
        <v>0</v>
      </c>
      <c r="BP26" s="2942">
        <f t="shared" si="31"/>
        <v>0</v>
      </c>
      <c r="BQ26" s="2942">
        <f t="shared" si="32"/>
        <v>0</v>
      </c>
      <c r="BR26" s="2942">
        <f t="shared" si="33"/>
        <v>0</v>
      </c>
      <c r="BS26" s="2942">
        <f t="shared" si="34"/>
        <v>0</v>
      </c>
      <c r="BT26" s="2994">
        <f t="shared" si="35"/>
        <v>0</v>
      </c>
    </row>
    <row r="27" spans="1:72">
      <c r="A27" s="2939"/>
      <c r="B27" s="2940"/>
      <c r="C27" s="2940"/>
      <c r="D27" s="2941"/>
      <c r="E27" s="2942">
        <f t="shared" si="7"/>
        <v>0</v>
      </c>
      <c r="F27" s="2943"/>
      <c r="G27" s="2944">
        <f t="shared" si="8"/>
        <v>0</v>
      </c>
      <c r="H27" s="2945">
        <f t="shared" si="9"/>
        <v>0</v>
      </c>
      <c r="I27" s="2952"/>
      <c r="J27" s="2952"/>
      <c r="K27" s="2952"/>
      <c r="L27" s="2952"/>
      <c r="M27" s="2952"/>
      <c r="N27" s="2952"/>
      <c r="O27" s="2952"/>
      <c r="P27" s="2952"/>
      <c r="Q27" s="2952"/>
      <c r="R27" s="2952"/>
      <c r="S27" s="2952"/>
      <c r="T27" s="2952"/>
      <c r="U27" s="2952"/>
      <c r="V27" s="2952"/>
      <c r="W27" s="2952"/>
      <c r="X27" s="2952"/>
      <c r="Y27" s="2952"/>
      <c r="Z27" s="2952"/>
      <c r="AA27" s="2952"/>
      <c r="AB27" s="2952"/>
      <c r="AC27" s="2942">
        <f t="shared" si="10"/>
        <v>0</v>
      </c>
      <c r="AD27" s="2962"/>
      <c r="AE27" s="2962"/>
      <c r="AF27" s="2962"/>
      <c r="AG27" s="2962"/>
      <c r="AH27" s="2962"/>
      <c r="AI27" s="2962"/>
      <c r="AJ27" s="2962"/>
      <c r="AK27" s="2962"/>
      <c r="AL27" s="2962"/>
      <c r="AM27" s="2962"/>
      <c r="AN27" s="2962"/>
      <c r="AO27" s="2962"/>
      <c r="AP27" s="2962"/>
      <c r="AQ27" s="2962"/>
      <c r="AR27" s="2962"/>
      <c r="AS27" s="2962"/>
      <c r="AT27" s="2972"/>
      <c r="AU27" s="2973"/>
      <c r="AV27" s="1120">
        <f t="shared" si="11"/>
        <v>0</v>
      </c>
      <c r="AW27" s="1120">
        <f t="shared" si="12"/>
        <v>0</v>
      </c>
      <c r="AX27" s="1120">
        <f t="shared" si="13"/>
        <v>0</v>
      </c>
      <c r="AY27" s="2987">
        <f t="shared" si="14"/>
        <v>0</v>
      </c>
      <c r="AZ27" s="2942">
        <f t="shared" si="15"/>
        <v>0</v>
      </c>
      <c r="BA27" s="2942">
        <f t="shared" si="16"/>
        <v>0</v>
      </c>
      <c r="BB27" s="2942">
        <f t="shared" si="17"/>
        <v>0</v>
      </c>
      <c r="BC27" s="2942">
        <f t="shared" si="18"/>
        <v>0</v>
      </c>
      <c r="BD27" s="2942">
        <f t="shared" si="19"/>
        <v>0</v>
      </c>
      <c r="BE27" s="2942">
        <f t="shared" si="20"/>
        <v>0</v>
      </c>
      <c r="BF27" s="2942">
        <f t="shared" si="21"/>
        <v>0</v>
      </c>
      <c r="BG27" s="2942">
        <f t="shared" si="22"/>
        <v>0</v>
      </c>
      <c r="BH27" s="2942">
        <f t="shared" si="23"/>
        <v>0</v>
      </c>
      <c r="BI27" s="2942">
        <f t="shared" si="24"/>
        <v>0</v>
      </c>
      <c r="BJ27" s="2942">
        <f t="shared" si="25"/>
        <v>0</v>
      </c>
      <c r="BK27" s="2942">
        <f t="shared" si="26"/>
        <v>0</v>
      </c>
      <c r="BL27" s="2942">
        <f t="shared" si="27"/>
        <v>0</v>
      </c>
      <c r="BM27" s="2942">
        <f t="shared" si="28"/>
        <v>0</v>
      </c>
      <c r="BN27" s="2942">
        <f t="shared" si="29"/>
        <v>0</v>
      </c>
      <c r="BO27" s="2942">
        <f t="shared" si="30"/>
        <v>0</v>
      </c>
      <c r="BP27" s="2942">
        <f t="shared" si="31"/>
        <v>0</v>
      </c>
      <c r="BQ27" s="2942">
        <f t="shared" si="32"/>
        <v>0</v>
      </c>
      <c r="BR27" s="2942">
        <f t="shared" si="33"/>
        <v>0</v>
      </c>
      <c r="BS27" s="2942">
        <f t="shared" si="34"/>
        <v>0</v>
      </c>
      <c r="BT27" s="2994">
        <f t="shared" si="35"/>
        <v>0</v>
      </c>
    </row>
    <row r="28" spans="1:72">
      <c r="A28" s="2939"/>
      <c r="B28" s="2940"/>
      <c r="C28" s="2940"/>
      <c r="D28" s="2941"/>
      <c r="E28" s="2942">
        <f t="shared" si="7"/>
        <v>0</v>
      </c>
      <c r="F28" s="2943"/>
      <c r="G28" s="2944">
        <f t="shared" si="8"/>
        <v>0</v>
      </c>
      <c r="H28" s="2945">
        <f t="shared" si="9"/>
        <v>0</v>
      </c>
      <c r="I28" s="2952"/>
      <c r="J28" s="2952"/>
      <c r="K28" s="2952"/>
      <c r="L28" s="2952"/>
      <c r="M28" s="2952"/>
      <c r="N28" s="2952"/>
      <c r="O28" s="2952"/>
      <c r="P28" s="2952"/>
      <c r="Q28" s="2952"/>
      <c r="R28" s="2952"/>
      <c r="S28" s="2952"/>
      <c r="T28" s="2952"/>
      <c r="U28" s="2952"/>
      <c r="V28" s="2952"/>
      <c r="W28" s="2952"/>
      <c r="X28" s="2952"/>
      <c r="Y28" s="2952"/>
      <c r="Z28" s="2952"/>
      <c r="AA28" s="2952"/>
      <c r="AB28" s="2952"/>
      <c r="AC28" s="2942">
        <f t="shared" si="10"/>
        <v>0</v>
      </c>
      <c r="AD28" s="2962"/>
      <c r="AE28" s="2962"/>
      <c r="AF28" s="2962"/>
      <c r="AG28" s="2962"/>
      <c r="AH28" s="2962"/>
      <c r="AI28" s="2962"/>
      <c r="AJ28" s="2962"/>
      <c r="AK28" s="2962"/>
      <c r="AL28" s="2962"/>
      <c r="AM28" s="2962"/>
      <c r="AN28" s="2962"/>
      <c r="AO28" s="2962"/>
      <c r="AP28" s="2962"/>
      <c r="AQ28" s="2962"/>
      <c r="AR28" s="2962"/>
      <c r="AS28" s="2962"/>
      <c r="AT28" s="2972"/>
      <c r="AU28" s="2973"/>
      <c r="AV28" s="1120">
        <f t="shared" si="11"/>
        <v>0</v>
      </c>
      <c r="AW28" s="1120">
        <f t="shared" si="12"/>
        <v>0</v>
      </c>
      <c r="AX28" s="1120">
        <f t="shared" si="13"/>
        <v>0</v>
      </c>
      <c r="AY28" s="2987">
        <f t="shared" si="14"/>
        <v>0</v>
      </c>
      <c r="AZ28" s="2942">
        <f t="shared" si="15"/>
        <v>0</v>
      </c>
      <c r="BA28" s="2942">
        <f t="shared" si="16"/>
        <v>0</v>
      </c>
      <c r="BB28" s="2942">
        <f t="shared" si="17"/>
        <v>0</v>
      </c>
      <c r="BC28" s="2942">
        <f t="shared" si="18"/>
        <v>0</v>
      </c>
      <c r="BD28" s="2942">
        <f t="shared" si="19"/>
        <v>0</v>
      </c>
      <c r="BE28" s="2942">
        <f t="shared" si="20"/>
        <v>0</v>
      </c>
      <c r="BF28" s="2942">
        <f t="shared" si="21"/>
        <v>0</v>
      </c>
      <c r="BG28" s="2942">
        <f t="shared" si="22"/>
        <v>0</v>
      </c>
      <c r="BH28" s="2942">
        <f t="shared" si="23"/>
        <v>0</v>
      </c>
      <c r="BI28" s="2942">
        <f t="shared" si="24"/>
        <v>0</v>
      </c>
      <c r="BJ28" s="2942">
        <f t="shared" si="25"/>
        <v>0</v>
      </c>
      <c r="BK28" s="2942">
        <f t="shared" si="26"/>
        <v>0</v>
      </c>
      <c r="BL28" s="2942">
        <f t="shared" si="27"/>
        <v>0</v>
      </c>
      <c r="BM28" s="2942">
        <f t="shared" si="28"/>
        <v>0</v>
      </c>
      <c r="BN28" s="2942">
        <f t="shared" si="29"/>
        <v>0</v>
      </c>
      <c r="BO28" s="2942">
        <f t="shared" si="30"/>
        <v>0</v>
      </c>
      <c r="BP28" s="2942">
        <f t="shared" si="31"/>
        <v>0</v>
      </c>
      <c r="BQ28" s="2942">
        <f t="shared" si="32"/>
        <v>0</v>
      </c>
      <c r="BR28" s="2942">
        <f t="shared" si="33"/>
        <v>0</v>
      </c>
      <c r="BS28" s="2942">
        <f t="shared" si="34"/>
        <v>0</v>
      </c>
      <c r="BT28" s="2994">
        <f t="shared" si="35"/>
        <v>0</v>
      </c>
    </row>
    <row r="29" spans="1:72">
      <c r="A29" s="2939"/>
      <c r="B29" s="2940"/>
      <c r="C29" s="2940"/>
      <c r="D29" s="2941"/>
      <c r="E29" s="2942">
        <f t="shared" si="7"/>
        <v>0</v>
      </c>
      <c r="F29" s="2943"/>
      <c r="G29" s="2944">
        <f t="shared" si="8"/>
        <v>0</v>
      </c>
      <c r="H29" s="2945">
        <f t="shared" si="9"/>
        <v>0</v>
      </c>
      <c r="I29" s="2952"/>
      <c r="J29" s="2952"/>
      <c r="K29" s="2952"/>
      <c r="L29" s="2952"/>
      <c r="M29" s="2952"/>
      <c r="N29" s="2952"/>
      <c r="O29" s="2952"/>
      <c r="P29" s="2952"/>
      <c r="Q29" s="2952"/>
      <c r="R29" s="2952"/>
      <c r="S29" s="2952"/>
      <c r="T29" s="2952"/>
      <c r="U29" s="2952"/>
      <c r="V29" s="2952"/>
      <c r="W29" s="2952"/>
      <c r="X29" s="2952"/>
      <c r="Y29" s="2952"/>
      <c r="Z29" s="2952"/>
      <c r="AA29" s="2952"/>
      <c r="AB29" s="2952"/>
      <c r="AC29" s="2942">
        <f t="shared" si="10"/>
        <v>0</v>
      </c>
      <c r="AD29" s="2962"/>
      <c r="AE29" s="2962"/>
      <c r="AF29" s="2962"/>
      <c r="AG29" s="2962"/>
      <c r="AH29" s="2962"/>
      <c r="AI29" s="2962"/>
      <c r="AJ29" s="2962"/>
      <c r="AK29" s="2962"/>
      <c r="AL29" s="2962"/>
      <c r="AM29" s="2962"/>
      <c r="AN29" s="2962"/>
      <c r="AO29" s="2962"/>
      <c r="AP29" s="2962"/>
      <c r="AQ29" s="2962"/>
      <c r="AR29" s="2962"/>
      <c r="AS29" s="2962"/>
      <c r="AT29" s="2972"/>
      <c r="AU29" s="2973"/>
      <c r="AV29" s="1120">
        <f t="shared" si="11"/>
        <v>0</v>
      </c>
      <c r="AW29" s="1120">
        <f t="shared" si="12"/>
        <v>0</v>
      </c>
      <c r="AX29" s="1120">
        <f t="shared" si="13"/>
        <v>0</v>
      </c>
      <c r="AY29" s="2987">
        <f t="shared" si="14"/>
        <v>0</v>
      </c>
      <c r="AZ29" s="2942">
        <f t="shared" si="15"/>
        <v>0</v>
      </c>
      <c r="BA29" s="2942">
        <f t="shared" si="16"/>
        <v>0</v>
      </c>
      <c r="BB29" s="2942">
        <f t="shared" si="17"/>
        <v>0</v>
      </c>
      <c r="BC29" s="2942">
        <f t="shared" si="18"/>
        <v>0</v>
      </c>
      <c r="BD29" s="2942">
        <f t="shared" si="19"/>
        <v>0</v>
      </c>
      <c r="BE29" s="2942">
        <f t="shared" si="20"/>
        <v>0</v>
      </c>
      <c r="BF29" s="2942">
        <f t="shared" si="21"/>
        <v>0</v>
      </c>
      <c r="BG29" s="2942">
        <f t="shared" si="22"/>
        <v>0</v>
      </c>
      <c r="BH29" s="2942">
        <f t="shared" si="23"/>
        <v>0</v>
      </c>
      <c r="BI29" s="2942">
        <f t="shared" si="24"/>
        <v>0</v>
      </c>
      <c r="BJ29" s="2942">
        <f t="shared" si="25"/>
        <v>0</v>
      </c>
      <c r="BK29" s="2942">
        <f t="shared" si="26"/>
        <v>0</v>
      </c>
      <c r="BL29" s="2942">
        <f t="shared" si="27"/>
        <v>0</v>
      </c>
      <c r="BM29" s="2942">
        <f t="shared" si="28"/>
        <v>0</v>
      </c>
      <c r="BN29" s="2942">
        <f t="shared" si="29"/>
        <v>0</v>
      </c>
      <c r="BO29" s="2942">
        <f t="shared" si="30"/>
        <v>0</v>
      </c>
      <c r="BP29" s="2942">
        <f t="shared" si="31"/>
        <v>0</v>
      </c>
      <c r="BQ29" s="2942">
        <f t="shared" si="32"/>
        <v>0</v>
      </c>
      <c r="BR29" s="2942">
        <f t="shared" si="33"/>
        <v>0</v>
      </c>
      <c r="BS29" s="2942">
        <f t="shared" si="34"/>
        <v>0</v>
      </c>
      <c r="BT29" s="2994">
        <f t="shared" si="35"/>
        <v>0</v>
      </c>
    </row>
    <row r="30" spans="1:72">
      <c r="A30" s="2939"/>
      <c r="B30" s="2940"/>
      <c r="C30" s="2940"/>
      <c r="D30" s="2941"/>
      <c r="E30" s="2942">
        <f t="shared" si="7"/>
        <v>0</v>
      </c>
      <c r="F30" s="2943"/>
      <c r="G30" s="2944">
        <f t="shared" si="8"/>
        <v>0</v>
      </c>
      <c r="H30" s="2945">
        <f t="shared" si="9"/>
        <v>0</v>
      </c>
      <c r="I30" s="2952"/>
      <c r="J30" s="2952"/>
      <c r="K30" s="2952"/>
      <c r="L30" s="2952"/>
      <c r="M30" s="2952"/>
      <c r="N30" s="2952"/>
      <c r="O30" s="2952"/>
      <c r="P30" s="2952"/>
      <c r="Q30" s="2952"/>
      <c r="R30" s="2952"/>
      <c r="S30" s="2952"/>
      <c r="T30" s="2952"/>
      <c r="U30" s="2952"/>
      <c r="V30" s="2952"/>
      <c r="W30" s="2952"/>
      <c r="X30" s="2952"/>
      <c r="Y30" s="2952"/>
      <c r="Z30" s="2952"/>
      <c r="AA30" s="2952"/>
      <c r="AB30" s="2952"/>
      <c r="AC30" s="2942">
        <f t="shared" si="10"/>
        <v>0</v>
      </c>
      <c r="AD30" s="2962"/>
      <c r="AE30" s="2962"/>
      <c r="AF30" s="2962"/>
      <c r="AG30" s="2962"/>
      <c r="AH30" s="2962"/>
      <c r="AI30" s="2962"/>
      <c r="AJ30" s="2962"/>
      <c r="AK30" s="2962"/>
      <c r="AL30" s="2962"/>
      <c r="AM30" s="2962"/>
      <c r="AN30" s="2962"/>
      <c r="AO30" s="2962"/>
      <c r="AP30" s="2962"/>
      <c r="AQ30" s="2962"/>
      <c r="AR30" s="2962"/>
      <c r="AS30" s="2962"/>
      <c r="AT30" s="2972"/>
      <c r="AU30" s="2973"/>
      <c r="AV30" s="1120">
        <f t="shared" si="11"/>
        <v>0</v>
      </c>
      <c r="AW30" s="1120">
        <f t="shared" si="12"/>
        <v>0</v>
      </c>
      <c r="AX30" s="1120">
        <f t="shared" si="13"/>
        <v>0</v>
      </c>
      <c r="AY30" s="2987">
        <f t="shared" si="14"/>
        <v>0</v>
      </c>
      <c r="AZ30" s="2942">
        <f t="shared" si="15"/>
        <v>0</v>
      </c>
      <c r="BA30" s="2942">
        <f t="shared" si="16"/>
        <v>0</v>
      </c>
      <c r="BB30" s="2942">
        <f t="shared" si="17"/>
        <v>0</v>
      </c>
      <c r="BC30" s="2942">
        <f t="shared" si="18"/>
        <v>0</v>
      </c>
      <c r="BD30" s="2942">
        <f t="shared" si="19"/>
        <v>0</v>
      </c>
      <c r="BE30" s="2942">
        <f t="shared" si="20"/>
        <v>0</v>
      </c>
      <c r="BF30" s="2942">
        <f t="shared" si="21"/>
        <v>0</v>
      </c>
      <c r="BG30" s="2942">
        <f t="shared" si="22"/>
        <v>0</v>
      </c>
      <c r="BH30" s="2942">
        <f t="shared" si="23"/>
        <v>0</v>
      </c>
      <c r="BI30" s="2942">
        <f t="shared" si="24"/>
        <v>0</v>
      </c>
      <c r="BJ30" s="2942">
        <f t="shared" si="25"/>
        <v>0</v>
      </c>
      <c r="BK30" s="2942">
        <f t="shared" si="26"/>
        <v>0</v>
      </c>
      <c r="BL30" s="2942">
        <f t="shared" si="27"/>
        <v>0</v>
      </c>
      <c r="BM30" s="2942">
        <f t="shared" si="28"/>
        <v>0</v>
      </c>
      <c r="BN30" s="2942">
        <f t="shared" si="29"/>
        <v>0</v>
      </c>
      <c r="BO30" s="2942">
        <f t="shared" si="30"/>
        <v>0</v>
      </c>
      <c r="BP30" s="2942">
        <f t="shared" si="31"/>
        <v>0</v>
      </c>
      <c r="BQ30" s="2942">
        <f t="shared" si="32"/>
        <v>0</v>
      </c>
      <c r="BR30" s="2942">
        <f t="shared" si="33"/>
        <v>0</v>
      </c>
      <c r="BS30" s="2942">
        <f t="shared" si="34"/>
        <v>0</v>
      </c>
      <c r="BT30" s="2994">
        <f t="shared" si="35"/>
        <v>0</v>
      </c>
    </row>
    <row r="31" spans="1:72">
      <c r="A31" s="2939"/>
      <c r="B31" s="2940"/>
      <c r="C31" s="2940"/>
      <c r="D31" s="2941"/>
      <c r="E31" s="2942">
        <f t="shared" si="7"/>
        <v>0</v>
      </c>
      <c r="F31" s="2943"/>
      <c r="G31" s="2944">
        <f t="shared" si="8"/>
        <v>0</v>
      </c>
      <c r="H31" s="2945">
        <f t="shared" si="9"/>
        <v>0</v>
      </c>
      <c r="I31" s="2952"/>
      <c r="J31" s="2952"/>
      <c r="K31" s="2952"/>
      <c r="L31" s="2952"/>
      <c r="M31" s="2952"/>
      <c r="N31" s="2952"/>
      <c r="O31" s="2952"/>
      <c r="P31" s="2952"/>
      <c r="Q31" s="2952"/>
      <c r="R31" s="2952"/>
      <c r="S31" s="2952"/>
      <c r="T31" s="2952"/>
      <c r="U31" s="2952"/>
      <c r="V31" s="2952"/>
      <c r="W31" s="2952"/>
      <c r="X31" s="2952"/>
      <c r="Y31" s="2952"/>
      <c r="Z31" s="2952"/>
      <c r="AA31" s="2952"/>
      <c r="AB31" s="2952"/>
      <c r="AC31" s="2942">
        <f t="shared" si="10"/>
        <v>0</v>
      </c>
      <c r="AD31" s="2962"/>
      <c r="AE31" s="2962"/>
      <c r="AF31" s="2962"/>
      <c r="AG31" s="2962"/>
      <c r="AH31" s="2962"/>
      <c r="AI31" s="2962"/>
      <c r="AJ31" s="2962"/>
      <c r="AK31" s="2962"/>
      <c r="AL31" s="2962"/>
      <c r="AM31" s="2962"/>
      <c r="AN31" s="2962"/>
      <c r="AO31" s="2962"/>
      <c r="AP31" s="2962"/>
      <c r="AQ31" s="2962"/>
      <c r="AR31" s="2962"/>
      <c r="AS31" s="2962"/>
      <c r="AT31" s="2972"/>
      <c r="AU31" s="2973"/>
      <c r="AV31" s="1120">
        <f t="shared" si="11"/>
        <v>0</v>
      </c>
      <c r="AW31" s="1120">
        <f t="shared" si="12"/>
        <v>0</v>
      </c>
      <c r="AX31" s="1120">
        <f t="shared" si="13"/>
        <v>0</v>
      </c>
      <c r="AY31" s="2987">
        <f t="shared" si="14"/>
        <v>0</v>
      </c>
      <c r="AZ31" s="2942">
        <f t="shared" si="15"/>
        <v>0</v>
      </c>
      <c r="BA31" s="2942">
        <f t="shared" si="16"/>
        <v>0</v>
      </c>
      <c r="BB31" s="2942">
        <f t="shared" si="17"/>
        <v>0</v>
      </c>
      <c r="BC31" s="2942">
        <f t="shared" si="18"/>
        <v>0</v>
      </c>
      <c r="BD31" s="2942">
        <f t="shared" si="19"/>
        <v>0</v>
      </c>
      <c r="BE31" s="2942">
        <f t="shared" si="20"/>
        <v>0</v>
      </c>
      <c r="BF31" s="2942">
        <f t="shared" si="21"/>
        <v>0</v>
      </c>
      <c r="BG31" s="2942">
        <f t="shared" si="22"/>
        <v>0</v>
      </c>
      <c r="BH31" s="2942">
        <f t="shared" si="23"/>
        <v>0</v>
      </c>
      <c r="BI31" s="2942">
        <f t="shared" si="24"/>
        <v>0</v>
      </c>
      <c r="BJ31" s="2942">
        <f t="shared" si="25"/>
        <v>0</v>
      </c>
      <c r="BK31" s="2942">
        <f t="shared" si="26"/>
        <v>0</v>
      </c>
      <c r="BL31" s="2942">
        <f t="shared" si="27"/>
        <v>0</v>
      </c>
      <c r="BM31" s="2942">
        <f t="shared" si="28"/>
        <v>0</v>
      </c>
      <c r="BN31" s="2942">
        <f t="shared" si="29"/>
        <v>0</v>
      </c>
      <c r="BO31" s="2942">
        <f t="shared" si="30"/>
        <v>0</v>
      </c>
      <c r="BP31" s="2942">
        <f t="shared" si="31"/>
        <v>0</v>
      </c>
      <c r="BQ31" s="2942">
        <f t="shared" si="32"/>
        <v>0</v>
      </c>
      <c r="BR31" s="2942">
        <f t="shared" si="33"/>
        <v>0</v>
      </c>
      <c r="BS31" s="2942">
        <f t="shared" si="34"/>
        <v>0</v>
      </c>
      <c r="BT31" s="2994">
        <f t="shared" si="35"/>
        <v>0</v>
      </c>
    </row>
    <row r="32" spans="1:72">
      <c r="A32" s="2939"/>
      <c r="B32" s="2940"/>
      <c r="C32" s="2940"/>
      <c r="D32" s="2941"/>
      <c r="E32" s="2942">
        <f t="shared" si="7"/>
        <v>0</v>
      </c>
      <c r="F32" s="2943"/>
      <c r="G32" s="2944">
        <f t="shared" si="8"/>
        <v>0</v>
      </c>
      <c r="H32" s="2945">
        <f t="shared" si="9"/>
        <v>0</v>
      </c>
      <c r="I32" s="2952"/>
      <c r="J32" s="2952"/>
      <c r="K32" s="2952"/>
      <c r="L32" s="2952"/>
      <c r="M32" s="2952"/>
      <c r="N32" s="2952"/>
      <c r="O32" s="2952"/>
      <c r="P32" s="2952"/>
      <c r="Q32" s="2952"/>
      <c r="R32" s="2952"/>
      <c r="S32" s="2952"/>
      <c r="T32" s="2952"/>
      <c r="U32" s="2952"/>
      <c r="V32" s="2952"/>
      <c r="W32" s="2952"/>
      <c r="X32" s="2952"/>
      <c r="Y32" s="2952"/>
      <c r="Z32" s="2952"/>
      <c r="AA32" s="2952"/>
      <c r="AB32" s="2952"/>
      <c r="AC32" s="2942">
        <f t="shared" si="10"/>
        <v>0</v>
      </c>
      <c r="AD32" s="2962"/>
      <c r="AE32" s="2962"/>
      <c r="AF32" s="2962"/>
      <c r="AG32" s="2962"/>
      <c r="AH32" s="2962"/>
      <c r="AI32" s="2962"/>
      <c r="AJ32" s="2962"/>
      <c r="AK32" s="2962"/>
      <c r="AL32" s="2962"/>
      <c r="AM32" s="2962"/>
      <c r="AN32" s="2962"/>
      <c r="AO32" s="2962"/>
      <c r="AP32" s="2962"/>
      <c r="AQ32" s="2962"/>
      <c r="AR32" s="2962"/>
      <c r="AS32" s="2962"/>
      <c r="AT32" s="2972"/>
      <c r="AU32" s="2973"/>
      <c r="AV32" s="1120">
        <f t="shared" si="11"/>
        <v>0</v>
      </c>
      <c r="AW32" s="1120">
        <f t="shared" si="12"/>
        <v>0</v>
      </c>
      <c r="AX32" s="1120">
        <f t="shared" si="13"/>
        <v>0</v>
      </c>
      <c r="AY32" s="2987">
        <f t="shared" si="14"/>
        <v>0</v>
      </c>
      <c r="AZ32" s="2942">
        <f t="shared" si="15"/>
        <v>0</v>
      </c>
      <c r="BA32" s="2942">
        <f t="shared" si="16"/>
        <v>0</v>
      </c>
      <c r="BB32" s="2942">
        <f t="shared" si="17"/>
        <v>0</v>
      </c>
      <c r="BC32" s="2942">
        <f t="shared" si="18"/>
        <v>0</v>
      </c>
      <c r="BD32" s="2942">
        <f t="shared" si="19"/>
        <v>0</v>
      </c>
      <c r="BE32" s="2942">
        <f t="shared" si="20"/>
        <v>0</v>
      </c>
      <c r="BF32" s="2942">
        <f t="shared" si="21"/>
        <v>0</v>
      </c>
      <c r="BG32" s="2942">
        <f t="shared" si="22"/>
        <v>0</v>
      </c>
      <c r="BH32" s="2942">
        <f t="shared" si="23"/>
        <v>0</v>
      </c>
      <c r="BI32" s="2942">
        <f t="shared" si="24"/>
        <v>0</v>
      </c>
      <c r="BJ32" s="2942">
        <f t="shared" si="25"/>
        <v>0</v>
      </c>
      <c r="BK32" s="2942">
        <f t="shared" si="26"/>
        <v>0</v>
      </c>
      <c r="BL32" s="2942">
        <f t="shared" si="27"/>
        <v>0</v>
      </c>
      <c r="BM32" s="2942">
        <f t="shared" si="28"/>
        <v>0</v>
      </c>
      <c r="BN32" s="2942">
        <f t="shared" si="29"/>
        <v>0</v>
      </c>
      <c r="BO32" s="2942">
        <f t="shared" si="30"/>
        <v>0</v>
      </c>
      <c r="BP32" s="2942">
        <f t="shared" si="31"/>
        <v>0</v>
      </c>
      <c r="BQ32" s="2942">
        <f t="shared" si="32"/>
        <v>0</v>
      </c>
      <c r="BR32" s="2942">
        <f t="shared" si="33"/>
        <v>0</v>
      </c>
      <c r="BS32" s="2942">
        <f t="shared" si="34"/>
        <v>0</v>
      </c>
      <c r="BT32" s="2994">
        <f t="shared" si="35"/>
        <v>0</v>
      </c>
    </row>
    <row r="33" spans="1:72">
      <c r="A33" s="2939"/>
      <c r="B33" s="2940"/>
      <c r="C33" s="2940"/>
      <c r="D33" s="2941"/>
      <c r="E33" s="2942">
        <f t="shared" si="7"/>
        <v>0</v>
      </c>
      <c r="F33" s="2943"/>
      <c r="G33" s="2944">
        <f t="shared" si="8"/>
        <v>0</v>
      </c>
      <c r="H33" s="2945">
        <f t="shared" si="9"/>
        <v>0</v>
      </c>
      <c r="I33" s="2952"/>
      <c r="J33" s="2952"/>
      <c r="K33" s="2952"/>
      <c r="L33" s="2952"/>
      <c r="M33" s="2952"/>
      <c r="N33" s="2952"/>
      <c r="O33" s="2952"/>
      <c r="P33" s="2952"/>
      <c r="Q33" s="2952"/>
      <c r="R33" s="2952"/>
      <c r="S33" s="2952"/>
      <c r="T33" s="2952"/>
      <c r="U33" s="2952"/>
      <c r="V33" s="2952"/>
      <c r="W33" s="2952"/>
      <c r="X33" s="2952"/>
      <c r="Y33" s="2952"/>
      <c r="Z33" s="2952"/>
      <c r="AA33" s="2952"/>
      <c r="AB33" s="2952"/>
      <c r="AC33" s="2942">
        <f t="shared" si="10"/>
        <v>0</v>
      </c>
      <c r="AD33" s="2962"/>
      <c r="AE33" s="2962"/>
      <c r="AF33" s="2962"/>
      <c r="AG33" s="2962"/>
      <c r="AH33" s="2962"/>
      <c r="AI33" s="2962"/>
      <c r="AJ33" s="2962"/>
      <c r="AK33" s="2962"/>
      <c r="AL33" s="2962"/>
      <c r="AM33" s="2962"/>
      <c r="AN33" s="2962"/>
      <c r="AO33" s="2962"/>
      <c r="AP33" s="2962"/>
      <c r="AQ33" s="2962"/>
      <c r="AR33" s="2962"/>
      <c r="AS33" s="2962"/>
      <c r="AT33" s="2972"/>
      <c r="AU33" s="2973"/>
      <c r="AV33" s="1120">
        <f t="shared" si="11"/>
        <v>0</v>
      </c>
      <c r="AW33" s="1120">
        <f t="shared" si="12"/>
        <v>0</v>
      </c>
      <c r="AX33" s="1120">
        <f t="shared" si="13"/>
        <v>0</v>
      </c>
      <c r="AY33" s="2987">
        <f t="shared" si="14"/>
        <v>0</v>
      </c>
      <c r="AZ33" s="2942">
        <f t="shared" si="15"/>
        <v>0</v>
      </c>
      <c r="BA33" s="2942">
        <f t="shared" si="16"/>
        <v>0</v>
      </c>
      <c r="BB33" s="2942">
        <f t="shared" si="17"/>
        <v>0</v>
      </c>
      <c r="BC33" s="2942">
        <f t="shared" si="18"/>
        <v>0</v>
      </c>
      <c r="BD33" s="2942">
        <f t="shared" si="19"/>
        <v>0</v>
      </c>
      <c r="BE33" s="2942">
        <f t="shared" si="20"/>
        <v>0</v>
      </c>
      <c r="BF33" s="2942">
        <f t="shared" si="21"/>
        <v>0</v>
      </c>
      <c r="BG33" s="2942">
        <f t="shared" si="22"/>
        <v>0</v>
      </c>
      <c r="BH33" s="2942">
        <f t="shared" si="23"/>
        <v>0</v>
      </c>
      <c r="BI33" s="2942">
        <f t="shared" si="24"/>
        <v>0</v>
      </c>
      <c r="BJ33" s="2942">
        <f t="shared" si="25"/>
        <v>0</v>
      </c>
      <c r="BK33" s="2942">
        <f t="shared" si="26"/>
        <v>0</v>
      </c>
      <c r="BL33" s="2942">
        <f t="shared" si="27"/>
        <v>0</v>
      </c>
      <c r="BM33" s="2942">
        <f t="shared" si="28"/>
        <v>0</v>
      </c>
      <c r="BN33" s="2942">
        <f t="shared" si="29"/>
        <v>0</v>
      </c>
      <c r="BO33" s="2942">
        <f t="shared" si="30"/>
        <v>0</v>
      </c>
      <c r="BP33" s="2942">
        <f t="shared" si="31"/>
        <v>0</v>
      </c>
      <c r="BQ33" s="2942">
        <f t="shared" si="32"/>
        <v>0</v>
      </c>
      <c r="BR33" s="2942">
        <f t="shared" si="33"/>
        <v>0</v>
      </c>
      <c r="BS33" s="2942">
        <f t="shared" si="34"/>
        <v>0</v>
      </c>
      <c r="BT33" s="2994">
        <f t="shared" si="35"/>
        <v>0</v>
      </c>
    </row>
    <row r="34" spans="1:72">
      <c r="A34" s="2939"/>
      <c r="B34" s="2940"/>
      <c r="C34" s="2940"/>
      <c r="D34" s="2941"/>
      <c r="E34" s="2942">
        <f t="shared" si="7"/>
        <v>0</v>
      </c>
      <c r="F34" s="2943"/>
      <c r="G34" s="2944">
        <f t="shared" si="8"/>
        <v>0</v>
      </c>
      <c r="H34" s="2945">
        <f t="shared" si="9"/>
        <v>0</v>
      </c>
      <c r="I34" s="2952"/>
      <c r="J34" s="2952"/>
      <c r="K34" s="2952"/>
      <c r="L34" s="2952"/>
      <c r="M34" s="2952"/>
      <c r="N34" s="2952"/>
      <c r="O34" s="2952"/>
      <c r="P34" s="2952"/>
      <c r="Q34" s="2952"/>
      <c r="R34" s="2952"/>
      <c r="S34" s="2952"/>
      <c r="T34" s="2952"/>
      <c r="U34" s="2952"/>
      <c r="V34" s="2952"/>
      <c r="W34" s="2952"/>
      <c r="X34" s="2952"/>
      <c r="Y34" s="2952"/>
      <c r="Z34" s="2952"/>
      <c r="AA34" s="2952"/>
      <c r="AB34" s="2952"/>
      <c r="AC34" s="2942">
        <f t="shared" si="10"/>
        <v>0</v>
      </c>
      <c r="AD34" s="2962"/>
      <c r="AE34" s="2962"/>
      <c r="AF34" s="2962"/>
      <c r="AG34" s="2962"/>
      <c r="AH34" s="2962"/>
      <c r="AI34" s="2962"/>
      <c r="AJ34" s="2962"/>
      <c r="AK34" s="2962"/>
      <c r="AL34" s="2962"/>
      <c r="AM34" s="2962"/>
      <c r="AN34" s="2962"/>
      <c r="AO34" s="2962"/>
      <c r="AP34" s="2962"/>
      <c r="AQ34" s="2962"/>
      <c r="AR34" s="2962"/>
      <c r="AS34" s="2962"/>
      <c r="AT34" s="2972"/>
      <c r="AU34" s="2973"/>
      <c r="AV34" s="1120">
        <f t="shared" si="11"/>
        <v>0</v>
      </c>
      <c r="AW34" s="1120">
        <f t="shared" si="12"/>
        <v>0</v>
      </c>
      <c r="AX34" s="1120">
        <f t="shared" si="13"/>
        <v>0</v>
      </c>
      <c r="AY34" s="2987">
        <f t="shared" si="14"/>
        <v>0</v>
      </c>
      <c r="AZ34" s="2942">
        <f t="shared" si="15"/>
        <v>0</v>
      </c>
      <c r="BA34" s="2942">
        <f t="shared" si="16"/>
        <v>0</v>
      </c>
      <c r="BB34" s="2942">
        <f t="shared" si="17"/>
        <v>0</v>
      </c>
      <c r="BC34" s="2942">
        <f t="shared" si="18"/>
        <v>0</v>
      </c>
      <c r="BD34" s="2942">
        <f t="shared" si="19"/>
        <v>0</v>
      </c>
      <c r="BE34" s="2942">
        <f t="shared" si="20"/>
        <v>0</v>
      </c>
      <c r="BF34" s="2942">
        <f t="shared" si="21"/>
        <v>0</v>
      </c>
      <c r="BG34" s="2942">
        <f t="shared" si="22"/>
        <v>0</v>
      </c>
      <c r="BH34" s="2942">
        <f t="shared" si="23"/>
        <v>0</v>
      </c>
      <c r="BI34" s="2942">
        <f t="shared" si="24"/>
        <v>0</v>
      </c>
      <c r="BJ34" s="2942">
        <f t="shared" si="25"/>
        <v>0</v>
      </c>
      <c r="BK34" s="2942">
        <f t="shared" si="26"/>
        <v>0</v>
      </c>
      <c r="BL34" s="2942">
        <f t="shared" si="27"/>
        <v>0</v>
      </c>
      <c r="BM34" s="2942">
        <f t="shared" si="28"/>
        <v>0</v>
      </c>
      <c r="BN34" s="2942">
        <f t="shared" si="29"/>
        <v>0</v>
      </c>
      <c r="BO34" s="2942">
        <f t="shared" si="30"/>
        <v>0</v>
      </c>
      <c r="BP34" s="2942">
        <f t="shared" si="31"/>
        <v>0</v>
      </c>
      <c r="BQ34" s="2942">
        <f t="shared" si="32"/>
        <v>0</v>
      </c>
      <c r="BR34" s="2942">
        <f t="shared" si="33"/>
        <v>0</v>
      </c>
      <c r="BS34" s="2942">
        <f t="shared" si="34"/>
        <v>0</v>
      </c>
      <c r="BT34" s="2994">
        <f t="shared" si="35"/>
        <v>0</v>
      </c>
    </row>
    <row r="35" spans="1:72">
      <c r="A35" s="2939"/>
      <c r="B35" s="2940"/>
      <c r="C35" s="2940"/>
      <c r="D35" s="2941"/>
      <c r="E35" s="2942">
        <f t="shared" si="7"/>
        <v>0</v>
      </c>
      <c r="F35" s="2943"/>
      <c r="G35" s="2944">
        <f t="shared" si="8"/>
        <v>0</v>
      </c>
      <c r="H35" s="2945">
        <f t="shared" si="9"/>
        <v>0</v>
      </c>
      <c r="I35" s="2952"/>
      <c r="J35" s="2952"/>
      <c r="K35" s="2952"/>
      <c r="L35" s="2952"/>
      <c r="M35" s="2952"/>
      <c r="N35" s="2952"/>
      <c r="O35" s="2952"/>
      <c r="P35" s="2952"/>
      <c r="Q35" s="2952"/>
      <c r="R35" s="2952"/>
      <c r="S35" s="2952"/>
      <c r="T35" s="2952"/>
      <c r="U35" s="2952"/>
      <c r="V35" s="2952"/>
      <c r="W35" s="2952"/>
      <c r="X35" s="2952"/>
      <c r="Y35" s="2952"/>
      <c r="Z35" s="2952"/>
      <c r="AA35" s="2952"/>
      <c r="AB35" s="2952"/>
      <c r="AC35" s="2942">
        <f t="shared" si="10"/>
        <v>0</v>
      </c>
      <c r="AD35" s="2962"/>
      <c r="AE35" s="2962"/>
      <c r="AF35" s="2962"/>
      <c r="AG35" s="2962"/>
      <c r="AH35" s="2962"/>
      <c r="AI35" s="2962"/>
      <c r="AJ35" s="2962"/>
      <c r="AK35" s="2962"/>
      <c r="AL35" s="2962"/>
      <c r="AM35" s="2962"/>
      <c r="AN35" s="2962"/>
      <c r="AO35" s="2962"/>
      <c r="AP35" s="2962"/>
      <c r="AQ35" s="2962"/>
      <c r="AR35" s="2962"/>
      <c r="AS35" s="2962"/>
      <c r="AT35" s="2972"/>
      <c r="AU35" s="2973"/>
      <c r="AV35" s="1120">
        <f t="shared" si="11"/>
        <v>0</v>
      </c>
      <c r="AW35" s="1120">
        <f t="shared" si="12"/>
        <v>0</v>
      </c>
      <c r="AX35" s="1120">
        <f t="shared" si="13"/>
        <v>0</v>
      </c>
      <c r="AY35" s="2987">
        <f t="shared" si="14"/>
        <v>0</v>
      </c>
      <c r="AZ35" s="2942">
        <f t="shared" si="15"/>
        <v>0</v>
      </c>
      <c r="BA35" s="2942">
        <f t="shared" si="16"/>
        <v>0</v>
      </c>
      <c r="BB35" s="2942">
        <f t="shared" si="17"/>
        <v>0</v>
      </c>
      <c r="BC35" s="2942">
        <f t="shared" si="18"/>
        <v>0</v>
      </c>
      <c r="BD35" s="2942">
        <f t="shared" si="19"/>
        <v>0</v>
      </c>
      <c r="BE35" s="2942">
        <f t="shared" si="20"/>
        <v>0</v>
      </c>
      <c r="BF35" s="2942">
        <f t="shared" si="21"/>
        <v>0</v>
      </c>
      <c r="BG35" s="2942">
        <f t="shared" si="22"/>
        <v>0</v>
      </c>
      <c r="BH35" s="2942">
        <f t="shared" si="23"/>
        <v>0</v>
      </c>
      <c r="BI35" s="2942">
        <f t="shared" si="24"/>
        <v>0</v>
      </c>
      <c r="BJ35" s="2942">
        <f t="shared" si="25"/>
        <v>0</v>
      </c>
      <c r="BK35" s="2942">
        <f t="shared" si="26"/>
        <v>0</v>
      </c>
      <c r="BL35" s="2942">
        <f t="shared" si="27"/>
        <v>0</v>
      </c>
      <c r="BM35" s="2942">
        <f t="shared" si="28"/>
        <v>0</v>
      </c>
      <c r="BN35" s="2942">
        <f t="shared" si="29"/>
        <v>0</v>
      </c>
      <c r="BO35" s="2942">
        <f t="shared" si="30"/>
        <v>0</v>
      </c>
      <c r="BP35" s="2942">
        <f t="shared" si="31"/>
        <v>0</v>
      </c>
      <c r="BQ35" s="2942">
        <f t="shared" si="32"/>
        <v>0</v>
      </c>
      <c r="BR35" s="2942">
        <f t="shared" si="33"/>
        <v>0</v>
      </c>
      <c r="BS35" s="2942">
        <f t="shared" si="34"/>
        <v>0</v>
      </c>
      <c r="BT35" s="2994">
        <f t="shared" si="35"/>
        <v>0</v>
      </c>
    </row>
    <row r="36" spans="1:72">
      <c r="A36" s="2939"/>
      <c r="B36" s="2940"/>
      <c r="C36" s="2940"/>
      <c r="D36" s="2941"/>
      <c r="E36" s="2942">
        <f t="shared" si="7"/>
        <v>0</v>
      </c>
      <c r="F36" s="2943"/>
      <c r="G36" s="2944">
        <f t="shared" si="8"/>
        <v>0</v>
      </c>
      <c r="H36" s="2945">
        <f t="shared" si="9"/>
        <v>0</v>
      </c>
      <c r="I36" s="2952"/>
      <c r="J36" s="2952"/>
      <c r="K36" s="2952"/>
      <c r="L36" s="2952"/>
      <c r="M36" s="2952"/>
      <c r="N36" s="2952"/>
      <c r="O36" s="2952"/>
      <c r="P36" s="2952"/>
      <c r="Q36" s="2952"/>
      <c r="R36" s="2952"/>
      <c r="S36" s="2952"/>
      <c r="T36" s="2952"/>
      <c r="U36" s="2952"/>
      <c r="V36" s="2952"/>
      <c r="W36" s="2952"/>
      <c r="X36" s="2952"/>
      <c r="Y36" s="2952"/>
      <c r="Z36" s="2952"/>
      <c r="AA36" s="2952"/>
      <c r="AB36" s="2952"/>
      <c r="AC36" s="2942">
        <f t="shared" si="10"/>
        <v>0</v>
      </c>
      <c r="AD36" s="2962"/>
      <c r="AE36" s="2962"/>
      <c r="AF36" s="2962"/>
      <c r="AG36" s="2962"/>
      <c r="AH36" s="2962"/>
      <c r="AI36" s="2962"/>
      <c r="AJ36" s="2962"/>
      <c r="AK36" s="2962"/>
      <c r="AL36" s="2962"/>
      <c r="AM36" s="2962"/>
      <c r="AN36" s="2962"/>
      <c r="AO36" s="2962"/>
      <c r="AP36" s="2962"/>
      <c r="AQ36" s="2962"/>
      <c r="AR36" s="2962"/>
      <c r="AS36" s="2962"/>
      <c r="AT36" s="2972"/>
      <c r="AU36" s="2973"/>
      <c r="AV36" s="1120">
        <f t="shared" si="11"/>
        <v>0</v>
      </c>
      <c r="AW36" s="1120">
        <f t="shared" si="12"/>
        <v>0</v>
      </c>
      <c r="AX36" s="1120">
        <f t="shared" si="13"/>
        <v>0</v>
      </c>
      <c r="AY36" s="2987">
        <f t="shared" si="14"/>
        <v>0</v>
      </c>
      <c r="AZ36" s="2942">
        <f t="shared" si="15"/>
        <v>0</v>
      </c>
      <c r="BA36" s="2942">
        <f t="shared" si="16"/>
        <v>0</v>
      </c>
      <c r="BB36" s="2942">
        <f t="shared" si="17"/>
        <v>0</v>
      </c>
      <c r="BC36" s="2942">
        <f t="shared" si="18"/>
        <v>0</v>
      </c>
      <c r="BD36" s="2942">
        <f t="shared" si="19"/>
        <v>0</v>
      </c>
      <c r="BE36" s="2942">
        <f t="shared" si="20"/>
        <v>0</v>
      </c>
      <c r="BF36" s="2942">
        <f t="shared" si="21"/>
        <v>0</v>
      </c>
      <c r="BG36" s="2942">
        <f t="shared" si="22"/>
        <v>0</v>
      </c>
      <c r="BH36" s="2942">
        <f t="shared" si="23"/>
        <v>0</v>
      </c>
      <c r="BI36" s="2942">
        <f t="shared" si="24"/>
        <v>0</v>
      </c>
      <c r="BJ36" s="2942">
        <f t="shared" si="25"/>
        <v>0</v>
      </c>
      <c r="BK36" s="2942">
        <f t="shared" si="26"/>
        <v>0</v>
      </c>
      <c r="BL36" s="2942">
        <f t="shared" si="27"/>
        <v>0</v>
      </c>
      <c r="BM36" s="2942">
        <f t="shared" si="28"/>
        <v>0</v>
      </c>
      <c r="BN36" s="2942">
        <f t="shared" si="29"/>
        <v>0</v>
      </c>
      <c r="BO36" s="2942">
        <f t="shared" si="30"/>
        <v>0</v>
      </c>
      <c r="BP36" s="2942">
        <f t="shared" si="31"/>
        <v>0</v>
      </c>
      <c r="BQ36" s="2942">
        <f t="shared" si="32"/>
        <v>0</v>
      </c>
      <c r="BR36" s="2942">
        <f t="shared" si="33"/>
        <v>0</v>
      </c>
      <c r="BS36" s="2942">
        <f t="shared" si="34"/>
        <v>0</v>
      </c>
      <c r="BT36" s="2994">
        <f t="shared" si="35"/>
        <v>0</v>
      </c>
    </row>
    <row r="37" spans="1:72">
      <c r="A37" s="2939"/>
      <c r="B37" s="2940"/>
      <c r="C37" s="2940"/>
      <c r="D37" s="2941"/>
      <c r="E37" s="2942">
        <f t="shared" si="7"/>
        <v>0</v>
      </c>
      <c r="F37" s="2943"/>
      <c r="G37" s="2944">
        <f t="shared" si="8"/>
        <v>0</v>
      </c>
      <c r="H37" s="2945">
        <f t="shared" si="9"/>
        <v>0</v>
      </c>
      <c r="I37" s="2952"/>
      <c r="J37" s="2952"/>
      <c r="K37" s="2952"/>
      <c r="L37" s="2952"/>
      <c r="M37" s="2952"/>
      <c r="N37" s="2952"/>
      <c r="O37" s="2952"/>
      <c r="P37" s="2952"/>
      <c r="Q37" s="2952"/>
      <c r="R37" s="2952"/>
      <c r="S37" s="2952"/>
      <c r="T37" s="2952"/>
      <c r="U37" s="2952"/>
      <c r="V37" s="2952"/>
      <c r="W37" s="2952"/>
      <c r="X37" s="2952"/>
      <c r="Y37" s="2952"/>
      <c r="Z37" s="2952"/>
      <c r="AA37" s="2952"/>
      <c r="AB37" s="2952"/>
      <c r="AC37" s="2942">
        <f t="shared" si="10"/>
        <v>0</v>
      </c>
      <c r="AD37" s="2962"/>
      <c r="AE37" s="2962"/>
      <c r="AF37" s="2962"/>
      <c r="AG37" s="2962"/>
      <c r="AH37" s="2962"/>
      <c r="AI37" s="2962"/>
      <c r="AJ37" s="2962"/>
      <c r="AK37" s="2962"/>
      <c r="AL37" s="2962"/>
      <c r="AM37" s="2962"/>
      <c r="AN37" s="2962"/>
      <c r="AO37" s="2962"/>
      <c r="AP37" s="2962"/>
      <c r="AQ37" s="2962"/>
      <c r="AR37" s="2962"/>
      <c r="AS37" s="2962"/>
      <c r="AT37" s="2972"/>
      <c r="AU37" s="2973"/>
      <c r="AV37" s="1120">
        <f t="shared" si="11"/>
        <v>0</v>
      </c>
      <c r="AW37" s="1120">
        <f t="shared" si="12"/>
        <v>0</v>
      </c>
      <c r="AX37" s="1120">
        <f t="shared" si="13"/>
        <v>0</v>
      </c>
      <c r="AY37" s="2987">
        <f t="shared" si="14"/>
        <v>0</v>
      </c>
      <c r="AZ37" s="2942">
        <f t="shared" si="15"/>
        <v>0</v>
      </c>
      <c r="BA37" s="2942">
        <f t="shared" si="16"/>
        <v>0</v>
      </c>
      <c r="BB37" s="2942">
        <f t="shared" si="17"/>
        <v>0</v>
      </c>
      <c r="BC37" s="2942">
        <f t="shared" si="18"/>
        <v>0</v>
      </c>
      <c r="BD37" s="2942">
        <f t="shared" si="19"/>
        <v>0</v>
      </c>
      <c r="BE37" s="2942">
        <f t="shared" si="20"/>
        <v>0</v>
      </c>
      <c r="BF37" s="2942">
        <f t="shared" si="21"/>
        <v>0</v>
      </c>
      <c r="BG37" s="2942">
        <f t="shared" si="22"/>
        <v>0</v>
      </c>
      <c r="BH37" s="2942">
        <f t="shared" si="23"/>
        <v>0</v>
      </c>
      <c r="BI37" s="2942">
        <f t="shared" si="24"/>
        <v>0</v>
      </c>
      <c r="BJ37" s="2942">
        <f t="shared" si="25"/>
        <v>0</v>
      </c>
      <c r="BK37" s="2942">
        <f t="shared" si="26"/>
        <v>0</v>
      </c>
      <c r="BL37" s="2942">
        <f t="shared" si="27"/>
        <v>0</v>
      </c>
      <c r="BM37" s="2942">
        <f t="shared" si="28"/>
        <v>0</v>
      </c>
      <c r="BN37" s="2942">
        <f t="shared" si="29"/>
        <v>0</v>
      </c>
      <c r="BO37" s="2942">
        <f t="shared" si="30"/>
        <v>0</v>
      </c>
      <c r="BP37" s="2942">
        <f t="shared" si="31"/>
        <v>0</v>
      </c>
      <c r="BQ37" s="2942">
        <f t="shared" si="32"/>
        <v>0</v>
      </c>
      <c r="BR37" s="2942">
        <f t="shared" si="33"/>
        <v>0</v>
      </c>
      <c r="BS37" s="2942">
        <f t="shared" si="34"/>
        <v>0</v>
      </c>
      <c r="BT37" s="2994">
        <f t="shared" si="35"/>
        <v>0</v>
      </c>
    </row>
    <row r="38" spans="1:72">
      <c r="A38" s="2939"/>
      <c r="B38" s="2940"/>
      <c r="C38" s="2940"/>
      <c r="D38" s="2941"/>
      <c r="E38" s="2942">
        <f t="shared" si="7"/>
        <v>0</v>
      </c>
      <c r="F38" s="2943"/>
      <c r="G38" s="2944">
        <f t="shared" si="8"/>
        <v>0</v>
      </c>
      <c r="H38" s="2945">
        <f t="shared" si="9"/>
        <v>0</v>
      </c>
      <c r="I38" s="2952"/>
      <c r="J38" s="2952"/>
      <c r="K38" s="2952"/>
      <c r="L38" s="2952"/>
      <c r="M38" s="2952"/>
      <c r="N38" s="2952"/>
      <c r="O38" s="2952"/>
      <c r="P38" s="2952"/>
      <c r="Q38" s="2952"/>
      <c r="R38" s="2952"/>
      <c r="S38" s="2952"/>
      <c r="T38" s="2952"/>
      <c r="U38" s="2952"/>
      <c r="V38" s="2952"/>
      <c r="W38" s="2952"/>
      <c r="X38" s="2952"/>
      <c r="Y38" s="2952"/>
      <c r="Z38" s="2952"/>
      <c r="AA38" s="2952"/>
      <c r="AB38" s="2952"/>
      <c r="AC38" s="2942">
        <f t="shared" si="10"/>
        <v>0</v>
      </c>
      <c r="AD38" s="2962"/>
      <c r="AE38" s="2962"/>
      <c r="AF38" s="2962"/>
      <c r="AG38" s="2962"/>
      <c r="AH38" s="2962"/>
      <c r="AI38" s="2962"/>
      <c r="AJ38" s="2962"/>
      <c r="AK38" s="2962"/>
      <c r="AL38" s="2962"/>
      <c r="AM38" s="2962"/>
      <c r="AN38" s="2962"/>
      <c r="AO38" s="2962"/>
      <c r="AP38" s="2962"/>
      <c r="AQ38" s="2962"/>
      <c r="AR38" s="2962"/>
      <c r="AS38" s="2962"/>
      <c r="AT38" s="2972"/>
      <c r="AU38" s="2973"/>
      <c r="AV38" s="1120">
        <f t="shared" si="11"/>
        <v>0</v>
      </c>
      <c r="AW38" s="1120">
        <f t="shared" si="12"/>
        <v>0</v>
      </c>
      <c r="AX38" s="1120">
        <f t="shared" si="13"/>
        <v>0</v>
      </c>
      <c r="AY38" s="2987">
        <f t="shared" si="14"/>
        <v>0</v>
      </c>
      <c r="AZ38" s="2942">
        <f t="shared" si="15"/>
        <v>0</v>
      </c>
      <c r="BA38" s="2942">
        <f t="shared" si="16"/>
        <v>0</v>
      </c>
      <c r="BB38" s="2942">
        <f t="shared" si="17"/>
        <v>0</v>
      </c>
      <c r="BC38" s="2942">
        <f t="shared" si="18"/>
        <v>0</v>
      </c>
      <c r="BD38" s="2942">
        <f t="shared" si="19"/>
        <v>0</v>
      </c>
      <c r="BE38" s="2942">
        <f t="shared" si="20"/>
        <v>0</v>
      </c>
      <c r="BF38" s="2942">
        <f t="shared" si="21"/>
        <v>0</v>
      </c>
      <c r="BG38" s="2942">
        <f t="shared" si="22"/>
        <v>0</v>
      </c>
      <c r="BH38" s="2942">
        <f t="shared" si="23"/>
        <v>0</v>
      </c>
      <c r="BI38" s="2942">
        <f t="shared" si="24"/>
        <v>0</v>
      </c>
      <c r="BJ38" s="2942">
        <f t="shared" si="25"/>
        <v>0</v>
      </c>
      <c r="BK38" s="2942">
        <f t="shared" si="26"/>
        <v>0</v>
      </c>
      <c r="BL38" s="2942">
        <f t="shared" si="27"/>
        <v>0</v>
      </c>
      <c r="BM38" s="2942">
        <f t="shared" si="28"/>
        <v>0</v>
      </c>
      <c r="BN38" s="2942">
        <f t="shared" si="29"/>
        <v>0</v>
      </c>
      <c r="BO38" s="2942">
        <f t="shared" si="30"/>
        <v>0</v>
      </c>
      <c r="BP38" s="2942">
        <f t="shared" si="31"/>
        <v>0</v>
      </c>
      <c r="BQ38" s="2942">
        <f t="shared" si="32"/>
        <v>0</v>
      </c>
      <c r="BR38" s="2942">
        <f t="shared" si="33"/>
        <v>0</v>
      </c>
      <c r="BS38" s="2942">
        <f t="shared" si="34"/>
        <v>0</v>
      </c>
      <c r="BT38" s="2994">
        <f t="shared" si="35"/>
        <v>0</v>
      </c>
    </row>
    <row r="39" spans="1:72">
      <c r="A39" s="2939"/>
      <c r="B39" s="2940"/>
      <c r="C39" s="2940"/>
      <c r="D39" s="2941"/>
      <c r="E39" s="2942">
        <f t="shared" si="7"/>
        <v>0</v>
      </c>
      <c r="F39" s="2943"/>
      <c r="G39" s="2944">
        <f t="shared" si="8"/>
        <v>0</v>
      </c>
      <c r="H39" s="2945">
        <f t="shared" si="9"/>
        <v>0</v>
      </c>
      <c r="I39" s="2952"/>
      <c r="J39" s="2952"/>
      <c r="K39" s="2952"/>
      <c r="L39" s="2952"/>
      <c r="M39" s="2952"/>
      <c r="N39" s="2952"/>
      <c r="O39" s="2952"/>
      <c r="P39" s="2952"/>
      <c r="Q39" s="2952"/>
      <c r="R39" s="2952"/>
      <c r="S39" s="2952"/>
      <c r="T39" s="2952"/>
      <c r="U39" s="2952"/>
      <c r="V39" s="2952"/>
      <c r="W39" s="2952"/>
      <c r="X39" s="2952"/>
      <c r="Y39" s="2952"/>
      <c r="Z39" s="2952"/>
      <c r="AA39" s="2952"/>
      <c r="AB39" s="2952"/>
      <c r="AC39" s="2942">
        <f t="shared" si="10"/>
        <v>0</v>
      </c>
      <c r="AD39" s="2962"/>
      <c r="AE39" s="2962"/>
      <c r="AF39" s="2962"/>
      <c r="AG39" s="2962"/>
      <c r="AH39" s="2962"/>
      <c r="AI39" s="2962"/>
      <c r="AJ39" s="2962"/>
      <c r="AK39" s="2962"/>
      <c r="AL39" s="2962"/>
      <c r="AM39" s="2962"/>
      <c r="AN39" s="2962"/>
      <c r="AO39" s="2962"/>
      <c r="AP39" s="2962"/>
      <c r="AQ39" s="2962"/>
      <c r="AR39" s="2962"/>
      <c r="AS39" s="2962"/>
      <c r="AT39" s="2972"/>
      <c r="AU39" s="2973"/>
      <c r="AV39" s="1120">
        <f t="shared" si="11"/>
        <v>0</v>
      </c>
      <c r="AW39" s="1120">
        <f t="shared" si="12"/>
        <v>0</v>
      </c>
      <c r="AX39" s="1120">
        <f t="shared" si="13"/>
        <v>0</v>
      </c>
      <c r="AY39" s="2987">
        <f t="shared" si="14"/>
        <v>0</v>
      </c>
      <c r="AZ39" s="2942">
        <f t="shared" si="15"/>
        <v>0</v>
      </c>
      <c r="BA39" s="2942">
        <f t="shared" si="16"/>
        <v>0</v>
      </c>
      <c r="BB39" s="2942">
        <f t="shared" si="17"/>
        <v>0</v>
      </c>
      <c r="BC39" s="2942">
        <f t="shared" si="18"/>
        <v>0</v>
      </c>
      <c r="BD39" s="2942">
        <f t="shared" si="19"/>
        <v>0</v>
      </c>
      <c r="BE39" s="2942">
        <f t="shared" si="20"/>
        <v>0</v>
      </c>
      <c r="BF39" s="2942">
        <f t="shared" si="21"/>
        <v>0</v>
      </c>
      <c r="BG39" s="2942">
        <f t="shared" si="22"/>
        <v>0</v>
      </c>
      <c r="BH39" s="2942">
        <f t="shared" si="23"/>
        <v>0</v>
      </c>
      <c r="BI39" s="2942">
        <f t="shared" si="24"/>
        <v>0</v>
      </c>
      <c r="BJ39" s="2942">
        <f t="shared" si="25"/>
        <v>0</v>
      </c>
      <c r="BK39" s="2942">
        <f t="shared" si="26"/>
        <v>0</v>
      </c>
      <c r="BL39" s="2942">
        <f t="shared" si="27"/>
        <v>0</v>
      </c>
      <c r="BM39" s="2942">
        <f t="shared" si="28"/>
        <v>0</v>
      </c>
      <c r="BN39" s="2942">
        <f t="shared" si="29"/>
        <v>0</v>
      </c>
      <c r="BO39" s="2942">
        <f t="shared" si="30"/>
        <v>0</v>
      </c>
      <c r="BP39" s="2942">
        <f t="shared" si="31"/>
        <v>0</v>
      </c>
      <c r="BQ39" s="2942">
        <f t="shared" si="32"/>
        <v>0</v>
      </c>
      <c r="BR39" s="2942">
        <f t="shared" si="33"/>
        <v>0</v>
      </c>
      <c r="BS39" s="2942">
        <f t="shared" si="34"/>
        <v>0</v>
      </c>
      <c r="BT39" s="2994">
        <f t="shared" si="35"/>
        <v>0</v>
      </c>
    </row>
    <row r="40" spans="1:72">
      <c r="A40" s="2939"/>
      <c r="B40" s="2940"/>
      <c r="C40" s="2940"/>
      <c r="D40" s="2941"/>
      <c r="E40" s="2942">
        <f t="shared" si="7"/>
        <v>0</v>
      </c>
      <c r="F40" s="2943"/>
      <c r="G40" s="2944">
        <f t="shared" si="8"/>
        <v>0</v>
      </c>
      <c r="H40" s="2945">
        <f t="shared" si="9"/>
        <v>0</v>
      </c>
      <c r="I40" s="2952"/>
      <c r="J40" s="2952"/>
      <c r="K40" s="2952"/>
      <c r="L40" s="2952"/>
      <c r="M40" s="2952"/>
      <c r="N40" s="2952"/>
      <c r="O40" s="2952"/>
      <c r="P40" s="2952"/>
      <c r="Q40" s="2952"/>
      <c r="R40" s="2952"/>
      <c r="S40" s="2952"/>
      <c r="T40" s="2952"/>
      <c r="U40" s="2952"/>
      <c r="V40" s="2952"/>
      <c r="W40" s="2952"/>
      <c r="X40" s="2952"/>
      <c r="Y40" s="2952"/>
      <c r="Z40" s="2952"/>
      <c r="AA40" s="2952"/>
      <c r="AB40" s="2952"/>
      <c r="AC40" s="2942">
        <f t="shared" si="10"/>
        <v>0</v>
      </c>
      <c r="AD40" s="2962"/>
      <c r="AE40" s="2962"/>
      <c r="AF40" s="2962"/>
      <c r="AG40" s="2962"/>
      <c r="AH40" s="2962"/>
      <c r="AI40" s="2962"/>
      <c r="AJ40" s="2962"/>
      <c r="AK40" s="2962"/>
      <c r="AL40" s="2962"/>
      <c r="AM40" s="2962"/>
      <c r="AN40" s="2962"/>
      <c r="AO40" s="2962"/>
      <c r="AP40" s="2962"/>
      <c r="AQ40" s="2962"/>
      <c r="AR40" s="2962"/>
      <c r="AS40" s="2962"/>
      <c r="AT40" s="2972"/>
      <c r="AU40" s="2973"/>
      <c r="AV40" s="1120">
        <f t="shared" si="11"/>
        <v>0</v>
      </c>
      <c r="AW40" s="1120">
        <f t="shared" si="12"/>
        <v>0</v>
      </c>
      <c r="AX40" s="1120">
        <f t="shared" si="13"/>
        <v>0</v>
      </c>
      <c r="AY40" s="2987">
        <f t="shared" si="14"/>
        <v>0</v>
      </c>
      <c r="AZ40" s="2942">
        <f t="shared" si="15"/>
        <v>0</v>
      </c>
      <c r="BA40" s="2942">
        <f t="shared" si="16"/>
        <v>0</v>
      </c>
      <c r="BB40" s="2942">
        <f t="shared" si="17"/>
        <v>0</v>
      </c>
      <c r="BC40" s="2942">
        <f t="shared" si="18"/>
        <v>0</v>
      </c>
      <c r="BD40" s="2942">
        <f t="shared" si="19"/>
        <v>0</v>
      </c>
      <c r="BE40" s="2942">
        <f t="shared" si="20"/>
        <v>0</v>
      </c>
      <c r="BF40" s="2942">
        <f t="shared" si="21"/>
        <v>0</v>
      </c>
      <c r="BG40" s="2942">
        <f t="shared" si="22"/>
        <v>0</v>
      </c>
      <c r="BH40" s="2942">
        <f t="shared" si="23"/>
        <v>0</v>
      </c>
      <c r="BI40" s="2942">
        <f t="shared" si="24"/>
        <v>0</v>
      </c>
      <c r="BJ40" s="2942">
        <f t="shared" si="25"/>
        <v>0</v>
      </c>
      <c r="BK40" s="2942">
        <f t="shared" si="26"/>
        <v>0</v>
      </c>
      <c r="BL40" s="2942">
        <f t="shared" si="27"/>
        <v>0</v>
      </c>
      <c r="BM40" s="2942">
        <f t="shared" si="28"/>
        <v>0</v>
      </c>
      <c r="BN40" s="2942">
        <f t="shared" si="29"/>
        <v>0</v>
      </c>
      <c r="BO40" s="2942">
        <f t="shared" si="30"/>
        <v>0</v>
      </c>
      <c r="BP40" s="2942">
        <f t="shared" si="31"/>
        <v>0</v>
      </c>
      <c r="BQ40" s="2942">
        <f t="shared" si="32"/>
        <v>0</v>
      </c>
      <c r="BR40" s="2942">
        <f t="shared" si="33"/>
        <v>0</v>
      </c>
      <c r="BS40" s="2942">
        <f t="shared" si="34"/>
        <v>0</v>
      </c>
      <c r="BT40" s="2994">
        <f t="shared" si="35"/>
        <v>0</v>
      </c>
    </row>
    <row r="41" spans="1:72">
      <c r="A41" s="2939"/>
      <c r="B41" s="2940"/>
      <c r="C41" s="2940"/>
      <c r="D41" s="2941"/>
      <c r="E41" s="2942">
        <f t="shared" si="7"/>
        <v>0</v>
      </c>
      <c r="F41" s="2943"/>
      <c r="G41" s="2944">
        <f t="shared" si="8"/>
        <v>0</v>
      </c>
      <c r="H41" s="2945">
        <f t="shared" si="9"/>
        <v>0</v>
      </c>
      <c r="I41" s="2952"/>
      <c r="J41" s="2952"/>
      <c r="K41" s="2952"/>
      <c r="L41" s="2952"/>
      <c r="M41" s="2952"/>
      <c r="N41" s="2952"/>
      <c r="O41" s="2952"/>
      <c r="P41" s="2952"/>
      <c r="Q41" s="2952"/>
      <c r="R41" s="2952"/>
      <c r="S41" s="2952"/>
      <c r="T41" s="2952"/>
      <c r="U41" s="2952"/>
      <c r="V41" s="2952"/>
      <c r="W41" s="2952"/>
      <c r="X41" s="2952"/>
      <c r="Y41" s="2952"/>
      <c r="Z41" s="2952"/>
      <c r="AA41" s="2952"/>
      <c r="AB41" s="2952"/>
      <c r="AC41" s="2942">
        <f t="shared" si="10"/>
        <v>0</v>
      </c>
      <c r="AD41" s="2962"/>
      <c r="AE41" s="2962"/>
      <c r="AF41" s="2962"/>
      <c r="AG41" s="2962"/>
      <c r="AH41" s="2962"/>
      <c r="AI41" s="2962"/>
      <c r="AJ41" s="2962"/>
      <c r="AK41" s="2962"/>
      <c r="AL41" s="2962"/>
      <c r="AM41" s="2962"/>
      <c r="AN41" s="2962"/>
      <c r="AO41" s="2962"/>
      <c r="AP41" s="2962"/>
      <c r="AQ41" s="2962"/>
      <c r="AR41" s="2962"/>
      <c r="AS41" s="2962"/>
      <c r="AT41" s="2972"/>
      <c r="AU41" s="2973"/>
      <c r="AV41" s="1120">
        <f t="shared" si="11"/>
        <v>0</v>
      </c>
      <c r="AW41" s="1120">
        <f t="shared" si="12"/>
        <v>0</v>
      </c>
      <c r="AX41" s="1120">
        <f t="shared" si="13"/>
        <v>0</v>
      </c>
      <c r="AY41" s="2987">
        <f t="shared" si="14"/>
        <v>0</v>
      </c>
      <c r="AZ41" s="2942">
        <f t="shared" si="15"/>
        <v>0</v>
      </c>
      <c r="BA41" s="2942">
        <f t="shared" si="16"/>
        <v>0</v>
      </c>
      <c r="BB41" s="2942">
        <f t="shared" si="17"/>
        <v>0</v>
      </c>
      <c r="BC41" s="2942">
        <f t="shared" si="18"/>
        <v>0</v>
      </c>
      <c r="BD41" s="2942">
        <f t="shared" si="19"/>
        <v>0</v>
      </c>
      <c r="BE41" s="2942">
        <f t="shared" si="20"/>
        <v>0</v>
      </c>
      <c r="BF41" s="2942">
        <f t="shared" si="21"/>
        <v>0</v>
      </c>
      <c r="BG41" s="2942">
        <f t="shared" si="22"/>
        <v>0</v>
      </c>
      <c r="BH41" s="2942">
        <f t="shared" si="23"/>
        <v>0</v>
      </c>
      <c r="BI41" s="2942">
        <f t="shared" si="24"/>
        <v>0</v>
      </c>
      <c r="BJ41" s="2942">
        <f t="shared" si="25"/>
        <v>0</v>
      </c>
      <c r="BK41" s="2942">
        <f t="shared" si="26"/>
        <v>0</v>
      </c>
      <c r="BL41" s="2942">
        <f t="shared" si="27"/>
        <v>0</v>
      </c>
      <c r="BM41" s="2942">
        <f t="shared" si="28"/>
        <v>0</v>
      </c>
      <c r="BN41" s="2942">
        <f t="shared" si="29"/>
        <v>0</v>
      </c>
      <c r="BO41" s="2942">
        <f t="shared" si="30"/>
        <v>0</v>
      </c>
      <c r="BP41" s="2942">
        <f t="shared" si="31"/>
        <v>0</v>
      </c>
      <c r="BQ41" s="2942">
        <f t="shared" si="32"/>
        <v>0</v>
      </c>
      <c r="BR41" s="2942">
        <f t="shared" si="33"/>
        <v>0</v>
      </c>
      <c r="BS41" s="2942">
        <f t="shared" si="34"/>
        <v>0</v>
      </c>
      <c r="BT41" s="2994">
        <f t="shared" si="35"/>
        <v>0</v>
      </c>
    </row>
    <row r="42" spans="1:72">
      <c r="A42" s="2939"/>
      <c r="B42" s="2940"/>
      <c r="C42" s="2940"/>
      <c r="D42" s="2941"/>
      <c r="E42" s="2942">
        <f t="shared" si="7"/>
        <v>0</v>
      </c>
      <c r="F42" s="2943"/>
      <c r="G42" s="2944">
        <f t="shared" si="8"/>
        <v>0</v>
      </c>
      <c r="H42" s="2945">
        <f t="shared" si="9"/>
        <v>0</v>
      </c>
      <c r="I42" s="2952"/>
      <c r="J42" s="2952"/>
      <c r="K42" s="2952"/>
      <c r="L42" s="2952"/>
      <c r="M42" s="2952"/>
      <c r="N42" s="2952"/>
      <c r="O42" s="2952"/>
      <c r="P42" s="2952"/>
      <c r="Q42" s="2952"/>
      <c r="R42" s="2952"/>
      <c r="S42" s="2952"/>
      <c r="T42" s="2952"/>
      <c r="U42" s="2952"/>
      <c r="V42" s="2952"/>
      <c r="W42" s="2952"/>
      <c r="X42" s="2952"/>
      <c r="Y42" s="2952"/>
      <c r="Z42" s="2952"/>
      <c r="AA42" s="2952"/>
      <c r="AB42" s="2952"/>
      <c r="AC42" s="2942">
        <f t="shared" si="10"/>
        <v>0</v>
      </c>
      <c r="AD42" s="2962"/>
      <c r="AE42" s="2962"/>
      <c r="AF42" s="2962"/>
      <c r="AG42" s="2962"/>
      <c r="AH42" s="2962"/>
      <c r="AI42" s="2962"/>
      <c r="AJ42" s="2962"/>
      <c r="AK42" s="2962"/>
      <c r="AL42" s="2962"/>
      <c r="AM42" s="2962"/>
      <c r="AN42" s="2962"/>
      <c r="AO42" s="2962"/>
      <c r="AP42" s="2962"/>
      <c r="AQ42" s="2962"/>
      <c r="AR42" s="2962"/>
      <c r="AS42" s="2962"/>
      <c r="AT42" s="2972"/>
      <c r="AU42" s="2973"/>
      <c r="AV42" s="1120">
        <f t="shared" si="11"/>
        <v>0</v>
      </c>
      <c r="AW42" s="1120">
        <f t="shared" si="12"/>
        <v>0</v>
      </c>
      <c r="AX42" s="1120">
        <f t="shared" si="13"/>
        <v>0</v>
      </c>
      <c r="AY42" s="2987">
        <f t="shared" si="14"/>
        <v>0</v>
      </c>
      <c r="AZ42" s="2942">
        <f t="shared" si="15"/>
        <v>0</v>
      </c>
      <c r="BA42" s="2942">
        <f t="shared" si="16"/>
        <v>0</v>
      </c>
      <c r="BB42" s="2942">
        <f t="shared" si="17"/>
        <v>0</v>
      </c>
      <c r="BC42" s="2942">
        <f t="shared" si="18"/>
        <v>0</v>
      </c>
      <c r="BD42" s="2942">
        <f t="shared" si="19"/>
        <v>0</v>
      </c>
      <c r="BE42" s="2942">
        <f t="shared" si="20"/>
        <v>0</v>
      </c>
      <c r="BF42" s="2942">
        <f t="shared" si="21"/>
        <v>0</v>
      </c>
      <c r="BG42" s="2942">
        <f t="shared" si="22"/>
        <v>0</v>
      </c>
      <c r="BH42" s="2942">
        <f t="shared" si="23"/>
        <v>0</v>
      </c>
      <c r="BI42" s="2942">
        <f t="shared" si="24"/>
        <v>0</v>
      </c>
      <c r="BJ42" s="2942">
        <f t="shared" si="25"/>
        <v>0</v>
      </c>
      <c r="BK42" s="2942">
        <f t="shared" si="26"/>
        <v>0</v>
      </c>
      <c r="BL42" s="2942">
        <f t="shared" si="27"/>
        <v>0</v>
      </c>
      <c r="BM42" s="2942">
        <f t="shared" si="28"/>
        <v>0</v>
      </c>
      <c r="BN42" s="2942">
        <f t="shared" si="29"/>
        <v>0</v>
      </c>
      <c r="BO42" s="2942">
        <f t="shared" si="30"/>
        <v>0</v>
      </c>
      <c r="BP42" s="2942">
        <f t="shared" si="31"/>
        <v>0</v>
      </c>
      <c r="BQ42" s="2942">
        <f t="shared" si="32"/>
        <v>0</v>
      </c>
      <c r="BR42" s="2942">
        <f t="shared" si="33"/>
        <v>0</v>
      </c>
      <c r="BS42" s="2942">
        <f t="shared" si="34"/>
        <v>0</v>
      </c>
      <c r="BT42" s="2994">
        <f t="shared" si="35"/>
        <v>0</v>
      </c>
    </row>
    <row r="43" spans="1:72">
      <c r="A43" s="2939"/>
      <c r="B43" s="2940"/>
      <c r="C43" s="2940"/>
      <c r="D43" s="2941"/>
      <c r="E43" s="2942">
        <f t="shared" si="7"/>
        <v>0</v>
      </c>
      <c r="F43" s="2943"/>
      <c r="G43" s="2944">
        <f t="shared" si="8"/>
        <v>0</v>
      </c>
      <c r="H43" s="2945">
        <f t="shared" si="9"/>
        <v>0</v>
      </c>
      <c r="I43" s="2952"/>
      <c r="J43" s="2952"/>
      <c r="K43" s="2952"/>
      <c r="L43" s="2952"/>
      <c r="M43" s="2952"/>
      <c r="N43" s="2952"/>
      <c r="O43" s="2952"/>
      <c r="P43" s="2952"/>
      <c r="Q43" s="2952"/>
      <c r="R43" s="2952"/>
      <c r="S43" s="2952"/>
      <c r="T43" s="2952"/>
      <c r="U43" s="2952"/>
      <c r="V43" s="2952"/>
      <c r="W43" s="2952"/>
      <c r="X43" s="2952"/>
      <c r="Y43" s="2952"/>
      <c r="Z43" s="2952"/>
      <c r="AA43" s="2952"/>
      <c r="AB43" s="2952"/>
      <c r="AC43" s="2942">
        <f t="shared" si="10"/>
        <v>0</v>
      </c>
      <c r="AD43" s="2962"/>
      <c r="AE43" s="2962"/>
      <c r="AF43" s="2962"/>
      <c r="AG43" s="2962"/>
      <c r="AH43" s="2962"/>
      <c r="AI43" s="2962"/>
      <c r="AJ43" s="2962"/>
      <c r="AK43" s="2962"/>
      <c r="AL43" s="2962"/>
      <c r="AM43" s="2962"/>
      <c r="AN43" s="2962"/>
      <c r="AO43" s="2962"/>
      <c r="AP43" s="2962"/>
      <c r="AQ43" s="2962"/>
      <c r="AR43" s="2962"/>
      <c r="AS43" s="2962"/>
      <c r="AT43" s="2972"/>
      <c r="AU43" s="2973"/>
      <c r="AV43" s="1120">
        <f t="shared" si="11"/>
        <v>0</v>
      </c>
      <c r="AW43" s="1120">
        <f t="shared" si="12"/>
        <v>0</v>
      </c>
      <c r="AX43" s="1120">
        <f t="shared" si="13"/>
        <v>0</v>
      </c>
      <c r="AY43" s="2987">
        <f t="shared" si="14"/>
        <v>0</v>
      </c>
      <c r="AZ43" s="2942">
        <f t="shared" si="15"/>
        <v>0</v>
      </c>
      <c r="BA43" s="2942">
        <f t="shared" si="16"/>
        <v>0</v>
      </c>
      <c r="BB43" s="2942">
        <f t="shared" si="17"/>
        <v>0</v>
      </c>
      <c r="BC43" s="2942">
        <f t="shared" si="18"/>
        <v>0</v>
      </c>
      <c r="BD43" s="2942">
        <f t="shared" si="19"/>
        <v>0</v>
      </c>
      <c r="BE43" s="2942">
        <f t="shared" si="20"/>
        <v>0</v>
      </c>
      <c r="BF43" s="2942">
        <f t="shared" si="21"/>
        <v>0</v>
      </c>
      <c r="BG43" s="2942">
        <f t="shared" si="22"/>
        <v>0</v>
      </c>
      <c r="BH43" s="2942">
        <f t="shared" si="23"/>
        <v>0</v>
      </c>
      <c r="BI43" s="2942">
        <f t="shared" si="24"/>
        <v>0</v>
      </c>
      <c r="BJ43" s="2942">
        <f t="shared" si="25"/>
        <v>0</v>
      </c>
      <c r="BK43" s="2942">
        <f t="shared" si="26"/>
        <v>0</v>
      </c>
      <c r="BL43" s="2942">
        <f t="shared" si="27"/>
        <v>0</v>
      </c>
      <c r="BM43" s="2942">
        <f t="shared" si="28"/>
        <v>0</v>
      </c>
      <c r="BN43" s="2942">
        <f t="shared" si="29"/>
        <v>0</v>
      </c>
      <c r="BO43" s="2942">
        <f t="shared" si="30"/>
        <v>0</v>
      </c>
      <c r="BP43" s="2942">
        <f t="shared" si="31"/>
        <v>0</v>
      </c>
      <c r="BQ43" s="2942">
        <f t="shared" si="32"/>
        <v>0</v>
      </c>
      <c r="BR43" s="2942">
        <f t="shared" si="33"/>
        <v>0</v>
      </c>
      <c r="BS43" s="2942">
        <f t="shared" si="34"/>
        <v>0</v>
      </c>
      <c r="BT43" s="2994">
        <f t="shared" si="35"/>
        <v>0</v>
      </c>
    </row>
    <row r="44" spans="1:72">
      <c r="A44" s="2939"/>
      <c r="B44" s="2940"/>
      <c r="C44" s="2940"/>
      <c r="D44" s="2941"/>
      <c r="E44" s="2942">
        <f t="shared" si="7"/>
        <v>0</v>
      </c>
      <c r="F44" s="2943"/>
      <c r="G44" s="2944">
        <f t="shared" si="8"/>
        <v>0</v>
      </c>
      <c r="H44" s="2945">
        <f t="shared" si="9"/>
        <v>0</v>
      </c>
      <c r="I44" s="2952"/>
      <c r="J44" s="2952"/>
      <c r="K44" s="2952"/>
      <c r="L44" s="2952"/>
      <c r="M44" s="2952"/>
      <c r="N44" s="2952"/>
      <c r="O44" s="2952"/>
      <c r="P44" s="2952"/>
      <c r="Q44" s="2952"/>
      <c r="R44" s="2952"/>
      <c r="S44" s="2952"/>
      <c r="T44" s="2952"/>
      <c r="U44" s="2952"/>
      <c r="V44" s="2952"/>
      <c r="W44" s="2952"/>
      <c r="X44" s="2952"/>
      <c r="Y44" s="2952"/>
      <c r="Z44" s="2952"/>
      <c r="AA44" s="2952"/>
      <c r="AB44" s="2952"/>
      <c r="AC44" s="2942">
        <f t="shared" si="10"/>
        <v>0</v>
      </c>
      <c r="AD44" s="2962"/>
      <c r="AE44" s="2962"/>
      <c r="AF44" s="2962"/>
      <c r="AG44" s="2962"/>
      <c r="AH44" s="2962"/>
      <c r="AI44" s="2962"/>
      <c r="AJ44" s="2962"/>
      <c r="AK44" s="2962"/>
      <c r="AL44" s="2962"/>
      <c r="AM44" s="2962"/>
      <c r="AN44" s="2962"/>
      <c r="AO44" s="2962"/>
      <c r="AP44" s="2962"/>
      <c r="AQ44" s="2962"/>
      <c r="AR44" s="2962"/>
      <c r="AS44" s="2962"/>
      <c r="AT44" s="2972"/>
      <c r="AU44" s="2973"/>
      <c r="AV44" s="1120">
        <f t="shared" si="11"/>
        <v>0</v>
      </c>
      <c r="AW44" s="1120">
        <f t="shared" si="12"/>
        <v>0</v>
      </c>
      <c r="AX44" s="1120">
        <f t="shared" si="13"/>
        <v>0</v>
      </c>
      <c r="AY44" s="2987">
        <f t="shared" si="14"/>
        <v>0</v>
      </c>
      <c r="AZ44" s="2942">
        <f t="shared" si="15"/>
        <v>0</v>
      </c>
      <c r="BA44" s="2942">
        <f t="shared" si="16"/>
        <v>0</v>
      </c>
      <c r="BB44" s="2942">
        <f t="shared" si="17"/>
        <v>0</v>
      </c>
      <c r="BC44" s="2942">
        <f t="shared" si="18"/>
        <v>0</v>
      </c>
      <c r="BD44" s="2942">
        <f t="shared" si="19"/>
        <v>0</v>
      </c>
      <c r="BE44" s="2942">
        <f t="shared" si="20"/>
        <v>0</v>
      </c>
      <c r="BF44" s="2942">
        <f t="shared" si="21"/>
        <v>0</v>
      </c>
      <c r="BG44" s="2942">
        <f t="shared" si="22"/>
        <v>0</v>
      </c>
      <c r="BH44" s="2942">
        <f t="shared" si="23"/>
        <v>0</v>
      </c>
      <c r="BI44" s="2942">
        <f t="shared" si="24"/>
        <v>0</v>
      </c>
      <c r="BJ44" s="2942">
        <f t="shared" si="25"/>
        <v>0</v>
      </c>
      <c r="BK44" s="2942">
        <f t="shared" si="26"/>
        <v>0</v>
      </c>
      <c r="BL44" s="2942">
        <f t="shared" si="27"/>
        <v>0</v>
      </c>
      <c r="BM44" s="2942">
        <f t="shared" si="28"/>
        <v>0</v>
      </c>
      <c r="BN44" s="2942">
        <f t="shared" si="29"/>
        <v>0</v>
      </c>
      <c r="BO44" s="2942">
        <f t="shared" si="30"/>
        <v>0</v>
      </c>
      <c r="BP44" s="2942">
        <f t="shared" si="31"/>
        <v>0</v>
      </c>
      <c r="BQ44" s="2942">
        <f t="shared" si="32"/>
        <v>0</v>
      </c>
      <c r="BR44" s="2942">
        <f t="shared" si="33"/>
        <v>0</v>
      </c>
      <c r="BS44" s="2942">
        <f t="shared" si="34"/>
        <v>0</v>
      </c>
      <c r="BT44" s="2994">
        <f t="shared" si="35"/>
        <v>0</v>
      </c>
    </row>
    <row r="45" spans="1:72">
      <c r="A45" s="2939"/>
      <c r="B45" s="2940"/>
      <c r="C45" s="2940"/>
      <c r="D45" s="2941"/>
      <c r="E45" s="2942">
        <f t="shared" si="7"/>
        <v>0</v>
      </c>
      <c r="F45" s="2943"/>
      <c r="G45" s="2944">
        <f t="shared" si="8"/>
        <v>0</v>
      </c>
      <c r="H45" s="2945">
        <f t="shared" si="9"/>
        <v>0</v>
      </c>
      <c r="I45" s="2952"/>
      <c r="J45" s="2952"/>
      <c r="K45" s="2952"/>
      <c r="L45" s="2952"/>
      <c r="M45" s="2952"/>
      <c r="N45" s="2952"/>
      <c r="O45" s="2952"/>
      <c r="P45" s="2952"/>
      <c r="Q45" s="2952"/>
      <c r="R45" s="2952"/>
      <c r="S45" s="2952"/>
      <c r="T45" s="2952"/>
      <c r="U45" s="2952"/>
      <c r="V45" s="2952"/>
      <c r="W45" s="2952"/>
      <c r="X45" s="2952"/>
      <c r="Y45" s="2952"/>
      <c r="Z45" s="2952"/>
      <c r="AA45" s="2952"/>
      <c r="AB45" s="2952"/>
      <c r="AC45" s="2942">
        <f t="shared" si="10"/>
        <v>0</v>
      </c>
      <c r="AD45" s="2962"/>
      <c r="AE45" s="2962"/>
      <c r="AF45" s="2962"/>
      <c r="AG45" s="2962"/>
      <c r="AH45" s="2962"/>
      <c r="AI45" s="2962"/>
      <c r="AJ45" s="2962"/>
      <c r="AK45" s="2962"/>
      <c r="AL45" s="2962"/>
      <c r="AM45" s="2962"/>
      <c r="AN45" s="2962"/>
      <c r="AO45" s="2962"/>
      <c r="AP45" s="2962"/>
      <c r="AQ45" s="2962"/>
      <c r="AR45" s="2962"/>
      <c r="AS45" s="2962"/>
      <c r="AT45" s="2972"/>
      <c r="AU45" s="2973"/>
      <c r="AV45" s="1120">
        <f t="shared" si="11"/>
        <v>0</v>
      </c>
      <c r="AW45" s="1120">
        <f t="shared" si="12"/>
        <v>0</v>
      </c>
      <c r="AX45" s="1120">
        <f t="shared" si="13"/>
        <v>0</v>
      </c>
      <c r="AY45" s="2987">
        <f t="shared" si="14"/>
        <v>0</v>
      </c>
      <c r="AZ45" s="2942">
        <f t="shared" si="15"/>
        <v>0</v>
      </c>
      <c r="BA45" s="2942">
        <f t="shared" si="16"/>
        <v>0</v>
      </c>
      <c r="BB45" s="2942">
        <f t="shared" si="17"/>
        <v>0</v>
      </c>
      <c r="BC45" s="2942">
        <f t="shared" si="18"/>
        <v>0</v>
      </c>
      <c r="BD45" s="2942">
        <f t="shared" si="19"/>
        <v>0</v>
      </c>
      <c r="BE45" s="2942">
        <f t="shared" si="20"/>
        <v>0</v>
      </c>
      <c r="BF45" s="2942">
        <f t="shared" si="21"/>
        <v>0</v>
      </c>
      <c r="BG45" s="2942">
        <f t="shared" si="22"/>
        <v>0</v>
      </c>
      <c r="BH45" s="2942">
        <f t="shared" si="23"/>
        <v>0</v>
      </c>
      <c r="BI45" s="2942">
        <f t="shared" si="24"/>
        <v>0</v>
      </c>
      <c r="BJ45" s="2942">
        <f t="shared" si="25"/>
        <v>0</v>
      </c>
      <c r="BK45" s="2942">
        <f t="shared" si="26"/>
        <v>0</v>
      </c>
      <c r="BL45" s="2942">
        <f t="shared" si="27"/>
        <v>0</v>
      </c>
      <c r="BM45" s="2942">
        <f t="shared" si="28"/>
        <v>0</v>
      </c>
      <c r="BN45" s="2942">
        <f t="shared" si="29"/>
        <v>0</v>
      </c>
      <c r="BO45" s="2942">
        <f t="shared" si="30"/>
        <v>0</v>
      </c>
      <c r="BP45" s="2942">
        <f t="shared" si="31"/>
        <v>0</v>
      </c>
      <c r="BQ45" s="2942">
        <f t="shared" si="32"/>
        <v>0</v>
      </c>
      <c r="BR45" s="2942">
        <f t="shared" si="33"/>
        <v>0</v>
      </c>
      <c r="BS45" s="2942">
        <f t="shared" si="34"/>
        <v>0</v>
      </c>
      <c r="BT45" s="2994">
        <f t="shared" si="35"/>
        <v>0</v>
      </c>
    </row>
    <row r="46" spans="1:72">
      <c r="A46" s="2939"/>
      <c r="B46" s="2940"/>
      <c r="C46" s="2940"/>
      <c r="D46" s="2941"/>
      <c r="E46" s="2942">
        <f t="shared" si="7"/>
        <v>0</v>
      </c>
      <c r="F46" s="2943"/>
      <c r="G46" s="2944">
        <f t="shared" si="8"/>
        <v>0</v>
      </c>
      <c r="H46" s="2945">
        <f t="shared" si="9"/>
        <v>0</v>
      </c>
      <c r="I46" s="2952"/>
      <c r="J46" s="2952"/>
      <c r="K46" s="2952"/>
      <c r="L46" s="2952"/>
      <c r="M46" s="2952"/>
      <c r="N46" s="2952"/>
      <c r="O46" s="2952"/>
      <c r="P46" s="2952"/>
      <c r="Q46" s="2952"/>
      <c r="R46" s="2952"/>
      <c r="S46" s="2952"/>
      <c r="T46" s="2952"/>
      <c r="U46" s="2952"/>
      <c r="V46" s="2952"/>
      <c r="W46" s="2952"/>
      <c r="X46" s="2952"/>
      <c r="Y46" s="2952"/>
      <c r="Z46" s="2952"/>
      <c r="AA46" s="2952"/>
      <c r="AB46" s="2952"/>
      <c r="AC46" s="2942">
        <f t="shared" si="10"/>
        <v>0</v>
      </c>
      <c r="AD46" s="2962"/>
      <c r="AE46" s="2962"/>
      <c r="AF46" s="2962"/>
      <c r="AG46" s="2962"/>
      <c r="AH46" s="2962"/>
      <c r="AI46" s="2962"/>
      <c r="AJ46" s="2962"/>
      <c r="AK46" s="2962"/>
      <c r="AL46" s="2962"/>
      <c r="AM46" s="2962"/>
      <c r="AN46" s="2962"/>
      <c r="AO46" s="2962"/>
      <c r="AP46" s="2962"/>
      <c r="AQ46" s="2962"/>
      <c r="AR46" s="2962"/>
      <c r="AS46" s="2962"/>
      <c r="AT46" s="2972"/>
      <c r="AU46" s="2973"/>
      <c r="AV46" s="1120">
        <f t="shared" si="11"/>
        <v>0</v>
      </c>
      <c r="AW46" s="1120">
        <f t="shared" si="12"/>
        <v>0</v>
      </c>
      <c r="AX46" s="1120">
        <f t="shared" si="13"/>
        <v>0</v>
      </c>
      <c r="AY46" s="2987">
        <f t="shared" si="14"/>
        <v>0</v>
      </c>
      <c r="AZ46" s="2942">
        <f t="shared" si="15"/>
        <v>0</v>
      </c>
      <c r="BA46" s="2942">
        <f t="shared" si="16"/>
        <v>0</v>
      </c>
      <c r="BB46" s="2942">
        <f t="shared" si="17"/>
        <v>0</v>
      </c>
      <c r="BC46" s="2942">
        <f t="shared" si="18"/>
        <v>0</v>
      </c>
      <c r="BD46" s="2942">
        <f t="shared" si="19"/>
        <v>0</v>
      </c>
      <c r="BE46" s="2942">
        <f t="shared" si="20"/>
        <v>0</v>
      </c>
      <c r="BF46" s="2942">
        <f t="shared" si="21"/>
        <v>0</v>
      </c>
      <c r="BG46" s="2942">
        <f t="shared" si="22"/>
        <v>0</v>
      </c>
      <c r="BH46" s="2942">
        <f t="shared" si="23"/>
        <v>0</v>
      </c>
      <c r="BI46" s="2942">
        <f t="shared" si="24"/>
        <v>0</v>
      </c>
      <c r="BJ46" s="2942">
        <f t="shared" si="25"/>
        <v>0</v>
      </c>
      <c r="BK46" s="2942">
        <f t="shared" si="26"/>
        <v>0</v>
      </c>
      <c r="BL46" s="2942">
        <f t="shared" si="27"/>
        <v>0</v>
      </c>
      <c r="BM46" s="2942">
        <f t="shared" si="28"/>
        <v>0</v>
      </c>
      <c r="BN46" s="2942">
        <f t="shared" si="29"/>
        <v>0</v>
      </c>
      <c r="BO46" s="2942">
        <f t="shared" si="30"/>
        <v>0</v>
      </c>
      <c r="BP46" s="2942">
        <f t="shared" si="31"/>
        <v>0</v>
      </c>
      <c r="BQ46" s="2942">
        <f t="shared" si="32"/>
        <v>0</v>
      </c>
      <c r="BR46" s="2942">
        <f t="shared" si="33"/>
        <v>0</v>
      </c>
      <c r="BS46" s="2942">
        <f t="shared" si="34"/>
        <v>0</v>
      </c>
      <c r="BT46" s="2994">
        <f t="shared" si="35"/>
        <v>0</v>
      </c>
    </row>
    <row r="47" spans="1:72">
      <c r="A47" s="2939"/>
      <c r="B47" s="2940"/>
      <c r="C47" s="2940"/>
      <c r="D47" s="2941"/>
      <c r="E47" s="2942">
        <f t="shared" si="7"/>
        <v>0</v>
      </c>
      <c r="F47" s="2943"/>
      <c r="G47" s="2944">
        <f t="shared" si="8"/>
        <v>0</v>
      </c>
      <c r="H47" s="2945">
        <f t="shared" si="9"/>
        <v>0</v>
      </c>
      <c r="I47" s="2952"/>
      <c r="J47" s="2952"/>
      <c r="K47" s="2952"/>
      <c r="L47" s="2952"/>
      <c r="M47" s="2952"/>
      <c r="N47" s="2952"/>
      <c r="O47" s="2952"/>
      <c r="P47" s="2952"/>
      <c r="Q47" s="2952"/>
      <c r="R47" s="2952"/>
      <c r="S47" s="2952"/>
      <c r="T47" s="2952"/>
      <c r="U47" s="2952"/>
      <c r="V47" s="2952"/>
      <c r="W47" s="2952"/>
      <c r="X47" s="2952"/>
      <c r="Y47" s="2952"/>
      <c r="Z47" s="2952"/>
      <c r="AA47" s="2952"/>
      <c r="AB47" s="2952"/>
      <c r="AC47" s="2942">
        <f t="shared" si="10"/>
        <v>0</v>
      </c>
      <c r="AD47" s="2962"/>
      <c r="AE47" s="2962"/>
      <c r="AF47" s="2962"/>
      <c r="AG47" s="2962"/>
      <c r="AH47" s="2962"/>
      <c r="AI47" s="2962"/>
      <c r="AJ47" s="2962"/>
      <c r="AK47" s="2962"/>
      <c r="AL47" s="2962"/>
      <c r="AM47" s="2962"/>
      <c r="AN47" s="2962"/>
      <c r="AO47" s="2962"/>
      <c r="AP47" s="2962"/>
      <c r="AQ47" s="2962"/>
      <c r="AR47" s="2962"/>
      <c r="AS47" s="2962"/>
      <c r="AT47" s="2972"/>
      <c r="AU47" s="2973"/>
      <c r="AV47" s="1120">
        <f t="shared" si="11"/>
        <v>0</v>
      </c>
      <c r="AW47" s="1120">
        <f t="shared" si="12"/>
        <v>0</v>
      </c>
      <c r="AX47" s="1120">
        <f t="shared" si="13"/>
        <v>0</v>
      </c>
      <c r="AY47" s="2987">
        <f t="shared" si="14"/>
        <v>0</v>
      </c>
      <c r="AZ47" s="2942">
        <f t="shared" si="15"/>
        <v>0</v>
      </c>
      <c r="BA47" s="2942">
        <f t="shared" si="16"/>
        <v>0</v>
      </c>
      <c r="BB47" s="2942">
        <f t="shared" si="17"/>
        <v>0</v>
      </c>
      <c r="BC47" s="2942">
        <f t="shared" si="18"/>
        <v>0</v>
      </c>
      <c r="BD47" s="2942">
        <f t="shared" si="19"/>
        <v>0</v>
      </c>
      <c r="BE47" s="2942">
        <f t="shared" si="20"/>
        <v>0</v>
      </c>
      <c r="BF47" s="2942">
        <f t="shared" si="21"/>
        <v>0</v>
      </c>
      <c r="BG47" s="2942">
        <f t="shared" si="22"/>
        <v>0</v>
      </c>
      <c r="BH47" s="2942">
        <f t="shared" si="23"/>
        <v>0</v>
      </c>
      <c r="BI47" s="2942">
        <f t="shared" si="24"/>
        <v>0</v>
      </c>
      <c r="BJ47" s="2942">
        <f t="shared" si="25"/>
        <v>0</v>
      </c>
      <c r="BK47" s="2942">
        <f t="shared" si="26"/>
        <v>0</v>
      </c>
      <c r="BL47" s="2942">
        <f t="shared" si="27"/>
        <v>0</v>
      </c>
      <c r="BM47" s="2942">
        <f t="shared" si="28"/>
        <v>0</v>
      </c>
      <c r="BN47" s="2942">
        <f t="shared" si="29"/>
        <v>0</v>
      </c>
      <c r="BO47" s="2942">
        <f t="shared" si="30"/>
        <v>0</v>
      </c>
      <c r="BP47" s="2942">
        <f t="shared" si="31"/>
        <v>0</v>
      </c>
      <c r="BQ47" s="2942">
        <f t="shared" si="32"/>
        <v>0</v>
      </c>
      <c r="BR47" s="2942">
        <f t="shared" si="33"/>
        <v>0</v>
      </c>
      <c r="BS47" s="2942">
        <f t="shared" si="34"/>
        <v>0</v>
      </c>
      <c r="BT47" s="2994">
        <f t="shared" si="35"/>
        <v>0</v>
      </c>
    </row>
    <row r="48" spans="1:72">
      <c r="A48" s="2939"/>
      <c r="B48" s="2940"/>
      <c r="C48" s="2940"/>
      <c r="D48" s="2941"/>
      <c r="E48" s="2942">
        <f t="shared" si="7"/>
        <v>0</v>
      </c>
      <c r="F48" s="2943"/>
      <c r="G48" s="2944">
        <f t="shared" si="8"/>
        <v>0</v>
      </c>
      <c r="H48" s="2945">
        <f t="shared" si="9"/>
        <v>0</v>
      </c>
      <c r="I48" s="2952"/>
      <c r="J48" s="2952"/>
      <c r="K48" s="2952"/>
      <c r="L48" s="2952"/>
      <c r="M48" s="2952"/>
      <c r="N48" s="2952"/>
      <c r="O48" s="2952"/>
      <c r="P48" s="2952"/>
      <c r="Q48" s="2952"/>
      <c r="R48" s="2952"/>
      <c r="S48" s="2952"/>
      <c r="T48" s="2952"/>
      <c r="U48" s="2952"/>
      <c r="V48" s="2952"/>
      <c r="W48" s="2952"/>
      <c r="X48" s="2952"/>
      <c r="Y48" s="2952"/>
      <c r="Z48" s="2952"/>
      <c r="AA48" s="2952"/>
      <c r="AB48" s="2952"/>
      <c r="AC48" s="2942">
        <f t="shared" si="10"/>
        <v>0</v>
      </c>
      <c r="AD48" s="2962"/>
      <c r="AE48" s="2962"/>
      <c r="AF48" s="2962"/>
      <c r="AG48" s="2962"/>
      <c r="AH48" s="2962"/>
      <c r="AI48" s="2962"/>
      <c r="AJ48" s="2962"/>
      <c r="AK48" s="2962"/>
      <c r="AL48" s="2962"/>
      <c r="AM48" s="2962"/>
      <c r="AN48" s="2962"/>
      <c r="AO48" s="2962"/>
      <c r="AP48" s="2962"/>
      <c r="AQ48" s="2962"/>
      <c r="AR48" s="2962"/>
      <c r="AS48" s="2962"/>
      <c r="AT48" s="2972"/>
      <c r="AU48" s="2973"/>
      <c r="AV48" s="1120">
        <f t="shared" si="11"/>
        <v>0</v>
      </c>
      <c r="AW48" s="1120">
        <f t="shared" si="12"/>
        <v>0</v>
      </c>
      <c r="AX48" s="1120">
        <f t="shared" si="13"/>
        <v>0</v>
      </c>
      <c r="AY48" s="2987">
        <f t="shared" si="14"/>
        <v>0</v>
      </c>
      <c r="AZ48" s="2942">
        <f t="shared" si="15"/>
        <v>0</v>
      </c>
      <c r="BA48" s="2942">
        <f t="shared" si="16"/>
        <v>0</v>
      </c>
      <c r="BB48" s="2942">
        <f t="shared" si="17"/>
        <v>0</v>
      </c>
      <c r="BC48" s="2942">
        <f t="shared" si="18"/>
        <v>0</v>
      </c>
      <c r="BD48" s="2942">
        <f t="shared" si="19"/>
        <v>0</v>
      </c>
      <c r="BE48" s="2942">
        <f t="shared" si="20"/>
        <v>0</v>
      </c>
      <c r="BF48" s="2942">
        <f t="shared" si="21"/>
        <v>0</v>
      </c>
      <c r="BG48" s="2942">
        <f t="shared" si="22"/>
        <v>0</v>
      </c>
      <c r="BH48" s="2942">
        <f t="shared" si="23"/>
        <v>0</v>
      </c>
      <c r="BI48" s="2942">
        <f t="shared" si="24"/>
        <v>0</v>
      </c>
      <c r="BJ48" s="2942">
        <f t="shared" si="25"/>
        <v>0</v>
      </c>
      <c r="BK48" s="2942">
        <f t="shared" si="26"/>
        <v>0</v>
      </c>
      <c r="BL48" s="2942">
        <f t="shared" si="27"/>
        <v>0</v>
      </c>
      <c r="BM48" s="2942">
        <f t="shared" si="28"/>
        <v>0</v>
      </c>
      <c r="BN48" s="2942">
        <f t="shared" si="29"/>
        <v>0</v>
      </c>
      <c r="BO48" s="2942">
        <f t="shared" si="30"/>
        <v>0</v>
      </c>
      <c r="BP48" s="2942">
        <f t="shared" si="31"/>
        <v>0</v>
      </c>
      <c r="BQ48" s="2942">
        <f t="shared" si="32"/>
        <v>0</v>
      </c>
      <c r="BR48" s="2942">
        <f t="shared" si="33"/>
        <v>0</v>
      </c>
      <c r="BS48" s="2942">
        <f t="shared" si="34"/>
        <v>0</v>
      </c>
      <c r="BT48" s="2994">
        <f t="shared" si="35"/>
        <v>0</v>
      </c>
    </row>
    <row r="49" spans="1:72">
      <c r="A49" s="2939"/>
      <c r="B49" s="2940"/>
      <c r="C49" s="2940"/>
      <c r="D49" s="2941"/>
      <c r="E49" s="2942">
        <f t="shared" si="7"/>
        <v>0</v>
      </c>
      <c r="F49" s="2943"/>
      <c r="G49" s="2944">
        <f t="shared" si="8"/>
        <v>0</v>
      </c>
      <c r="H49" s="2945">
        <f t="shared" si="9"/>
        <v>0</v>
      </c>
      <c r="I49" s="2952"/>
      <c r="J49" s="2952"/>
      <c r="K49" s="2952"/>
      <c r="L49" s="2952"/>
      <c r="M49" s="2952"/>
      <c r="N49" s="2952"/>
      <c r="O49" s="2952"/>
      <c r="P49" s="2952"/>
      <c r="Q49" s="2952"/>
      <c r="R49" s="2952"/>
      <c r="S49" s="2952"/>
      <c r="T49" s="2952"/>
      <c r="U49" s="2952"/>
      <c r="V49" s="2952"/>
      <c r="W49" s="2952"/>
      <c r="X49" s="2952"/>
      <c r="Y49" s="2952"/>
      <c r="Z49" s="2952"/>
      <c r="AA49" s="2952"/>
      <c r="AB49" s="2952"/>
      <c r="AC49" s="2942">
        <f t="shared" si="10"/>
        <v>0</v>
      </c>
      <c r="AD49" s="2962"/>
      <c r="AE49" s="2962"/>
      <c r="AF49" s="2962"/>
      <c r="AG49" s="2962"/>
      <c r="AH49" s="2962"/>
      <c r="AI49" s="2962"/>
      <c r="AJ49" s="2962"/>
      <c r="AK49" s="2962"/>
      <c r="AL49" s="2962"/>
      <c r="AM49" s="2962"/>
      <c r="AN49" s="2962"/>
      <c r="AO49" s="2962"/>
      <c r="AP49" s="2962"/>
      <c r="AQ49" s="2962"/>
      <c r="AR49" s="2962"/>
      <c r="AS49" s="2962"/>
      <c r="AT49" s="2972"/>
      <c r="AU49" s="2973"/>
      <c r="AV49" s="1120">
        <f t="shared" si="11"/>
        <v>0</v>
      </c>
      <c r="AW49" s="1120">
        <f t="shared" si="12"/>
        <v>0</v>
      </c>
      <c r="AX49" s="1120">
        <f t="shared" si="13"/>
        <v>0</v>
      </c>
      <c r="AY49" s="2987">
        <f t="shared" si="14"/>
        <v>0</v>
      </c>
      <c r="AZ49" s="2942">
        <f t="shared" si="15"/>
        <v>0</v>
      </c>
      <c r="BA49" s="2942">
        <f t="shared" si="16"/>
        <v>0</v>
      </c>
      <c r="BB49" s="2942">
        <f t="shared" si="17"/>
        <v>0</v>
      </c>
      <c r="BC49" s="2942">
        <f t="shared" si="18"/>
        <v>0</v>
      </c>
      <c r="BD49" s="2942">
        <f t="shared" si="19"/>
        <v>0</v>
      </c>
      <c r="BE49" s="2942">
        <f t="shared" si="20"/>
        <v>0</v>
      </c>
      <c r="BF49" s="2942">
        <f t="shared" si="21"/>
        <v>0</v>
      </c>
      <c r="BG49" s="2942">
        <f t="shared" si="22"/>
        <v>0</v>
      </c>
      <c r="BH49" s="2942">
        <f t="shared" si="23"/>
        <v>0</v>
      </c>
      <c r="BI49" s="2942">
        <f t="shared" si="24"/>
        <v>0</v>
      </c>
      <c r="BJ49" s="2942">
        <f t="shared" si="25"/>
        <v>0</v>
      </c>
      <c r="BK49" s="2942">
        <f t="shared" si="26"/>
        <v>0</v>
      </c>
      <c r="BL49" s="2942">
        <f t="shared" si="27"/>
        <v>0</v>
      </c>
      <c r="BM49" s="2942">
        <f t="shared" si="28"/>
        <v>0</v>
      </c>
      <c r="BN49" s="2942">
        <f t="shared" si="29"/>
        <v>0</v>
      </c>
      <c r="BO49" s="2942">
        <f t="shared" si="30"/>
        <v>0</v>
      </c>
      <c r="BP49" s="2942">
        <f t="shared" si="31"/>
        <v>0</v>
      </c>
      <c r="BQ49" s="2942">
        <f t="shared" si="32"/>
        <v>0</v>
      </c>
      <c r="BR49" s="2942">
        <f t="shared" si="33"/>
        <v>0</v>
      </c>
      <c r="BS49" s="2942">
        <f t="shared" si="34"/>
        <v>0</v>
      </c>
      <c r="BT49" s="2994">
        <f t="shared" si="35"/>
        <v>0</v>
      </c>
    </row>
    <row r="50" spans="1:72">
      <c r="A50" s="2939"/>
      <c r="B50" s="2940"/>
      <c r="C50" s="2940"/>
      <c r="D50" s="2941"/>
      <c r="E50" s="2942">
        <f t="shared" si="7"/>
        <v>0</v>
      </c>
      <c r="F50" s="2943"/>
      <c r="G50" s="2944">
        <f t="shared" si="8"/>
        <v>0</v>
      </c>
      <c r="H50" s="2945">
        <f t="shared" si="9"/>
        <v>0</v>
      </c>
      <c r="I50" s="2952"/>
      <c r="J50" s="2952"/>
      <c r="K50" s="2952"/>
      <c r="L50" s="2952"/>
      <c r="M50" s="2952"/>
      <c r="N50" s="2952"/>
      <c r="O50" s="2952"/>
      <c r="P50" s="2952"/>
      <c r="Q50" s="2952"/>
      <c r="R50" s="2952"/>
      <c r="S50" s="2952"/>
      <c r="T50" s="2952"/>
      <c r="U50" s="2952"/>
      <c r="V50" s="2952"/>
      <c r="W50" s="2952"/>
      <c r="X50" s="2952"/>
      <c r="Y50" s="2952"/>
      <c r="Z50" s="2952"/>
      <c r="AA50" s="2952"/>
      <c r="AB50" s="2952"/>
      <c r="AC50" s="2942">
        <f t="shared" si="10"/>
        <v>0</v>
      </c>
      <c r="AD50" s="2962"/>
      <c r="AE50" s="2962"/>
      <c r="AF50" s="2962"/>
      <c r="AG50" s="2962"/>
      <c r="AH50" s="2962"/>
      <c r="AI50" s="2962"/>
      <c r="AJ50" s="2962"/>
      <c r="AK50" s="2962"/>
      <c r="AL50" s="2962"/>
      <c r="AM50" s="2962"/>
      <c r="AN50" s="2962"/>
      <c r="AO50" s="2962"/>
      <c r="AP50" s="2962"/>
      <c r="AQ50" s="2962"/>
      <c r="AR50" s="2962"/>
      <c r="AS50" s="2962"/>
      <c r="AT50" s="2972"/>
      <c r="AU50" s="2973"/>
      <c r="AV50" s="1120">
        <f t="shared" si="11"/>
        <v>0</v>
      </c>
      <c r="AW50" s="1120">
        <f t="shared" si="12"/>
        <v>0</v>
      </c>
      <c r="AX50" s="1120">
        <f t="shared" si="13"/>
        <v>0</v>
      </c>
      <c r="AY50" s="2987">
        <f t="shared" si="14"/>
        <v>0</v>
      </c>
      <c r="AZ50" s="2942">
        <f t="shared" si="15"/>
        <v>0</v>
      </c>
      <c r="BA50" s="2942">
        <f t="shared" si="16"/>
        <v>0</v>
      </c>
      <c r="BB50" s="2942">
        <f t="shared" si="17"/>
        <v>0</v>
      </c>
      <c r="BC50" s="2942">
        <f t="shared" si="18"/>
        <v>0</v>
      </c>
      <c r="BD50" s="2942">
        <f t="shared" si="19"/>
        <v>0</v>
      </c>
      <c r="BE50" s="2942">
        <f t="shared" si="20"/>
        <v>0</v>
      </c>
      <c r="BF50" s="2942">
        <f t="shared" si="21"/>
        <v>0</v>
      </c>
      <c r="BG50" s="2942">
        <f t="shared" si="22"/>
        <v>0</v>
      </c>
      <c r="BH50" s="2942">
        <f t="shared" si="23"/>
        <v>0</v>
      </c>
      <c r="BI50" s="2942">
        <f t="shared" si="24"/>
        <v>0</v>
      </c>
      <c r="BJ50" s="2942">
        <f t="shared" si="25"/>
        <v>0</v>
      </c>
      <c r="BK50" s="2942">
        <f t="shared" si="26"/>
        <v>0</v>
      </c>
      <c r="BL50" s="2942">
        <f t="shared" si="27"/>
        <v>0</v>
      </c>
      <c r="BM50" s="2942">
        <f t="shared" si="28"/>
        <v>0</v>
      </c>
      <c r="BN50" s="2942">
        <f t="shared" si="29"/>
        <v>0</v>
      </c>
      <c r="BO50" s="2942">
        <f t="shared" si="30"/>
        <v>0</v>
      </c>
      <c r="BP50" s="2942">
        <f t="shared" si="31"/>
        <v>0</v>
      </c>
      <c r="BQ50" s="2942">
        <f t="shared" si="32"/>
        <v>0</v>
      </c>
      <c r="BR50" s="2942">
        <f t="shared" si="33"/>
        <v>0</v>
      </c>
      <c r="BS50" s="2942">
        <f t="shared" si="34"/>
        <v>0</v>
      </c>
      <c r="BT50" s="2994">
        <f t="shared" si="35"/>
        <v>0</v>
      </c>
    </row>
    <row r="51" spans="1:72">
      <c r="A51" s="2939"/>
      <c r="B51" s="2940"/>
      <c r="C51" s="2940"/>
      <c r="D51" s="2941"/>
      <c r="E51" s="2942">
        <f t="shared" si="7"/>
        <v>0</v>
      </c>
      <c r="F51" s="2943"/>
      <c r="G51" s="2944">
        <f t="shared" si="8"/>
        <v>0</v>
      </c>
      <c r="H51" s="2945">
        <f t="shared" si="9"/>
        <v>0</v>
      </c>
      <c r="I51" s="2952"/>
      <c r="J51" s="2952"/>
      <c r="K51" s="2952"/>
      <c r="L51" s="2952"/>
      <c r="M51" s="2952"/>
      <c r="N51" s="2952"/>
      <c r="O51" s="2952"/>
      <c r="P51" s="2952"/>
      <c r="Q51" s="2952"/>
      <c r="R51" s="2952"/>
      <c r="S51" s="2952"/>
      <c r="T51" s="2952"/>
      <c r="U51" s="2952"/>
      <c r="V51" s="2952"/>
      <c r="W51" s="2952"/>
      <c r="X51" s="2952"/>
      <c r="Y51" s="2952"/>
      <c r="Z51" s="2952"/>
      <c r="AA51" s="2952"/>
      <c r="AB51" s="2952"/>
      <c r="AC51" s="2942">
        <f t="shared" si="10"/>
        <v>0</v>
      </c>
      <c r="AD51" s="2962"/>
      <c r="AE51" s="2962"/>
      <c r="AF51" s="2962"/>
      <c r="AG51" s="2962"/>
      <c r="AH51" s="2962"/>
      <c r="AI51" s="2962"/>
      <c r="AJ51" s="2962"/>
      <c r="AK51" s="2962"/>
      <c r="AL51" s="2962"/>
      <c r="AM51" s="2962"/>
      <c r="AN51" s="2962"/>
      <c r="AO51" s="2962"/>
      <c r="AP51" s="2962"/>
      <c r="AQ51" s="2962"/>
      <c r="AR51" s="2962"/>
      <c r="AS51" s="2962"/>
      <c r="AT51" s="2972"/>
      <c r="AU51" s="2973"/>
      <c r="AV51" s="1120">
        <f t="shared" si="11"/>
        <v>0</v>
      </c>
      <c r="AW51" s="1120">
        <f t="shared" si="12"/>
        <v>0</v>
      </c>
      <c r="AX51" s="1120">
        <f t="shared" si="13"/>
        <v>0</v>
      </c>
      <c r="AY51" s="2987">
        <f t="shared" si="14"/>
        <v>0</v>
      </c>
      <c r="AZ51" s="2942">
        <f t="shared" si="15"/>
        <v>0</v>
      </c>
      <c r="BA51" s="2942">
        <f t="shared" si="16"/>
        <v>0</v>
      </c>
      <c r="BB51" s="2942">
        <f t="shared" si="17"/>
        <v>0</v>
      </c>
      <c r="BC51" s="2942">
        <f t="shared" si="18"/>
        <v>0</v>
      </c>
      <c r="BD51" s="2942">
        <f t="shared" si="19"/>
        <v>0</v>
      </c>
      <c r="BE51" s="2942">
        <f t="shared" si="20"/>
        <v>0</v>
      </c>
      <c r="BF51" s="2942">
        <f t="shared" si="21"/>
        <v>0</v>
      </c>
      <c r="BG51" s="2942">
        <f t="shared" si="22"/>
        <v>0</v>
      </c>
      <c r="BH51" s="2942">
        <f t="shared" si="23"/>
        <v>0</v>
      </c>
      <c r="BI51" s="2942">
        <f t="shared" si="24"/>
        <v>0</v>
      </c>
      <c r="BJ51" s="2942">
        <f t="shared" si="25"/>
        <v>0</v>
      </c>
      <c r="BK51" s="2942">
        <f t="shared" si="26"/>
        <v>0</v>
      </c>
      <c r="BL51" s="2942">
        <f t="shared" si="27"/>
        <v>0</v>
      </c>
      <c r="BM51" s="2942">
        <f t="shared" si="28"/>
        <v>0</v>
      </c>
      <c r="BN51" s="2942">
        <f t="shared" si="29"/>
        <v>0</v>
      </c>
      <c r="BO51" s="2942">
        <f t="shared" si="30"/>
        <v>0</v>
      </c>
      <c r="BP51" s="2942">
        <f t="shared" si="31"/>
        <v>0</v>
      </c>
      <c r="BQ51" s="2942">
        <f t="shared" si="32"/>
        <v>0</v>
      </c>
      <c r="BR51" s="2942">
        <f t="shared" si="33"/>
        <v>0</v>
      </c>
      <c r="BS51" s="2942">
        <f t="shared" si="34"/>
        <v>0</v>
      </c>
      <c r="BT51" s="2994">
        <f t="shared" si="35"/>
        <v>0</v>
      </c>
    </row>
    <row r="52" spans="1:72">
      <c r="A52" s="2939"/>
      <c r="B52" s="2940"/>
      <c r="C52" s="2940"/>
      <c r="D52" s="2941"/>
      <c r="E52" s="2942">
        <f t="shared" si="7"/>
        <v>0</v>
      </c>
      <c r="F52" s="2943"/>
      <c r="G52" s="2944">
        <f t="shared" si="8"/>
        <v>0</v>
      </c>
      <c r="H52" s="2945">
        <f t="shared" si="9"/>
        <v>0</v>
      </c>
      <c r="I52" s="2952"/>
      <c r="J52" s="2952"/>
      <c r="K52" s="2952"/>
      <c r="L52" s="2952"/>
      <c r="M52" s="2952"/>
      <c r="N52" s="2952"/>
      <c r="O52" s="2952"/>
      <c r="P52" s="2952"/>
      <c r="Q52" s="2952"/>
      <c r="R52" s="2952"/>
      <c r="S52" s="2952"/>
      <c r="T52" s="2952"/>
      <c r="U52" s="2952"/>
      <c r="V52" s="2952"/>
      <c r="W52" s="2952"/>
      <c r="X52" s="2952"/>
      <c r="Y52" s="2952"/>
      <c r="Z52" s="2952"/>
      <c r="AA52" s="2952"/>
      <c r="AB52" s="2952"/>
      <c r="AC52" s="2942">
        <f t="shared" si="10"/>
        <v>0</v>
      </c>
      <c r="AD52" s="2962"/>
      <c r="AE52" s="2962"/>
      <c r="AF52" s="2962"/>
      <c r="AG52" s="2962"/>
      <c r="AH52" s="2962"/>
      <c r="AI52" s="2962"/>
      <c r="AJ52" s="2962"/>
      <c r="AK52" s="2962"/>
      <c r="AL52" s="2962"/>
      <c r="AM52" s="2962"/>
      <c r="AN52" s="2962"/>
      <c r="AO52" s="2962"/>
      <c r="AP52" s="2962"/>
      <c r="AQ52" s="2962"/>
      <c r="AR52" s="2962"/>
      <c r="AS52" s="2962"/>
      <c r="AT52" s="2972"/>
      <c r="AU52" s="2973"/>
      <c r="AV52" s="1120">
        <f t="shared" si="11"/>
        <v>0</v>
      </c>
      <c r="AW52" s="1120">
        <f t="shared" si="12"/>
        <v>0</v>
      </c>
      <c r="AX52" s="1120">
        <f t="shared" si="13"/>
        <v>0</v>
      </c>
      <c r="AY52" s="2987">
        <f t="shared" si="14"/>
        <v>0</v>
      </c>
      <c r="AZ52" s="2942">
        <f t="shared" si="15"/>
        <v>0</v>
      </c>
      <c r="BA52" s="2942">
        <f t="shared" si="16"/>
        <v>0</v>
      </c>
      <c r="BB52" s="2942">
        <f t="shared" si="17"/>
        <v>0</v>
      </c>
      <c r="BC52" s="2942">
        <f t="shared" si="18"/>
        <v>0</v>
      </c>
      <c r="BD52" s="2942">
        <f t="shared" si="19"/>
        <v>0</v>
      </c>
      <c r="BE52" s="2942">
        <f t="shared" si="20"/>
        <v>0</v>
      </c>
      <c r="BF52" s="2942">
        <f t="shared" si="21"/>
        <v>0</v>
      </c>
      <c r="BG52" s="2942">
        <f t="shared" si="22"/>
        <v>0</v>
      </c>
      <c r="BH52" s="2942">
        <f t="shared" si="23"/>
        <v>0</v>
      </c>
      <c r="BI52" s="2942">
        <f t="shared" si="24"/>
        <v>0</v>
      </c>
      <c r="BJ52" s="2942">
        <f t="shared" si="25"/>
        <v>0</v>
      </c>
      <c r="BK52" s="2942">
        <f t="shared" si="26"/>
        <v>0</v>
      </c>
      <c r="BL52" s="2942">
        <f t="shared" si="27"/>
        <v>0</v>
      </c>
      <c r="BM52" s="2942">
        <f t="shared" si="28"/>
        <v>0</v>
      </c>
      <c r="BN52" s="2942">
        <f t="shared" si="29"/>
        <v>0</v>
      </c>
      <c r="BO52" s="2942">
        <f t="shared" si="30"/>
        <v>0</v>
      </c>
      <c r="BP52" s="2942">
        <f t="shared" si="31"/>
        <v>0</v>
      </c>
      <c r="BQ52" s="2942">
        <f t="shared" si="32"/>
        <v>0</v>
      </c>
      <c r="BR52" s="2942">
        <f t="shared" si="33"/>
        <v>0</v>
      </c>
      <c r="BS52" s="2942">
        <f t="shared" si="34"/>
        <v>0</v>
      </c>
      <c r="BT52" s="2994">
        <f t="shared" si="35"/>
        <v>0</v>
      </c>
    </row>
    <row r="53" spans="1:72">
      <c r="A53" s="2939"/>
      <c r="B53" s="2940"/>
      <c r="C53" s="2940"/>
      <c r="D53" s="2941"/>
      <c r="E53" s="2942">
        <f t="shared" si="7"/>
        <v>0</v>
      </c>
      <c r="F53" s="2943"/>
      <c r="G53" s="2944">
        <f t="shared" si="8"/>
        <v>0</v>
      </c>
      <c r="H53" s="2945">
        <f t="shared" si="9"/>
        <v>0</v>
      </c>
      <c r="I53" s="2952"/>
      <c r="J53" s="2952"/>
      <c r="K53" s="2952"/>
      <c r="L53" s="2952"/>
      <c r="M53" s="2952"/>
      <c r="N53" s="2952"/>
      <c r="O53" s="2952"/>
      <c r="P53" s="2952"/>
      <c r="Q53" s="2952"/>
      <c r="R53" s="2952"/>
      <c r="S53" s="2952"/>
      <c r="T53" s="2952"/>
      <c r="U53" s="2952"/>
      <c r="V53" s="2952"/>
      <c r="W53" s="2952"/>
      <c r="X53" s="2952"/>
      <c r="Y53" s="2952"/>
      <c r="Z53" s="2952"/>
      <c r="AA53" s="2952"/>
      <c r="AB53" s="2952"/>
      <c r="AC53" s="2942">
        <f t="shared" si="10"/>
        <v>0</v>
      </c>
      <c r="AD53" s="2962"/>
      <c r="AE53" s="2962"/>
      <c r="AF53" s="2962"/>
      <c r="AG53" s="2962"/>
      <c r="AH53" s="2962"/>
      <c r="AI53" s="2962"/>
      <c r="AJ53" s="2962"/>
      <c r="AK53" s="2962"/>
      <c r="AL53" s="2962"/>
      <c r="AM53" s="2962"/>
      <c r="AN53" s="2962"/>
      <c r="AO53" s="2962"/>
      <c r="AP53" s="2962"/>
      <c r="AQ53" s="2962"/>
      <c r="AR53" s="2962"/>
      <c r="AS53" s="2962"/>
      <c r="AT53" s="2972"/>
      <c r="AU53" s="2973"/>
      <c r="AV53" s="1120">
        <f t="shared" si="11"/>
        <v>0</v>
      </c>
      <c r="AW53" s="1120">
        <f t="shared" si="12"/>
        <v>0</v>
      </c>
      <c r="AX53" s="1120">
        <f t="shared" si="13"/>
        <v>0</v>
      </c>
      <c r="AY53" s="2987">
        <f t="shared" si="14"/>
        <v>0</v>
      </c>
      <c r="AZ53" s="2942">
        <f t="shared" si="15"/>
        <v>0</v>
      </c>
      <c r="BA53" s="2942">
        <f t="shared" si="16"/>
        <v>0</v>
      </c>
      <c r="BB53" s="2942">
        <f t="shared" si="17"/>
        <v>0</v>
      </c>
      <c r="BC53" s="2942">
        <f t="shared" si="18"/>
        <v>0</v>
      </c>
      <c r="BD53" s="2942">
        <f t="shared" si="19"/>
        <v>0</v>
      </c>
      <c r="BE53" s="2942">
        <f t="shared" si="20"/>
        <v>0</v>
      </c>
      <c r="BF53" s="2942">
        <f t="shared" si="21"/>
        <v>0</v>
      </c>
      <c r="BG53" s="2942">
        <f t="shared" si="22"/>
        <v>0</v>
      </c>
      <c r="BH53" s="2942">
        <f t="shared" si="23"/>
        <v>0</v>
      </c>
      <c r="BI53" s="2942">
        <f t="shared" si="24"/>
        <v>0</v>
      </c>
      <c r="BJ53" s="2942">
        <f t="shared" si="25"/>
        <v>0</v>
      </c>
      <c r="BK53" s="2942">
        <f t="shared" si="26"/>
        <v>0</v>
      </c>
      <c r="BL53" s="2942">
        <f t="shared" si="27"/>
        <v>0</v>
      </c>
      <c r="BM53" s="2942">
        <f t="shared" si="28"/>
        <v>0</v>
      </c>
      <c r="BN53" s="2942">
        <f t="shared" si="29"/>
        <v>0</v>
      </c>
      <c r="BO53" s="2942">
        <f t="shared" si="30"/>
        <v>0</v>
      </c>
      <c r="BP53" s="2942">
        <f t="shared" si="31"/>
        <v>0</v>
      </c>
      <c r="BQ53" s="2942">
        <f t="shared" si="32"/>
        <v>0</v>
      </c>
      <c r="BR53" s="2942">
        <f t="shared" si="33"/>
        <v>0</v>
      </c>
      <c r="BS53" s="2942">
        <f t="shared" si="34"/>
        <v>0</v>
      </c>
      <c r="BT53" s="2994">
        <f t="shared" si="35"/>
        <v>0</v>
      </c>
    </row>
    <row r="54" spans="1:72">
      <c r="A54" s="2939"/>
      <c r="B54" s="2940"/>
      <c r="C54" s="2940"/>
      <c r="D54" s="2941"/>
      <c r="E54" s="2942">
        <f t="shared" si="7"/>
        <v>0</v>
      </c>
      <c r="F54" s="2943"/>
      <c r="G54" s="2944">
        <f t="shared" si="8"/>
        <v>0</v>
      </c>
      <c r="H54" s="2945">
        <f t="shared" si="9"/>
        <v>0</v>
      </c>
      <c r="I54" s="2952"/>
      <c r="J54" s="2952"/>
      <c r="K54" s="2952"/>
      <c r="L54" s="2952"/>
      <c r="M54" s="2952"/>
      <c r="N54" s="2952"/>
      <c r="O54" s="2952"/>
      <c r="P54" s="2952"/>
      <c r="Q54" s="2952"/>
      <c r="R54" s="2952"/>
      <c r="S54" s="2952"/>
      <c r="T54" s="2952"/>
      <c r="U54" s="2952"/>
      <c r="V54" s="2952"/>
      <c r="W54" s="2952"/>
      <c r="X54" s="2952"/>
      <c r="Y54" s="2952"/>
      <c r="Z54" s="2952"/>
      <c r="AA54" s="2952"/>
      <c r="AB54" s="2952"/>
      <c r="AC54" s="2942">
        <f t="shared" si="10"/>
        <v>0</v>
      </c>
      <c r="AD54" s="2962"/>
      <c r="AE54" s="2962"/>
      <c r="AF54" s="2962"/>
      <c r="AG54" s="2962"/>
      <c r="AH54" s="2962"/>
      <c r="AI54" s="2962"/>
      <c r="AJ54" s="2962"/>
      <c r="AK54" s="2962"/>
      <c r="AL54" s="2962"/>
      <c r="AM54" s="2962"/>
      <c r="AN54" s="2962"/>
      <c r="AO54" s="2962"/>
      <c r="AP54" s="2962"/>
      <c r="AQ54" s="2962"/>
      <c r="AR54" s="2962"/>
      <c r="AS54" s="2962"/>
      <c r="AT54" s="2972"/>
      <c r="AU54" s="2973"/>
      <c r="AV54" s="1120">
        <f t="shared" si="11"/>
        <v>0</v>
      </c>
      <c r="AW54" s="1120">
        <f t="shared" si="12"/>
        <v>0</v>
      </c>
      <c r="AX54" s="1120">
        <f t="shared" si="13"/>
        <v>0</v>
      </c>
      <c r="AY54" s="2987">
        <f t="shared" si="14"/>
        <v>0</v>
      </c>
      <c r="AZ54" s="2942">
        <f t="shared" si="15"/>
        <v>0</v>
      </c>
      <c r="BA54" s="2942">
        <f t="shared" si="16"/>
        <v>0</v>
      </c>
      <c r="BB54" s="2942">
        <f t="shared" si="17"/>
        <v>0</v>
      </c>
      <c r="BC54" s="2942">
        <f t="shared" si="18"/>
        <v>0</v>
      </c>
      <c r="BD54" s="2942">
        <f t="shared" si="19"/>
        <v>0</v>
      </c>
      <c r="BE54" s="2942">
        <f t="shared" si="20"/>
        <v>0</v>
      </c>
      <c r="BF54" s="2942">
        <f t="shared" si="21"/>
        <v>0</v>
      </c>
      <c r="BG54" s="2942">
        <f t="shared" si="22"/>
        <v>0</v>
      </c>
      <c r="BH54" s="2942">
        <f t="shared" si="23"/>
        <v>0</v>
      </c>
      <c r="BI54" s="2942">
        <f t="shared" si="24"/>
        <v>0</v>
      </c>
      <c r="BJ54" s="2942">
        <f t="shared" si="25"/>
        <v>0</v>
      </c>
      <c r="BK54" s="2942">
        <f t="shared" si="26"/>
        <v>0</v>
      </c>
      <c r="BL54" s="2942">
        <f t="shared" si="27"/>
        <v>0</v>
      </c>
      <c r="BM54" s="2942">
        <f t="shared" si="28"/>
        <v>0</v>
      </c>
      <c r="BN54" s="2942">
        <f t="shared" si="29"/>
        <v>0</v>
      </c>
      <c r="BO54" s="2942">
        <f t="shared" si="30"/>
        <v>0</v>
      </c>
      <c r="BP54" s="2942">
        <f t="shared" si="31"/>
        <v>0</v>
      </c>
      <c r="BQ54" s="2942">
        <f t="shared" si="32"/>
        <v>0</v>
      </c>
      <c r="BR54" s="2942">
        <f t="shared" si="33"/>
        <v>0</v>
      </c>
      <c r="BS54" s="2942">
        <f t="shared" si="34"/>
        <v>0</v>
      </c>
      <c r="BT54" s="2994">
        <f t="shared" si="35"/>
        <v>0</v>
      </c>
    </row>
    <row r="55" spans="1:72">
      <c r="A55" s="2939"/>
      <c r="B55" s="2940"/>
      <c r="C55" s="2940"/>
      <c r="D55" s="2941"/>
      <c r="E55" s="2942">
        <f t="shared" si="7"/>
        <v>0</v>
      </c>
      <c r="F55" s="2943"/>
      <c r="G55" s="2944">
        <f t="shared" si="8"/>
        <v>0</v>
      </c>
      <c r="H55" s="2945">
        <f t="shared" si="9"/>
        <v>0</v>
      </c>
      <c r="I55" s="2952"/>
      <c r="J55" s="2952"/>
      <c r="K55" s="2952"/>
      <c r="L55" s="2952"/>
      <c r="M55" s="2952"/>
      <c r="N55" s="2952"/>
      <c r="O55" s="2952"/>
      <c r="P55" s="2952"/>
      <c r="Q55" s="2952"/>
      <c r="R55" s="2952"/>
      <c r="S55" s="2952"/>
      <c r="T55" s="2952"/>
      <c r="U55" s="2952"/>
      <c r="V55" s="2952"/>
      <c r="W55" s="2952"/>
      <c r="X55" s="2952"/>
      <c r="Y55" s="2952"/>
      <c r="Z55" s="2952"/>
      <c r="AA55" s="2952"/>
      <c r="AB55" s="2952"/>
      <c r="AC55" s="2942">
        <f t="shared" si="10"/>
        <v>0</v>
      </c>
      <c r="AD55" s="2962"/>
      <c r="AE55" s="2962"/>
      <c r="AF55" s="2962"/>
      <c r="AG55" s="2962"/>
      <c r="AH55" s="2962"/>
      <c r="AI55" s="2962"/>
      <c r="AJ55" s="2962"/>
      <c r="AK55" s="2962"/>
      <c r="AL55" s="2962"/>
      <c r="AM55" s="2962"/>
      <c r="AN55" s="2962"/>
      <c r="AO55" s="2962"/>
      <c r="AP55" s="2962"/>
      <c r="AQ55" s="2962"/>
      <c r="AR55" s="2962"/>
      <c r="AS55" s="2962"/>
      <c r="AT55" s="2972"/>
      <c r="AU55" s="2973"/>
      <c r="AV55" s="1120">
        <f t="shared" si="11"/>
        <v>0</v>
      </c>
      <c r="AW55" s="1120">
        <f t="shared" si="12"/>
        <v>0</v>
      </c>
      <c r="AX55" s="1120">
        <f t="shared" si="13"/>
        <v>0</v>
      </c>
      <c r="AY55" s="2987">
        <f t="shared" si="14"/>
        <v>0</v>
      </c>
      <c r="AZ55" s="2942">
        <f t="shared" si="15"/>
        <v>0</v>
      </c>
      <c r="BA55" s="2942">
        <f t="shared" si="16"/>
        <v>0</v>
      </c>
      <c r="BB55" s="2942">
        <f t="shared" si="17"/>
        <v>0</v>
      </c>
      <c r="BC55" s="2942">
        <f t="shared" si="18"/>
        <v>0</v>
      </c>
      <c r="BD55" s="2942">
        <f t="shared" si="19"/>
        <v>0</v>
      </c>
      <c r="BE55" s="2942">
        <f t="shared" si="20"/>
        <v>0</v>
      </c>
      <c r="BF55" s="2942">
        <f t="shared" si="21"/>
        <v>0</v>
      </c>
      <c r="BG55" s="2942">
        <f t="shared" si="22"/>
        <v>0</v>
      </c>
      <c r="BH55" s="2942">
        <f t="shared" si="23"/>
        <v>0</v>
      </c>
      <c r="BI55" s="2942">
        <f t="shared" si="24"/>
        <v>0</v>
      </c>
      <c r="BJ55" s="2942">
        <f t="shared" si="25"/>
        <v>0</v>
      </c>
      <c r="BK55" s="2942">
        <f t="shared" si="26"/>
        <v>0</v>
      </c>
      <c r="BL55" s="2942">
        <f t="shared" si="27"/>
        <v>0</v>
      </c>
      <c r="BM55" s="2942">
        <f t="shared" si="28"/>
        <v>0</v>
      </c>
      <c r="BN55" s="2942">
        <f t="shared" si="29"/>
        <v>0</v>
      </c>
      <c r="BO55" s="2942">
        <f t="shared" si="30"/>
        <v>0</v>
      </c>
      <c r="BP55" s="2942">
        <f t="shared" si="31"/>
        <v>0</v>
      </c>
      <c r="BQ55" s="2942">
        <f t="shared" si="32"/>
        <v>0</v>
      </c>
      <c r="BR55" s="2942">
        <f t="shared" si="33"/>
        <v>0</v>
      </c>
      <c r="BS55" s="2942">
        <f t="shared" si="34"/>
        <v>0</v>
      </c>
      <c r="BT55" s="2994">
        <f t="shared" si="35"/>
        <v>0</v>
      </c>
    </row>
    <row r="56" spans="1:72">
      <c r="A56" s="2939"/>
      <c r="B56" s="2940"/>
      <c r="C56" s="2940"/>
      <c r="D56" s="2941"/>
      <c r="E56" s="2942">
        <f t="shared" si="7"/>
        <v>0</v>
      </c>
      <c r="F56" s="2943"/>
      <c r="G56" s="2944">
        <f t="shared" si="8"/>
        <v>0</v>
      </c>
      <c r="H56" s="2945">
        <f t="shared" si="9"/>
        <v>0</v>
      </c>
      <c r="I56" s="2952"/>
      <c r="J56" s="2952"/>
      <c r="K56" s="2952"/>
      <c r="L56" s="2952"/>
      <c r="M56" s="2952"/>
      <c r="N56" s="2952"/>
      <c r="O56" s="2952"/>
      <c r="P56" s="2952"/>
      <c r="Q56" s="2952"/>
      <c r="R56" s="2952"/>
      <c r="S56" s="2952"/>
      <c r="T56" s="2952"/>
      <c r="U56" s="2952"/>
      <c r="V56" s="2952"/>
      <c r="W56" s="2952"/>
      <c r="X56" s="2952"/>
      <c r="Y56" s="2952"/>
      <c r="Z56" s="2952"/>
      <c r="AA56" s="2952"/>
      <c r="AB56" s="2952"/>
      <c r="AC56" s="2942">
        <f t="shared" si="10"/>
        <v>0</v>
      </c>
      <c r="AD56" s="2962"/>
      <c r="AE56" s="2962"/>
      <c r="AF56" s="2962"/>
      <c r="AG56" s="2962"/>
      <c r="AH56" s="2962"/>
      <c r="AI56" s="2962"/>
      <c r="AJ56" s="2962"/>
      <c r="AK56" s="2962"/>
      <c r="AL56" s="2962"/>
      <c r="AM56" s="2962"/>
      <c r="AN56" s="2962"/>
      <c r="AO56" s="2962"/>
      <c r="AP56" s="2962"/>
      <c r="AQ56" s="2962"/>
      <c r="AR56" s="2962"/>
      <c r="AS56" s="2962"/>
      <c r="AT56" s="2972"/>
      <c r="AU56" s="2973"/>
      <c r="AV56" s="1120">
        <f t="shared" si="11"/>
        <v>0</v>
      </c>
      <c r="AW56" s="1120">
        <f t="shared" si="12"/>
        <v>0</v>
      </c>
      <c r="AX56" s="1120">
        <f t="shared" si="13"/>
        <v>0</v>
      </c>
      <c r="AY56" s="2987">
        <f t="shared" si="14"/>
        <v>0</v>
      </c>
      <c r="AZ56" s="2942">
        <f t="shared" si="15"/>
        <v>0</v>
      </c>
      <c r="BA56" s="2942">
        <f t="shared" si="16"/>
        <v>0</v>
      </c>
      <c r="BB56" s="2942">
        <f t="shared" si="17"/>
        <v>0</v>
      </c>
      <c r="BC56" s="2942">
        <f t="shared" si="18"/>
        <v>0</v>
      </c>
      <c r="BD56" s="2942">
        <f t="shared" si="19"/>
        <v>0</v>
      </c>
      <c r="BE56" s="2942">
        <f t="shared" si="20"/>
        <v>0</v>
      </c>
      <c r="BF56" s="2942">
        <f t="shared" si="21"/>
        <v>0</v>
      </c>
      <c r="BG56" s="2942">
        <f t="shared" si="22"/>
        <v>0</v>
      </c>
      <c r="BH56" s="2942">
        <f t="shared" si="23"/>
        <v>0</v>
      </c>
      <c r="BI56" s="2942">
        <f t="shared" si="24"/>
        <v>0</v>
      </c>
      <c r="BJ56" s="2942">
        <f t="shared" si="25"/>
        <v>0</v>
      </c>
      <c r="BK56" s="2942">
        <f t="shared" si="26"/>
        <v>0</v>
      </c>
      <c r="BL56" s="2942">
        <f t="shared" si="27"/>
        <v>0</v>
      </c>
      <c r="BM56" s="2942">
        <f t="shared" si="28"/>
        <v>0</v>
      </c>
      <c r="BN56" s="2942">
        <f t="shared" si="29"/>
        <v>0</v>
      </c>
      <c r="BO56" s="2942">
        <f t="shared" si="30"/>
        <v>0</v>
      </c>
      <c r="BP56" s="2942">
        <f t="shared" si="31"/>
        <v>0</v>
      </c>
      <c r="BQ56" s="2942">
        <f t="shared" si="32"/>
        <v>0</v>
      </c>
      <c r="BR56" s="2942">
        <f t="shared" si="33"/>
        <v>0</v>
      </c>
      <c r="BS56" s="2942">
        <f t="shared" si="34"/>
        <v>0</v>
      </c>
      <c r="BT56" s="2994">
        <f t="shared" si="35"/>
        <v>0</v>
      </c>
    </row>
    <row r="57" spans="1:72">
      <c r="A57" s="2939"/>
      <c r="B57" s="2940"/>
      <c r="C57" s="2940"/>
      <c r="D57" s="2941"/>
      <c r="E57" s="2942">
        <f t="shared" si="7"/>
        <v>0</v>
      </c>
      <c r="F57" s="2943"/>
      <c r="G57" s="2944">
        <f t="shared" si="8"/>
        <v>0</v>
      </c>
      <c r="H57" s="2945">
        <f t="shared" si="9"/>
        <v>0</v>
      </c>
      <c r="I57" s="2952"/>
      <c r="J57" s="2952"/>
      <c r="K57" s="2952"/>
      <c r="L57" s="2952"/>
      <c r="M57" s="2952"/>
      <c r="N57" s="2952"/>
      <c r="O57" s="2952"/>
      <c r="P57" s="2952"/>
      <c r="Q57" s="2952"/>
      <c r="R57" s="2952"/>
      <c r="S57" s="2952"/>
      <c r="T57" s="2952"/>
      <c r="U57" s="2952"/>
      <c r="V57" s="2952"/>
      <c r="W57" s="2952"/>
      <c r="X57" s="2952"/>
      <c r="Y57" s="2952"/>
      <c r="Z57" s="2952"/>
      <c r="AA57" s="2952"/>
      <c r="AB57" s="2952"/>
      <c r="AC57" s="2942">
        <f t="shared" si="10"/>
        <v>0</v>
      </c>
      <c r="AD57" s="2962"/>
      <c r="AE57" s="2962"/>
      <c r="AF57" s="2962"/>
      <c r="AG57" s="2962"/>
      <c r="AH57" s="2962"/>
      <c r="AI57" s="2962"/>
      <c r="AJ57" s="2962"/>
      <c r="AK57" s="2962"/>
      <c r="AL57" s="2962"/>
      <c r="AM57" s="2962"/>
      <c r="AN57" s="2962"/>
      <c r="AO57" s="2962"/>
      <c r="AP57" s="2962"/>
      <c r="AQ57" s="2962"/>
      <c r="AR57" s="2962"/>
      <c r="AS57" s="2962"/>
      <c r="AT57" s="2972"/>
      <c r="AU57" s="2973"/>
      <c r="AV57" s="1120">
        <f t="shared" si="11"/>
        <v>0</v>
      </c>
      <c r="AW57" s="1120">
        <f t="shared" si="12"/>
        <v>0</v>
      </c>
      <c r="AX57" s="1120">
        <f t="shared" si="13"/>
        <v>0</v>
      </c>
      <c r="AY57" s="2987">
        <f t="shared" si="14"/>
        <v>0</v>
      </c>
      <c r="AZ57" s="2942">
        <f t="shared" si="15"/>
        <v>0</v>
      </c>
      <c r="BA57" s="2942">
        <f t="shared" si="16"/>
        <v>0</v>
      </c>
      <c r="BB57" s="2942">
        <f t="shared" si="17"/>
        <v>0</v>
      </c>
      <c r="BC57" s="2942">
        <f t="shared" si="18"/>
        <v>0</v>
      </c>
      <c r="BD57" s="2942">
        <f t="shared" si="19"/>
        <v>0</v>
      </c>
      <c r="BE57" s="2942">
        <f t="shared" si="20"/>
        <v>0</v>
      </c>
      <c r="BF57" s="2942">
        <f t="shared" si="21"/>
        <v>0</v>
      </c>
      <c r="BG57" s="2942">
        <f t="shared" si="22"/>
        <v>0</v>
      </c>
      <c r="BH57" s="2942">
        <f t="shared" si="23"/>
        <v>0</v>
      </c>
      <c r="BI57" s="2942">
        <f t="shared" si="24"/>
        <v>0</v>
      </c>
      <c r="BJ57" s="2942">
        <f t="shared" si="25"/>
        <v>0</v>
      </c>
      <c r="BK57" s="2942">
        <f t="shared" si="26"/>
        <v>0</v>
      </c>
      <c r="BL57" s="2942">
        <f t="shared" si="27"/>
        <v>0</v>
      </c>
      <c r="BM57" s="2942">
        <f t="shared" si="28"/>
        <v>0</v>
      </c>
      <c r="BN57" s="2942">
        <f t="shared" si="29"/>
        <v>0</v>
      </c>
      <c r="BO57" s="2942">
        <f t="shared" si="30"/>
        <v>0</v>
      </c>
      <c r="BP57" s="2942">
        <f t="shared" si="31"/>
        <v>0</v>
      </c>
      <c r="BQ57" s="2942">
        <f t="shared" si="32"/>
        <v>0</v>
      </c>
      <c r="BR57" s="2942">
        <f t="shared" si="33"/>
        <v>0</v>
      </c>
      <c r="BS57" s="2942">
        <f t="shared" si="34"/>
        <v>0</v>
      </c>
      <c r="BT57" s="2994">
        <f t="shared" si="35"/>
        <v>0</v>
      </c>
    </row>
    <row r="58" spans="1:72">
      <c r="A58" s="2939"/>
      <c r="B58" s="2940"/>
      <c r="C58" s="2940"/>
      <c r="D58" s="2941"/>
      <c r="E58" s="2942">
        <f t="shared" si="7"/>
        <v>0</v>
      </c>
      <c r="F58" s="2943"/>
      <c r="G58" s="2944">
        <f t="shared" si="8"/>
        <v>0</v>
      </c>
      <c r="H58" s="2945">
        <f t="shared" si="9"/>
        <v>0</v>
      </c>
      <c r="I58" s="2952"/>
      <c r="J58" s="2952"/>
      <c r="K58" s="2952"/>
      <c r="L58" s="2952"/>
      <c r="M58" s="2952"/>
      <c r="N58" s="2952"/>
      <c r="O58" s="2952"/>
      <c r="P58" s="2952"/>
      <c r="Q58" s="2952"/>
      <c r="R58" s="2952"/>
      <c r="S58" s="2952"/>
      <c r="T58" s="2952"/>
      <c r="U58" s="2952"/>
      <c r="V58" s="2952"/>
      <c r="W58" s="2952"/>
      <c r="X58" s="2952"/>
      <c r="Y58" s="2952"/>
      <c r="Z58" s="2952"/>
      <c r="AA58" s="2952"/>
      <c r="AB58" s="2952"/>
      <c r="AC58" s="2942">
        <f t="shared" si="10"/>
        <v>0</v>
      </c>
      <c r="AD58" s="2962"/>
      <c r="AE58" s="2962"/>
      <c r="AF58" s="2962"/>
      <c r="AG58" s="2962"/>
      <c r="AH58" s="2962"/>
      <c r="AI58" s="2962"/>
      <c r="AJ58" s="2962"/>
      <c r="AK58" s="2962"/>
      <c r="AL58" s="2962"/>
      <c r="AM58" s="2962"/>
      <c r="AN58" s="2962"/>
      <c r="AO58" s="2962"/>
      <c r="AP58" s="2962"/>
      <c r="AQ58" s="2962"/>
      <c r="AR58" s="2962"/>
      <c r="AS58" s="2962"/>
      <c r="AT58" s="2972"/>
      <c r="AU58" s="2973"/>
      <c r="AV58" s="1120">
        <f t="shared" si="11"/>
        <v>0</v>
      </c>
      <c r="AW58" s="1120">
        <f t="shared" si="12"/>
        <v>0</v>
      </c>
      <c r="AX58" s="1120">
        <f t="shared" si="13"/>
        <v>0</v>
      </c>
      <c r="AY58" s="2987">
        <f t="shared" si="14"/>
        <v>0</v>
      </c>
      <c r="AZ58" s="2942">
        <f t="shared" si="15"/>
        <v>0</v>
      </c>
      <c r="BA58" s="2942">
        <f t="shared" si="16"/>
        <v>0</v>
      </c>
      <c r="BB58" s="2942">
        <f t="shared" si="17"/>
        <v>0</v>
      </c>
      <c r="BC58" s="2942">
        <f t="shared" si="18"/>
        <v>0</v>
      </c>
      <c r="BD58" s="2942">
        <f t="shared" si="19"/>
        <v>0</v>
      </c>
      <c r="BE58" s="2942">
        <f t="shared" si="20"/>
        <v>0</v>
      </c>
      <c r="BF58" s="2942">
        <f t="shared" si="21"/>
        <v>0</v>
      </c>
      <c r="BG58" s="2942">
        <f t="shared" si="22"/>
        <v>0</v>
      </c>
      <c r="BH58" s="2942">
        <f t="shared" si="23"/>
        <v>0</v>
      </c>
      <c r="BI58" s="2942">
        <f t="shared" si="24"/>
        <v>0</v>
      </c>
      <c r="BJ58" s="2942">
        <f t="shared" si="25"/>
        <v>0</v>
      </c>
      <c r="BK58" s="2942">
        <f t="shared" si="26"/>
        <v>0</v>
      </c>
      <c r="BL58" s="2942">
        <f t="shared" si="27"/>
        <v>0</v>
      </c>
      <c r="BM58" s="2942">
        <f t="shared" si="28"/>
        <v>0</v>
      </c>
      <c r="BN58" s="2942">
        <f t="shared" si="29"/>
        <v>0</v>
      </c>
      <c r="BO58" s="2942">
        <f t="shared" si="30"/>
        <v>0</v>
      </c>
      <c r="BP58" s="2942">
        <f t="shared" si="31"/>
        <v>0</v>
      </c>
      <c r="BQ58" s="2942">
        <f t="shared" si="32"/>
        <v>0</v>
      </c>
      <c r="BR58" s="2942">
        <f t="shared" si="33"/>
        <v>0</v>
      </c>
      <c r="BS58" s="2942">
        <f t="shared" si="34"/>
        <v>0</v>
      </c>
      <c r="BT58" s="2994">
        <f t="shared" si="35"/>
        <v>0</v>
      </c>
    </row>
    <row r="59" spans="1:72">
      <c r="A59" s="2939"/>
      <c r="B59" s="2940"/>
      <c r="C59" s="2940"/>
      <c r="D59" s="2941"/>
      <c r="E59" s="2942">
        <f t="shared" si="7"/>
        <v>0</v>
      </c>
      <c r="F59" s="2943"/>
      <c r="G59" s="2944">
        <f t="shared" si="8"/>
        <v>0</v>
      </c>
      <c r="H59" s="2945">
        <f t="shared" si="9"/>
        <v>0</v>
      </c>
      <c r="I59" s="2952"/>
      <c r="J59" s="2952"/>
      <c r="K59" s="2952"/>
      <c r="L59" s="2952"/>
      <c r="M59" s="2952"/>
      <c r="N59" s="2952"/>
      <c r="O59" s="2952"/>
      <c r="P59" s="2952"/>
      <c r="Q59" s="2952"/>
      <c r="R59" s="2952"/>
      <c r="S59" s="2952"/>
      <c r="T59" s="2952"/>
      <c r="U59" s="2952"/>
      <c r="V59" s="2952"/>
      <c r="W59" s="2952"/>
      <c r="X59" s="2952"/>
      <c r="Y59" s="2952"/>
      <c r="Z59" s="2952"/>
      <c r="AA59" s="2952"/>
      <c r="AB59" s="2952"/>
      <c r="AC59" s="2942">
        <f t="shared" si="10"/>
        <v>0</v>
      </c>
      <c r="AD59" s="2962"/>
      <c r="AE59" s="2962"/>
      <c r="AF59" s="2962"/>
      <c r="AG59" s="2962"/>
      <c r="AH59" s="2962"/>
      <c r="AI59" s="2962"/>
      <c r="AJ59" s="2962"/>
      <c r="AK59" s="2962"/>
      <c r="AL59" s="2962"/>
      <c r="AM59" s="2962"/>
      <c r="AN59" s="2962"/>
      <c r="AO59" s="2962"/>
      <c r="AP59" s="2962"/>
      <c r="AQ59" s="2962"/>
      <c r="AR59" s="2962"/>
      <c r="AS59" s="2962"/>
      <c r="AT59" s="2972"/>
      <c r="AU59" s="2973"/>
      <c r="AV59" s="1120">
        <f t="shared" si="11"/>
        <v>0</v>
      </c>
      <c r="AW59" s="1120">
        <f t="shared" si="12"/>
        <v>0</v>
      </c>
      <c r="AX59" s="1120">
        <f t="shared" si="13"/>
        <v>0</v>
      </c>
      <c r="AY59" s="2987">
        <f t="shared" si="14"/>
        <v>0</v>
      </c>
      <c r="AZ59" s="2942">
        <f t="shared" si="15"/>
        <v>0</v>
      </c>
      <c r="BA59" s="2942">
        <f t="shared" si="16"/>
        <v>0</v>
      </c>
      <c r="BB59" s="2942">
        <f t="shared" si="17"/>
        <v>0</v>
      </c>
      <c r="BC59" s="2942">
        <f t="shared" si="18"/>
        <v>0</v>
      </c>
      <c r="BD59" s="2942">
        <f t="shared" si="19"/>
        <v>0</v>
      </c>
      <c r="BE59" s="2942">
        <f t="shared" si="20"/>
        <v>0</v>
      </c>
      <c r="BF59" s="2942">
        <f t="shared" si="21"/>
        <v>0</v>
      </c>
      <c r="BG59" s="2942">
        <f t="shared" si="22"/>
        <v>0</v>
      </c>
      <c r="BH59" s="2942">
        <f t="shared" si="23"/>
        <v>0</v>
      </c>
      <c r="BI59" s="2942">
        <f t="shared" si="24"/>
        <v>0</v>
      </c>
      <c r="BJ59" s="2942">
        <f t="shared" si="25"/>
        <v>0</v>
      </c>
      <c r="BK59" s="2942">
        <f t="shared" si="26"/>
        <v>0</v>
      </c>
      <c r="BL59" s="2942">
        <f t="shared" si="27"/>
        <v>0</v>
      </c>
      <c r="BM59" s="2942">
        <f t="shared" si="28"/>
        <v>0</v>
      </c>
      <c r="BN59" s="2942">
        <f t="shared" si="29"/>
        <v>0</v>
      </c>
      <c r="BO59" s="2942">
        <f t="shared" si="30"/>
        <v>0</v>
      </c>
      <c r="BP59" s="2942">
        <f t="shared" si="31"/>
        <v>0</v>
      </c>
      <c r="BQ59" s="2942">
        <f t="shared" si="32"/>
        <v>0</v>
      </c>
      <c r="BR59" s="2942">
        <f t="shared" si="33"/>
        <v>0</v>
      </c>
      <c r="BS59" s="2942">
        <f t="shared" si="34"/>
        <v>0</v>
      </c>
      <c r="BT59" s="2994">
        <f t="shared" si="35"/>
        <v>0</v>
      </c>
    </row>
    <row r="60" spans="1:72">
      <c r="A60" s="2939"/>
      <c r="B60" s="2940"/>
      <c r="C60" s="2940"/>
      <c r="D60" s="2941"/>
      <c r="E60" s="2942">
        <f t="shared" si="7"/>
        <v>0</v>
      </c>
      <c r="F60" s="2943"/>
      <c r="G60" s="2944">
        <f t="shared" si="8"/>
        <v>0</v>
      </c>
      <c r="H60" s="2945">
        <f t="shared" si="9"/>
        <v>0</v>
      </c>
      <c r="I60" s="2952"/>
      <c r="J60" s="2952"/>
      <c r="K60" s="2952"/>
      <c r="L60" s="2952"/>
      <c r="M60" s="2952"/>
      <c r="N60" s="2952"/>
      <c r="O60" s="2952"/>
      <c r="P60" s="2952"/>
      <c r="Q60" s="2952"/>
      <c r="R60" s="2952"/>
      <c r="S60" s="2952"/>
      <c r="T60" s="2952"/>
      <c r="U60" s="2952"/>
      <c r="V60" s="2952"/>
      <c r="W60" s="2952"/>
      <c r="X60" s="2952"/>
      <c r="Y60" s="2952"/>
      <c r="Z60" s="2952"/>
      <c r="AA60" s="2952"/>
      <c r="AB60" s="2952"/>
      <c r="AC60" s="2942">
        <f t="shared" si="10"/>
        <v>0</v>
      </c>
      <c r="AD60" s="2962"/>
      <c r="AE60" s="2962"/>
      <c r="AF60" s="2962"/>
      <c r="AG60" s="2962"/>
      <c r="AH60" s="2962"/>
      <c r="AI60" s="2962"/>
      <c r="AJ60" s="2962"/>
      <c r="AK60" s="2962"/>
      <c r="AL60" s="2962"/>
      <c r="AM60" s="2962"/>
      <c r="AN60" s="2962"/>
      <c r="AO60" s="2962"/>
      <c r="AP60" s="2962"/>
      <c r="AQ60" s="2962"/>
      <c r="AR60" s="2962"/>
      <c r="AS60" s="2962"/>
      <c r="AT60" s="2972"/>
      <c r="AU60" s="2973"/>
      <c r="AV60" s="1120">
        <f t="shared" si="11"/>
        <v>0</v>
      </c>
      <c r="AW60" s="1120">
        <f t="shared" si="12"/>
        <v>0</v>
      </c>
      <c r="AX60" s="1120">
        <f t="shared" si="13"/>
        <v>0</v>
      </c>
      <c r="AY60" s="2987">
        <f t="shared" si="14"/>
        <v>0</v>
      </c>
      <c r="AZ60" s="2942">
        <f t="shared" si="15"/>
        <v>0</v>
      </c>
      <c r="BA60" s="2942">
        <f t="shared" si="16"/>
        <v>0</v>
      </c>
      <c r="BB60" s="2942">
        <f t="shared" si="17"/>
        <v>0</v>
      </c>
      <c r="BC60" s="2942">
        <f t="shared" si="18"/>
        <v>0</v>
      </c>
      <c r="BD60" s="2942">
        <f t="shared" si="19"/>
        <v>0</v>
      </c>
      <c r="BE60" s="2942">
        <f t="shared" si="20"/>
        <v>0</v>
      </c>
      <c r="BF60" s="2942">
        <f t="shared" si="21"/>
        <v>0</v>
      </c>
      <c r="BG60" s="2942">
        <f t="shared" si="22"/>
        <v>0</v>
      </c>
      <c r="BH60" s="2942">
        <f t="shared" si="23"/>
        <v>0</v>
      </c>
      <c r="BI60" s="2942">
        <f t="shared" si="24"/>
        <v>0</v>
      </c>
      <c r="BJ60" s="2942">
        <f t="shared" si="25"/>
        <v>0</v>
      </c>
      <c r="BK60" s="2942">
        <f t="shared" si="26"/>
        <v>0</v>
      </c>
      <c r="BL60" s="2942">
        <f t="shared" si="27"/>
        <v>0</v>
      </c>
      <c r="BM60" s="2942">
        <f t="shared" si="28"/>
        <v>0</v>
      </c>
      <c r="BN60" s="2942">
        <f t="shared" si="29"/>
        <v>0</v>
      </c>
      <c r="BO60" s="2942">
        <f t="shared" si="30"/>
        <v>0</v>
      </c>
      <c r="BP60" s="2942">
        <f t="shared" si="31"/>
        <v>0</v>
      </c>
      <c r="BQ60" s="2942">
        <f t="shared" si="32"/>
        <v>0</v>
      </c>
      <c r="BR60" s="2942">
        <f t="shared" si="33"/>
        <v>0</v>
      </c>
      <c r="BS60" s="2942">
        <f t="shared" si="34"/>
        <v>0</v>
      </c>
      <c r="BT60" s="2994">
        <f t="shared" si="35"/>
        <v>0</v>
      </c>
    </row>
    <row r="61" spans="1:72">
      <c r="A61" s="2939"/>
      <c r="B61" s="2940"/>
      <c r="C61" s="2940"/>
      <c r="D61" s="2941"/>
      <c r="E61" s="2942">
        <f t="shared" si="7"/>
        <v>0</v>
      </c>
      <c r="F61" s="2943"/>
      <c r="G61" s="2944">
        <f t="shared" si="8"/>
        <v>0</v>
      </c>
      <c r="H61" s="2945">
        <f t="shared" si="9"/>
        <v>0</v>
      </c>
      <c r="I61" s="2952"/>
      <c r="J61" s="2952"/>
      <c r="K61" s="2952"/>
      <c r="L61" s="2952"/>
      <c r="M61" s="2952"/>
      <c r="N61" s="2952"/>
      <c r="O61" s="2952"/>
      <c r="P61" s="2952"/>
      <c r="Q61" s="2952"/>
      <c r="R61" s="2952"/>
      <c r="S61" s="2952"/>
      <c r="T61" s="2952"/>
      <c r="U61" s="2952"/>
      <c r="V61" s="2952"/>
      <c r="W61" s="2952"/>
      <c r="X61" s="2952"/>
      <c r="Y61" s="2952"/>
      <c r="Z61" s="2952"/>
      <c r="AA61" s="2952"/>
      <c r="AB61" s="2952"/>
      <c r="AC61" s="2942">
        <f t="shared" si="10"/>
        <v>0</v>
      </c>
      <c r="AD61" s="2962"/>
      <c r="AE61" s="2962"/>
      <c r="AF61" s="2962"/>
      <c r="AG61" s="2962"/>
      <c r="AH61" s="2962"/>
      <c r="AI61" s="2962"/>
      <c r="AJ61" s="2962"/>
      <c r="AK61" s="2962"/>
      <c r="AL61" s="2962"/>
      <c r="AM61" s="2962"/>
      <c r="AN61" s="2962"/>
      <c r="AO61" s="2962"/>
      <c r="AP61" s="2962"/>
      <c r="AQ61" s="2962"/>
      <c r="AR61" s="2962"/>
      <c r="AS61" s="2962"/>
      <c r="AT61" s="2972"/>
      <c r="AU61" s="2973"/>
      <c r="AV61" s="1120">
        <f t="shared" si="11"/>
        <v>0</v>
      </c>
      <c r="AW61" s="1120">
        <f t="shared" si="12"/>
        <v>0</v>
      </c>
      <c r="AX61" s="1120">
        <f t="shared" si="13"/>
        <v>0</v>
      </c>
      <c r="AY61" s="2987">
        <f t="shared" si="14"/>
        <v>0</v>
      </c>
      <c r="AZ61" s="2942">
        <f t="shared" si="15"/>
        <v>0</v>
      </c>
      <c r="BA61" s="2942">
        <f t="shared" si="16"/>
        <v>0</v>
      </c>
      <c r="BB61" s="2942">
        <f t="shared" si="17"/>
        <v>0</v>
      </c>
      <c r="BC61" s="2942">
        <f t="shared" si="18"/>
        <v>0</v>
      </c>
      <c r="BD61" s="2942">
        <f t="shared" si="19"/>
        <v>0</v>
      </c>
      <c r="BE61" s="2942">
        <f t="shared" si="20"/>
        <v>0</v>
      </c>
      <c r="BF61" s="2942">
        <f t="shared" si="21"/>
        <v>0</v>
      </c>
      <c r="BG61" s="2942">
        <f t="shared" si="22"/>
        <v>0</v>
      </c>
      <c r="BH61" s="2942">
        <f t="shared" si="23"/>
        <v>0</v>
      </c>
      <c r="BI61" s="2942">
        <f t="shared" si="24"/>
        <v>0</v>
      </c>
      <c r="BJ61" s="2942">
        <f t="shared" si="25"/>
        <v>0</v>
      </c>
      <c r="BK61" s="2942">
        <f t="shared" si="26"/>
        <v>0</v>
      </c>
      <c r="BL61" s="2942">
        <f t="shared" si="27"/>
        <v>0</v>
      </c>
      <c r="BM61" s="2942">
        <f t="shared" si="28"/>
        <v>0</v>
      </c>
      <c r="BN61" s="2942">
        <f t="shared" si="29"/>
        <v>0</v>
      </c>
      <c r="BO61" s="2942">
        <f t="shared" si="30"/>
        <v>0</v>
      </c>
      <c r="BP61" s="2942">
        <f t="shared" si="31"/>
        <v>0</v>
      </c>
      <c r="BQ61" s="2942">
        <f t="shared" si="32"/>
        <v>0</v>
      </c>
      <c r="BR61" s="2942">
        <f t="shared" si="33"/>
        <v>0</v>
      </c>
      <c r="BS61" s="2942">
        <f t="shared" si="34"/>
        <v>0</v>
      </c>
      <c r="BT61" s="2994">
        <f t="shared" si="35"/>
        <v>0</v>
      </c>
    </row>
    <row r="62" spans="1:72">
      <c r="A62" s="2939"/>
      <c r="B62" s="2940"/>
      <c r="C62" s="2940"/>
      <c r="D62" s="2941"/>
      <c r="E62" s="2942">
        <f t="shared" si="7"/>
        <v>0</v>
      </c>
      <c r="F62" s="2943"/>
      <c r="G62" s="2944">
        <f t="shared" si="8"/>
        <v>0</v>
      </c>
      <c r="H62" s="2945">
        <f t="shared" si="9"/>
        <v>0</v>
      </c>
      <c r="I62" s="2952"/>
      <c r="J62" s="2952"/>
      <c r="K62" s="2952"/>
      <c r="L62" s="2952"/>
      <c r="M62" s="2952"/>
      <c r="N62" s="2952"/>
      <c r="O62" s="2952"/>
      <c r="P62" s="2952"/>
      <c r="Q62" s="2952"/>
      <c r="R62" s="2952"/>
      <c r="S62" s="2952"/>
      <c r="T62" s="2952"/>
      <c r="U62" s="2952"/>
      <c r="V62" s="2952"/>
      <c r="W62" s="2952"/>
      <c r="X62" s="2952"/>
      <c r="Y62" s="2952"/>
      <c r="Z62" s="2952"/>
      <c r="AA62" s="2952"/>
      <c r="AB62" s="2952"/>
      <c r="AC62" s="2942">
        <f t="shared" si="10"/>
        <v>0</v>
      </c>
      <c r="AD62" s="2962"/>
      <c r="AE62" s="2962"/>
      <c r="AF62" s="2962"/>
      <c r="AG62" s="2962"/>
      <c r="AH62" s="2962"/>
      <c r="AI62" s="2962"/>
      <c r="AJ62" s="2962"/>
      <c r="AK62" s="2962"/>
      <c r="AL62" s="2962"/>
      <c r="AM62" s="2962"/>
      <c r="AN62" s="2962"/>
      <c r="AO62" s="2962"/>
      <c r="AP62" s="2962"/>
      <c r="AQ62" s="2962"/>
      <c r="AR62" s="2962"/>
      <c r="AS62" s="2962"/>
      <c r="AT62" s="2972"/>
      <c r="AU62" s="2973"/>
      <c r="AV62" s="1120">
        <f t="shared" si="11"/>
        <v>0</v>
      </c>
      <c r="AW62" s="1120">
        <f t="shared" si="12"/>
        <v>0</v>
      </c>
      <c r="AX62" s="1120">
        <f t="shared" si="13"/>
        <v>0</v>
      </c>
      <c r="AY62" s="2987">
        <f t="shared" si="14"/>
        <v>0</v>
      </c>
      <c r="AZ62" s="2942">
        <f t="shared" si="15"/>
        <v>0</v>
      </c>
      <c r="BA62" s="2942">
        <f t="shared" si="16"/>
        <v>0</v>
      </c>
      <c r="BB62" s="2942">
        <f t="shared" si="17"/>
        <v>0</v>
      </c>
      <c r="BC62" s="2942">
        <f t="shared" si="18"/>
        <v>0</v>
      </c>
      <c r="BD62" s="2942">
        <f t="shared" si="19"/>
        <v>0</v>
      </c>
      <c r="BE62" s="2942">
        <f t="shared" si="20"/>
        <v>0</v>
      </c>
      <c r="BF62" s="2942">
        <f t="shared" si="21"/>
        <v>0</v>
      </c>
      <c r="BG62" s="2942">
        <f t="shared" si="22"/>
        <v>0</v>
      </c>
      <c r="BH62" s="2942">
        <f t="shared" si="23"/>
        <v>0</v>
      </c>
      <c r="BI62" s="2942">
        <f t="shared" si="24"/>
        <v>0</v>
      </c>
      <c r="BJ62" s="2942">
        <f t="shared" si="25"/>
        <v>0</v>
      </c>
      <c r="BK62" s="2942">
        <f t="shared" si="26"/>
        <v>0</v>
      </c>
      <c r="BL62" s="2942">
        <f t="shared" si="27"/>
        <v>0</v>
      </c>
      <c r="BM62" s="2942">
        <f t="shared" si="28"/>
        <v>0</v>
      </c>
      <c r="BN62" s="2942">
        <f t="shared" si="29"/>
        <v>0</v>
      </c>
      <c r="BO62" s="2942">
        <f t="shared" si="30"/>
        <v>0</v>
      </c>
      <c r="BP62" s="2942">
        <f t="shared" si="31"/>
        <v>0</v>
      </c>
      <c r="BQ62" s="2942">
        <f t="shared" si="32"/>
        <v>0</v>
      </c>
      <c r="BR62" s="2942">
        <f t="shared" si="33"/>
        <v>0</v>
      </c>
      <c r="BS62" s="2942">
        <f t="shared" si="34"/>
        <v>0</v>
      </c>
      <c r="BT62" s="2994">
        <f t="shared" si="35"/>
        <v>0</v>
      </c>
    </row>
    <row r="63" spans="1:72">
      <c r="A63" s="2939"/>
      <c r="B63" s="2940"/>
      <c r="C63" s="2940"/>
      <c r="D63" s="2941"/>
      <c r="E63" s="2942">
        <f t="shared" si="7"/>
        <v>0</v>
      </c>
      <c r="F63" s="2943"/>
      <c r="G63" s="2944">
        <f t="shared" si="8"/>
        <v>0</v>
      </c>
      <c r="H63" s="2945">
        <f t="shared" si="9"/>
        <v>0</v>
      </c>
      <c r="I63" s="2952"/>
      <c r="J63" s="2952"/>
      <c r="K63" s="2952"/>
      <c r="L63" s="2952"/>
      <c r="M63" s="2952"/>
      <c r="N63" s="2952"/>
      <c r="O63" s="2952"/>
      <c r="P63" s="2952"/>
      <c r="Q63" s="2952"/>
      <c r="R63" s="2952"/>
      <c r="S63" s="2952"/>
      <c r="T63" s="2952"/>
      <c r="U63" s="2952"/>
      <c r="V63" s="2952"/>
      <c r="W63" s="2952"/>
      <c r="X63" s="2952"/>
      <c r="Y63" s="2952"/>
      <c r="Z63" s="2952"/>
      <c r="AA63" s="2952"/>
      <c r="AB63" s="2952"/>
      <c r="AC63" s="2942">
        <f t="shared" si="10"/>
        <v>0</v>
      </c>
      <c r="AD63" s="2962"/>
      <c r="AE63" s="2962"/>
      <c r="AF63" s="2962"/>
      <c r="AG63" s="2962"/>
      <c r="AH63" s="2962"/>
      <c r="AI63" s="2962"/>
      <c r="AJ63" s="2962"/>
      <c r="AK63" s="2962"/>
      <c r="AL63" s="2962"/>
      <c r="AM63" s="2962"/>
      <c r="AN63" s="2962"/>
      <c r="AO63" s="2962"/>
      <c r="AP63" s="2962"/>
      <c r="AQ63" s="2962"/>
      <c r="AR63" s="2962"/>
      <c r="AS63" s="2962"/>
      <c r="AT63" s="2972"/>
      <c r="AU63" s="2973"/>
      <c r="AV63" s="1120">
        <f t="shared" si="11"/>
        <v>0</v>
      </c>
      <c r="AW63" s="1120">
        <f t="shared" si="12"/>
        <v>0</v>
      </c>
      <c r="AX63" s="1120">
        <f t="shared" si="13"/>
        <v>0</v>
      </c>
      <c r="AY63" s="2987">
        <f t="shared" si="14"/>
        <v>0</v>
      </c>
      <c r="AZ63" s="2942">
        <f t="shared" si="15"/>
        <v>0</v>
      </c>
      <c r="BA63" s="2942">
        <f t="shared" si="16"/>
        <v>0</v>
      </c>
      <c r="BB63" s="2942">
        <f t="shared" si="17"/>
        <v>0</v>
      </c>
      <c r="BC63" s="2942">
        <f t="shared" si="18"/>
        <v>0</v>
      </c>
      <c r="BD63" s="2942">
        <f t="shared" si="19"/>
        <v>0</v>
      </c>
      <c r="BE63" s="2942">
        <f t="shared" si="20"/>
        <v>0</v>
      </c>
      <c r="BF63" s="2942">
        <f t="shared" si="21"/>
        <v>0</v>
      </c>
      <c r="BG63" s="2942">
        <f t="shared" si="22"/>
        <v>0</v>
      </c>
      <c r="BH63" s="2942">
        <f t="shared" si="23"/>
        <v>0</v>
      </c>
      <c r="BI63" s="2942">
        <f t="shared" si="24"/>
        <v>0</v>
      </c>
      <c r="BJ63" s="2942">
        <f t="shared" si="25"/>
        <v>0</v>
      </c>
      <c r="BK63" s="2942">
        <f t="shared" si="26"/>
        <v>0</v>
      </c>
      <c r="BL63" s="2942">
        <f t="shared" si="27"/>
        <v>0</v>
      </c>
      <c r="BM63" s="2942">
        <f t="shared" si="28"/>
        <v>0</v>
      </c>
      <c r="BN63" s="2942">
        <f t="shared" si="29"/>
        <v>0</v>
      </c>
      <c r="BO63" s="2942">
        <f t="shared" si="30"/>
        <v>0</v>
      </c>
      <c r="BP63" s="2942">
        <f t="shared" si="31"/>
        <v>0</v>
      </c>
      <c r="BQ63" s="2942">
        <f t="shared" si="32"/>
        <v>0</v>
      </c>
      <c r="BR63" s="2942">
        <f t="shared" si="33"/>
        <v>0</v>
      </c>
      <c r="BS63" s="2942">
        <f t="shared" si="34"/>
        <v>0</v>
      </c>
      <c r="BT63" s="2994">
        <f t="shared" si="35"/>
        <v>0</v>
      </c>
    </row>
    <row r="64" spans="1:72">
      <c r="A64" s="2939"/>
      <c r="B64" s="2940"/>
      <c r="C64" s="2940"/>
      <c r="D64" s="2941"/>
      <c r="E64" s="2942">
        <f t="shared" si="7"/>
        <v>0</v>
      </c>
      <c r="F64" s="2943"/>
      <c r="G64" s="2944">
        <f t="shared" si="8"/>
        <v>0</v>
      </c>
      <c r="H64" s="2945">
        <f t="shared" si="9"/>
        <v>0</v>
      </c>
      <c r="I64" s="2952"/>
      <c r="J64" s="2952"/>
      <c r="K64" s="2952"/>
      <c r="L64" s="2952"/>
      <c r="M64" s="2952"/>
      <c r="N64" s="2952"/>
      <c r="O64" s="2952"/>
      <c r="P64" s="2952"/>
      <c r="Q64" s="2952"/>
      <c r="R64" s="2952"/>
      <c r="S64" s="2952"/>
      <c r="T64" s="2952"/>
      <c r="U64" s="2952"/>
      <c r="V64" s="2952"/>
      <c r="W64" s="2952"/>
      <c r="X64" s="2952"/>
      <c r="Y64" s="2952"/>
      <c r="Z64" s="2952"/>
      <c r="AA64" s="2952"/>
      <c r="AB64" s="2952"/>
      <c r="AC64" s="2942">
        <f t="shared" si="10"/>
        <v>0</v>
      </c>
      <c r="AD64" s="2962"/>
      <c r="AE64" s="2962"/>
      <c r="AF64" s="2962"/>
      <c r="AG64" s="2962"/>
      <c r="AH64" s="2962"/>
      <c r="AI64" s="2962"/>
      <c r="AJ64" s="2962"/>
      <c r="AK64" s="2962"/>
      <c r="AL64" s="2962"/>
      <c r="AM64" s="2962"/>
      <c r="AN64" s="2962"/>
      <c r="AO64" s="2962"/>
      <c r="AP64" s="2962"/>
      <c r="AQ64" s="2962"/>
      <c r="AR64" s="2962"/>
      <c r="AS64" s="2962"/>
      <c r="AT64" s="2972"/>
      <c r="AU64" s="2973"/>
      <c r="AV64" s="1120">
        <f t="shared" si="11"/>
        <v>0</v>
      </c>
      <c r="AW64" s="1120">
        <f t="shared" si="12"/>
        <v>0</v>
      </c>
      <c r="AX64" s="1120">
        <f t="shared" si="13"/>
        <v>0</v>
      </c>
      <c r="AY64" s="2987">
        <f t="shared" si="14"/>
        <v>0</v>
      </c>
      <c r="AZ64" s="2942">
        <f t="shared" si="15"/>
        <v>0</v>
      </c>
      <c r="BA64" s="2942">
        <f t="shared" si="16"/>
        <v>0</v>
      </c>
      <c r="BB64" s="2942">
        <f t="shared" si="17"/>
        <v>0</v>
      </c>
      <c r="BC64" s="2942">
        <f t="shared" si="18"/>
        <v>0</v>
      </c>
      <c r="BD64" s="2942">
        <f t="shared" si="19"/>
        <v>0</v>
      </c>
      <c r="BE64" s="2942">
        <f t="shared" si="20"/>
        <v>0</v>
      </c>
      <c r="BF64" s="2942">
        <f t="shared" si="21"/>
        <v>0</v>
      </c>
      <c r="BG64" s="2942">
        <f t="shared" si="22"/>
        <v>0</v>
      </c>
      <c r="BH64" s="2942">
        <f t="shared" si="23"/>
        <v>0</v>
      </c>
      <c r="BI64" s="2942">
        <f t="shared" si="24"/>
        <v>0</v>
      </c>
      <c r="BJ64" s="2942">
        <f t="shared" si="25"/>
        <v>0</v>
      </c>
      <c r="BK64" s="2942">
        <f t="shared" si="26"/>
        <v>0</v>
      </c>
      <c r="BL64" s="2942">
        <f t="shared" si="27"/>
        <v>0</v>
      </c>
      <c r="BM64" s="2942">
        <f t="shared" si="28"/>
        <v>0</v>
      </c>
      <c r="BN64" s="2942">
        <f t="shared" si="29"/>
        <v>0</v>
      </c>
      <c r="BO64" s="2942">
        <f t="shared" si="30"/>
        <v>0</v>
      </c>
      <c r="BP64" s="2942">
        <f t="shared" si="31"/>
        <v>0</v>
      </c>
      <c r="BQ64" s="2942">
        <f t="shared" si="32"/>
        <v>0</v>
      </c>
      <c r="BR64" s="2942">
        <f t="shared" si="33"/>
        <v>0</v>
      </c>
      <c r="BS64" s="2942">
        <f t="shared" si="34"/>
        <v>0</v>
      </c>
      <c r="BT64" s="2994">
        <f t="shared" si="35"/>
        <v>0</v>
      </c>
    </row>
    <row r="65" spans="1:72">
      <c r="A65" s="2939"/>
      <c r="B65" s="2940"/>
      <c r="C65" s="2940"/>
      <c r="D65" s="2941"/>
      <c r="E65" s="2942">
        <f t="shared" si="7"/>
        <v>0</v>
      </c>
      <c r="F65" s="2943"/>
      <c r="G65" s="2944">
        <f t="shared" si="8"/>
        <v>0</v>
      </c>
      <c r="H65" s="2945">
        <f t="shared" si="9"/>
        <v>0</v>
      </c>
      <c r="I65" s="2952"/>
      <c r="J65" s="2952"/>
      <c r="K65" s="2952"/>
      <c r="L65" s="2952"/>
      <c r="M65" s="2952"/>
      <c r="N65" s="2952"/>
      <c r="O65" s="2952"/>
      <c r="P65" s="2952"/>
      <c r="Q65" s="2952"/>
      <c r="R65" s="2952"/>
      <c r="S65" s="2952"/>
      <c r="T65" s="2952"/>
      <c r="U65" s="2952"/>
      <c r="V65" s="2952"/>
      <c r="W65" s="2952"/>
      <c r="X65" s="2952"/>
      <c r="Y65" s="2952"/>
      <c r="Z65" s="2952"/>
      <c r="AA65" s="2952"/>
      <c r="AB65" s="2952"/>
      <c r="AC65" s="2942">
        <f t="shared" si="10"/>
        <v>0</v>
      </c>
      <c r="AD65" s="2962"/>
      <c r="AE65" s="2962"/>
      <c r="AF65" s="2962"/>
      <c r="AG65" s="2962"/>
      <c r="AH65" s="2962"/>
      <c r="AI65" s="2962"/>
      <c r="AJ65" s="2962"/>
      <c r="AK65" s="2962"/>
      <c r="AL65" s="2962"/>
      <c r="AM65" s="2962"/>
      <c r="AN65" s="2962"/>
      <c r="AO65" s="2962"/>
      <c r="AP65" s="2962"/>
      <c r="AQ65" s="2962"/>
      <c r="AR65" s="2962"/>
      <c r="AS65" s="2962"/>
      <c r="AT65" s="2972"/>
      <c r="AU65" s="2973"/>
      <c r="AV65" s="1120">
        <f t="shared" si="11"/>
        <v>0</v>
      </c>
      <c r="AW65" s="1120">
        <f t="shared" si="12"/>
        <v>0</v>
      </c>
      <c r="AX65" s="1120">
        <f t="shared" si="13"/>
        <v>0</v>
      </c>
      <c r="AY65" s="2987">
        <f t="shared" si="14"/>
        <v>0</v>
      </c>
      <c r="AZ65" s="2942">
        <f t="shared" si="15"/>
        <v>0</v>
      </c>
      <c r="BA65" s="2942">
        <f t="shared" si="16"/>
        <v>0</v>
      </c>
      <c r="BB65" s="2942">
        <f t="shared" si="17"/>
        <v>0</v>
      </c>
      <c r="BC65" s="2942">
        <f t="shared" si="18"/>
        <v>0</v>
      </c>
      <c r="BD65" s="2942">
        <f t="shared" si="19"/>
        <v>0</v>
      </c>
      <c r="BE65" s="2942">
        <f t="shared" si="20"/>
        <v>0</v>
      </c>
      <c r="BF65" s="2942">
        <f t="shared" si="21"/>
        <v>0</v>
      </c>
      <c r="BG65" s="2942">
        <f t="shared" si="22"/>
        <v>0</v>
      </c>
      <c r="BH65" s="2942">
        <f t="shared" si="23"/>
        <v>0</v>
      </c>
      <c r="BI65" s="2942">
        <f t="shared" si="24"/>
        <v>0</v>
      </c>
      <c r="BJ65" s="2942">
        <f t="shared" si="25"/>
        <v>0</v>
      </c>
      <c r="BK65" s="2942">
        <f t="shared" si="26"/>
        <v>0</v>
      </c>
      <c r="BL65" s="2942">
        <f t="shared" si="27"/>
        <v>0</v>
      </c>
      <c r="BM65" s="2942">
        <f t="shared" si="28"/>
        <v>0</v>
      </c>
      <c r="BN65" s="2942">
        <f t="shared" si="29"/>
        <v>0</v>
      </c>
      <c r="BO65" s="2942">
        <f t="shared" si="30"/>
        <v>0</v>
      </c>
      <c r="BP65" s="2942">
        <f t="shared" si="31"/>
        <v>0</v>
      </c>
      <c r="BQ65" s="2942">
        <f t="shared" si="32"/>
        <v>0</v>
      </c>
      <c r="BR65" s="2942">
        <f t="shared" si="33"/>
        <v>0</v>
      </c>
      <c r="BS65" s="2942">
        <f t="shared" si="34"/>
        <v>0</v>
      </c>
      <c r="BT65" s="2994">
        <f t="shared" si="35"/>
        <v>0</v>
      </c>
    </row>
    <row r="66" spans="1:72">
      <c r="A66" s="2939"/>
      <c r="B66" s="2940"/>
      <c r="C66" s="2940"/>
      <c r="D66" s="2941"/>
      <c r="E66" s="2942">
        <f t="shared" si="7"/>
        <v>0</v>
      </c>
      <c r="F66" s="2943"/>
      <c r="G66" s="2944">
        <f t="shared" si="8"/>
        <v>0</v>
      </c>
      <c r="H66" s="2945">
        <f t="shared" si="9"/>
        <v>0</v>
      </c>
      <c r="I66" s="2952"/>
      <c r="J66" s="2952"/>
      <c r="K66" s="2952"/>
      <c r="L66" s="2952"/>
      <c r="M66" s="2952"/>
      <c r="N66" s="2952"/>
      <c r="O66" s="2952"/>
      <c r="P66" s="2952"/>
      <c r="Q66" s="2952"/>
      <c r="R66" s="2952"/>
      <c r="S66" s="2952"/>
      <c r="T66" s="2952"/>
      <c r="U66" s="2952"/>
      <c r="V66" s="2952"/>
      <c r="W66" s="2952"/>
      <c r="X66" s="2952"/>
      <c r="Y66" s="2952"/>
      <c r="Z66" s="2952"/>
      <c r="AA66" s="2952"/>
      <c r="AB66" s="2952"/>
      <c r="AC66" s="2942">
        <f t="shared" si="10"/>
        <v>0</v>
      </c>
      <c r="AD66" s="2962"/>
      <c r="AE66" s="2962"/>
      <c r="AF66" s="2962"/>
      <c r="AG66" s="2962"/>
      <c r="AH66" s="2962"/>
      <c r="AI66" s="2962"/>
      <c r="AJ66" s="2962"/>
      <c r="AK66" s="2962"/>
      <c r="AL66" s="2962"/>
      <c r="AM66" s="2962"/>
      <c r="AN66" s="2962"/>
      <c r="AO66" s="2962"/>
      <c r="AP66" s="2962"/>
      <c r="AQ66" s="2962"/>
      <c r="AR66" s="2962"/>
      <c r="AS66" s="2962"/>
      <c r="AT66" s="2972"/>
      <c r="AU66" s="2973"/>
      <c r="AV66" s="1120">
        <f t="shared" si="11"/>
        <v>0</v>
      </c>
      <c r="AW66" s="1120">
        <f t="shared" si="12"/>
        <v>0</v>
      </c>
      <c r="AX66" s="1120">
        <f t="shared" si="13"/>
        <v>0</v>
      </c>
      <c r="AY66" s="2987">
        <f t="shared" si="14"/>
        <v>0</v>
      </c>
      <c r="AZ66" s="2942">
        <f t="shared" si="15"/>
        <v>0</v>
      </c>
      <c r="BA66" s="2942">
        <f t="shared" si="16"/>
        <v>0</v>
      </c>
      <c r="BB66" s="2942">
        <f t="shared" si="17"/>
        <v>0</v>
      </c>
      <c r="BC66" s="2942">
        <f t="shared" si="18"/>
        <v>0</v>
      </c>
      <c r="BD66" s="2942">
        <f t="shared" si="19"/>
        <v>0</v>
      </c>
      <c r="BE66" s="2942">
        <f t="shared" si="20"/>
        <v>0</v>
      </c>
      <c r="BF66" s="2942">
        <f t="shared" si="21"/>
        <v>0</v>
      </c>
      <c r="BG66" s="2942">
        <f t="shared" si="22"/>
        <v>0</v>
      </c>
      <c r="BH66" s="2942">
        <f t="shared" si="23"/>
        <v>0</v>
      </c>
      <c r="BI66" s="2942">
        <f t="shared" si="24"/>
        <v>0</v>
      </c>
      <c r="BJ66" s="2942">
        <f t="shared" si="25"/>
        <v>0</v>
      </c>
      <c r="BK66" s="2942">
        <f t="shared" si="26"/>
        <v>0</v>
      </c>
      <c r="BL66" s="2942">
        <f t="shared" si="27"/>
        <v>0</v>
      </c>
      <c r="BM66" s="2942">
        <f t="shared" si="28"/>
        <v>0</v>
      </c>
      <c r="BN66" s="2942">
        <f t="shared" si="29"/>
        <v>0</v>
      </c>
      <c r="BO66" s="2942">
        <f t="shared" si="30"/>
        <v>0</v>
      </c>
      <c r="BP66" s="2942">
        <f t="shared" si="31"/>
        <v>0</v>
      </c>
      <c r="BQ66" s="2942">
        <f t="shared" si="32"/>
        <v>0</v>
      </c>
      <c r="BR66" s="2942">
        <f t="shared" si="33"/>
        <v>0</v>
      </c>
      <c r="BS66" s="2942">
        <f t="shared" si="34"/>
        <v>0</v>
      </c>
      <c r="BT66" s="2994">
        <f t="shared" si="35"/>
        <v>0</v>
      </c>
    </row>
    <row r="67" spans="1:72">
      <c r="A67" s="2939"/>
      <c r="B67" s="2940"/>
      <c r="C67" s="2940"/>
      <c r="D67" s="2941"/>
      <c r="E67" s="2942">
        <f t="shared" si="7"/>
        <v>0</v>
      </c>
      <c r="F67" s="2943"/>
      <c r="G67" s="2944">
        <f t="shared" si="8"/>
        <v>0</v>
      </c>
      <c r="H67" s="2945">
        <f t="shared" si="9"/>
        <v>0</v>
      </c>
      <c r="I67" s="2952"/>
      <c r="J67" s="2952"/>
      <c r="K67" s="2952"/>
      <c r="L67" s="2952"/>
      <c r="M67" s="2952"/>
      <c r="N67" s="2952"/>
      <c r="O67" s="2952"/>
      <c r="P67" s="2952"/>
      <c r="Q67" s="2952"/>
      <c r="R67" s="2952"/>
      <c r="S67" s="2952"/>
      <c r="T67" s="2952"/>
      <c r="U67" s="2952"/>
      <c r="V67" s="2952"/>
      <c r="W67" s="2952"/>
      <c r="X67" s="2952"/>
      <c r="Y67" s="2952"/>
      <c r="Z67" s="2952"/>
      <c r="AA67" s="2952"/>
      <c r="AB67" s="2952"/>
      <c r="AC67" s="2942">
        <f t="shared" si="10"/>
        <v>0</v>
      </c>
      <c r="AD67" s="2962"/>
      <c r="AE67" s="2962"/>
      <c r="AF67" s="2962"/>
      <c r="AG67" s="2962"/>
      <c r="AH67" s="2962"/>
      <c r="AI67" s="2962"/>
      <c r="AJ67" s="2962"/>
      <c r="AK67" s="2962"/>
      <c r="AL67" s="2962"/>
      <c r="AM67" s="2962"/>
      <c r="AN67" s="2962"/>
      <c r="AO67" s="2962"/>
      <c r="AP67" s="2962"/>
      <c r="AQ67" s="2962"/>
      <c r="AR67" s="2962"/>
      <c r="AS67" s="2962"/>
      <c r="AT67" s="2972"/>
      <c r="AU67" s="2973"/>
      <c r="AV67" s="1120">
        <f t="shared" si="11"/>
        <v>0</v>
      </c>
      <c r="AW67" s="1120">
        <f t="shared" si="12"/>
        <v>0</v>
      </c>
      <c r="AX67" s="1120">
        <f t="shared" si="13"/>
        <v>0</v>
      </c>
      <c r="AY67" s="2987">
        <f t="shared" si="14"/>
        <v>0</v>
      </c>
      <c r="AZ67" s="2942">
        <f t="shared" si="15"/>
        <v>0</v>
      </c>
      <c r="BA67" s="2942">
        <f t="shared" si="16"/>
        <v>0</v>
      </c>
      <c r="BB67" s="2942">
        <f t="shared" si="17"/>
        <v>0</v>
      </c>
      <c r="BC67" s="2942">
        <f t="shared" si="18"/>
        <v>0</v>
      </c>
      <c r="BD67" s="2942">
        <f t="shared" si="19"/>
        <v>0</v>
      </c>
      <c r="BE67" s="2942">
        <f t="shared" si="20"/>
        <v>0</v>
      </c>
      <c r="BF67" s="2942">
        <f t="shared" si="21"/>
        <v>0</v>
      </c>
      <c r="BG67" s="2942">
        <f t="shared" si="22"/>
        <v>0</v>
      </c>
      <c r="BH67" s="2942">
        <f t="shared" si="23"/>
        <v>0</v>
      </c>
      <c r="BI67" s="2942">
        <f t="shared" si="24"/>
        <v>0</v>
      </c>
      <c r="BJ67" s="2942">
        <f t="shared" si="25"/>
        <v>0</v>
      </c>
      <c r="BK67" s="2942">
        <f t="shared" si="26"/>
        <v>0</v>
      </c>
      <c r="BL67" s="2942">
        <f t="shared" si="27"/>
        <v>0</v>
      </c>
      <c r="BM67" s="2942">
        <f t="shared" si="28"/>
        <v>0</v>
      </c>
      <c r="BN67" s="2942">
        <f t="shared" si="29"/>
        <v>0</v>
      </c>
      <c r="BO67" s="2942">
        <f t="shared" si="30"/>
        <v>0</v>
      </c>
      <c r="BP67" s="2942">
        <f t="shared" si="31"/>
        <v>0</v>
      </c>
      <c r="BQ67" s="2942">
        <f t="shared" si="32"/>
        <v>0</v>
      </c>
      <c r="BR67" s="2942">
        <f t="shared" si="33"/>
        <v>0</v>
      </c>
      <c r="BS67" s="2942">
        <f t="shared" si="34"/>
        <v>0</v>
      </c>
      <c r="BT67" s="2994">
        <f t="shared" si="35"/>
        <v>0</v>
      </c>
    </row>
    <row r="68" spans="1:72">
      <c r="A68" s="2939"/>
      <c r="B68" s="2940"/>
      <c r="C68" s="2940"/>
      <c r="D68" s="2941"/>
      <c r="E68" s="2942">
        <f t="shared" si="7"/>
        <v>0</v>
      </c>
      <c r="F68" s="2943"/>
      <c r="G68" s="2944">
        <f t="shared" si="8"/>
        <v>0</v>
      </c>
      <c r="H68" s="2945">
        <f t="shared" si="9"/>
        <v>0</v>
      </c>
      <c r="I68" s="2952"/>
      <c r="J68" s="2952"/>
      <c r="K68" s="2952"/>
      <c r="L68" s="2952"/>
      <c r="M68" s="2952"/>
      <c r="N68" s="2952"/>
      <c r="O68" s="2952"/>
      <c r="P68" s="2952"/>
      <c r="Q68" s="2952"/>
      <c r="R68" s="2952"/>
      <c r="S68" s="2952"/>
      <c r="T68" s="2952"/>
      <c r="U68" s="2952"/>
      <c r="V68" s="2952"/>
      <c r="W68" s="2952"/>
      <c r="X68" s="2952"/>
      <c r="Y68" s="2952"/>
      <c r="Z68" s="2952"/>
      <c r="AA68" s="2952"/>
      <c r="AB68" s="2952"/>
      <c r="AC68" s="2942">
        <f t="shared" si="10"/>
        <v>0</v>
      </c>
      <c r="AD68" s="2962"/>
      <c r="AE68" s="2962"/>
      <c r="AF68" s="2962"/>
      <c r="AG68" s="2962"/>
      <c r="AH68" s="2962"/>
      <c r="AI68" s="2962"/>
      <c r="AJ68" s="2962"/>
      <c r="AK68" s="2962"/>
      <c r="AL68" s="2962"/>
      <c r="AM68" s="2962"/>
      <c r="AN68" s="2962"/>
      <c r="AO68" s="2962"/>
      <c r="AP68" s="2962"/>
      <c r="AQ68" s="2962"/>
      <c r="AR68" s="2962"/>
      <c r="AS68" s="2962"/>
      <c r="AT68" s="2972"/>
      <c r="AU68" s="2973"/>
      <c r="AV68" s="1120">
        <f t="shared" si="11"/>
        <v>0</v>
      </c>
      <c r="AW68" s="1120">
        <f t="shared" si="12"/>
        <v>0</v>
      </c>
      <c r="AX68" s="1120">
        <f t="shared" si="13"/>
        <v>0</v>
      </c>
      <c r="AY68" s="2987">
        <f t="shared" si="14"/>
        <v>0</v>
      </c>
      <c r="AZ68" s="2942">
        <f t="shared" si="15"/>
        <v>0</v>
      </c>
      <c r="BA68" s="2942">
        <f t="shared" si="16"/>
        <v>0</v>
      </c>
      <c r="BB68" s="2942">
        <f t="shared" si="17"/>
        <v>0</v>
      </c>
      <c r="BC68" s="2942">
        <f t="shared" si="18"/>
        <v>0</v>
      </c>
      <c r="BD68" s="2942">
        <f t="shared" si="19"/>
        <v>0</v>
      </c>
      <c r="BE68" s="2942">
        <f t="shared" si="20"/>
        <v>0</v>
      </c>
      <c r="BF68" s="2942">
        <f t="shared" si="21"/>
        <v>0</v>
      </c>
      <c r="BG68" s="2942">
        <f t="shared" si="22"/>
        <v>0</v>
      </c>
      <c r="BH68" s="2942">
        <f t="shared" si="23"/>
        <v>0</v>
      </c>
      <c r="BI68" s="2942">
        <f t="shared" si="24"/>
        <v>0</v>
      </c>
      <c r="BJ68" s="2942">
        <f t="shared" si="25"/>
        <v>0</v>
      </c>
      <c r="BK68" s="2942">
        <f t="shared" si="26"/>
        <v>0</v>
      </c>
      <c r="BL68" s="2942">
        <f t="shared" si="27"/>
        <v>0</v>
      </c>
      <c r="BM68" s="2942">
        <f t="shared" si="28"/>
        <v>0</v>
      </c>
      <c r="BN68" s="2942">
        <f t="shared" si="29"/>
        <v>0</v>
      </c>
      <c r="BO68" s="2942">
        <f t="shared" si="30"/>
        <v>0</v>
      </c>
      <c r="BP68" s="2942">
        <f t="shared" si="31"/>
        <v>0</v>
      </c>
      <c r="BQ68" s="2942">
        <f t="shared" si="32"/>
        <v>0</v>
      </c>
      <c r="BR68" s="2942">
        <f t="shared" si="33"/>
        <v>0</v>
      </c>
      <c r="BS68" s="2942">
        <f t="shared" si="34"/>
        <v>0</v>
      </c>
      <c r="BT68" s="2994">
        <f t="shared" si="35"/>
        <v>0</v>
      </c>
    </row>
    <row r="69" spans="1:72">
      <c r="A69" s="2939"/>
      <c r="B69" s="2940"/>
      <c r="C69" s="2940"/>
      <c r="D69" s="2941"/>
      <c r="E69" s="2942">
        <f t="shared" si="7"/>
        <v>0</v>
      </c>
      <c r="F69" s="2943"/>
      <c r="G69" s="2944">
        <f t="shared" si="8"/>
        <v>0</v>
      </c>
      <c r="H69" s="2945">
        <f t="shared" si="9"/>
        <v>0</v>
      </c>
      <c r="I69" s="2952"/>
      <c r="J69" s="2952"/>
      <c r="K69" s="2952"/>
      <c r="L69" s="2952"/>
      <c r="M69" s="2952"/>
      <c r="N69" s="2952"/>
      <c r="O69" s="2952"/>
      <c r="P69" s="2952"/>
      <c r="Q69" s="2952"/>
      <c r="R69" s="2952"/>
      <c r="S69" s="2952"/>
      <c r="T69" s="2952"/>
      <c r="U69" s="2952"/>
      <c r="V69" s="2952"/>
      <c r="W69" s="2952"/>
      <c r="X69" s="2952"/>
      <c r="Y69" s="2952"/>
      <c r="Z69" s="2952"/>
      <c r="AA69" s="2952"/>
      <c r="AB69" s="2952"/>
      <c r="AC69" s="2942">
        <f t="shared" si="10"/>
        <v>0</v>
      </c>
      <c r="AD69" s="2962"/>
      <c r="AE69" s="2962"/>
      <c r="AF69" s="2962"/>
      <c r="AG69" s="2962"/>
      <c r="AH69" s="2962"/>
      <c r="AI69" s="2962"/>
      <c r="AJ69" s="2962"/>
      <c r="AK69" s="2962"/>
      <c r="AL69" s="2962"/>
      <c r="AM69" s="2962"/>
      <c r="AN69" s="2962"/>
      <c r="AO69" s="2962"/>
      <c r="AP69" s="2962"/>
      <c r="AQ69" s="2962"/>
      <c r="AR69" s="2962"/>
      <c r="AS69" s="2962"/>
      <c r="AT69" s="2972"/>
      <c r="AU69" s="2973"/>
      <c r="AV69" s="1120">
        <f t="shared" si="11"/>
        <v>0</v>
      </c>
      <c r="AW69" s="1120">
        <f t="shared" si="12"/>
        <v>0</v>
      </c>
      <c r="AX69" s="1120">
        <f t="shared" si="13"/>
        <v>0</v>
      </c>
      <c r="AY69" s="2987">
        <f t="shared" si="14"/>
        <v>0</v>
      </c>
      <c r="AZ69" s="2942">
        <f t="shared" si="15"/>
        <v>0</v>
      </c>
      <c r="BA69" s="2942">
        <f t="shared" si="16"/>
        <v>0</v>
      </c>
      <c r="BB69" s="2942">
        <f t="shared" si="17"/>
        <v>0</v>
      </c>
      <c r="BC69" s="2942">
        <f t="shared" si="18"/>
        <v>0</v>
      </c>
      <c r="BD69" s="2942">
        <f t="shared" si="19"/>
        <v>0</v>
      </c>
      <c r="BE69" s="2942">
        <f t="shared" si="20"/>
        <v>0</v>
      </c>
      <c r="BF69" s="2942">
        <f t="shared" si="21"/>
        <v>0</v>
      </c>
      <c r="BG69" s="2942">
        <f t="shared" si="22"/>
        <v>0</v>
      </c>
      <c r="BH69" s="2942">
        <f t="shared" si="23"/>
        <v>0</v>
      </c>
      <c r="BI69" s="2942">
        <f t="shared" si="24"/>
        <v>0</v>
      </c>
      <c r="BJ69" s="2942">
        <f t="shared" si="25"/>
        <v>0</v>
      </c>
      <c r="BK69" s="2942">
        <f t="shared" si="26"/>
        <v>0</v>
      </c>
      <c r="BL69" s="2942">
        <f t="shared" si="27"/>
        <v>0</v>
      </c>
      <c r="BM69" s="2942">
        <f t="shared" si="28"/>
        <v>0</v>
      </c>
      <c r="BN69" s="2942">
        <f t="shared" si="29"/>
        <v>0</v>
      </c>
      <c r="BO69" s="2942">
        <f t="shared" si="30"/>
        <v>0</v>
      </c>
      <c r="BP69" s="2942">
        <f t="shared" si="31"/>
        <v>0</v>
      </c>
      <c r="BQ69" s="2942">
        <f t="shared" si="32"/>
        <v>0</v>
      </c>
      <c r="BR69" s="2942">
        <f t="shared" si="33"/>
        <v>0</v>
      </c>
      <c r="BS69" s="2942">
        <f t="shared" si="34"/>
        <v>0</v>
      </c>
      <c r="BT69" s="2994">
        <f t="shared" si="35"/>
        <v>0</v>
      </c>
    </row>
    <row r="70" spans="1:72">
      <c r="A70" s="2939"/>
      <c r="B70" s="2940"/>
      <c r="C70" s="2940"/>
      <c r="D70" s="2941"/>
      <c r="E70" s="2942">
        <f t="shared" si="7"/>
        <v>0</v>
      </c>
      <c r="F70" s="2943"/>
      <c r="G70" s="2944">
        <f t="shared" si="8"/>
        <v>0</v>
      </c>
      <c r="H70" s="2945">
        <f t="shared" si="9"/>
        <v>0</v>
      </c>
      <c r="I70" s="2952"/>
      <c r="J70" s="2952"/>
      <c r="K70" s="2952"/>
      <c r="L70" s="2952"/>
      <c r="M70" s="2952"/>
      <c r="N70" s="2952"/>
      <c r="O70" s="2952"/>
      <c r="P70" s="2952"/>
      <c r="Q70" s="2952"/>
      <c r="R70" s="2952"/>
      <c r="S70" s="2952"/>
      <c r="T70" s="2952"/>
      <c r="U70" s="2952"/>
      <c r="V70" s="2952"/>
      <c r="W70" s="2952"/>
      <c r="X70" s="2952"/>
      <c r="Y70" s="2952"/>
      <c r="Z70" s="2952"/>
      <c r="AA70" s="2952"/>
      <c r="AB70" s="2952"/>
      <c r="AC70" s="2942">
        <f t="shared" si="10"/>
        <v>0</v>
      </c>
      <c r="AD70" s="2962"/>
      <c r="AE70" s="2962"/>
      <c r="AF70" s="2962"/>
      <c r="AG70" s="2962"/>
      <c r="AH70" s="2962"/>
      <c r="AI70" s="2962"/>
      <c r="AJ70" s="2962"/>
      <c r="AK70" s="2962"/>
      <c r="AL70" s="2962"/>
      <c r="AM70" s="2962"/>
      <c r="AN70" s="2962"/>
      <c r="AO70" s="2962"/>
      <c r="AP70" s="2962"/>
      <c r="AQ70" s="2962"/>
      <c r="AR70" s="2962"/>
      <c r="AS70" s="2962"/>
      <c r="AT70" s="2972"/>
      <c r="AU70" s="2973"/>
      <c r="AV70" s="1120">
        <f t="shared" si="11"/>
        <v>0</v>
      </c>
      <c r="AW70" s="1120">
        <f t="shared" si="12"/>
        <v>0</v>
      </c>
      <c r="AX70" s="1120">
        <f t="shared" si="13"/>
        <v>0</v>
      </c>
      <c r="AY70" s="2987">
        <f t="shared" si="14"/>
        <v>0</v>
      </c>
      <c r="AZ70" s="2942">
        <f t="shared" si="15"/>
        <v>0</v>
      </c>
      <c r="BA70" s="2942">
        <f t="shared" si="16"/>
        <v>0</v>
      </c>
      <c r="BB70" s="2942">
        <f t="shared" si="17"/>
        <v>0</v>
      </c>
      <c r="BC70" s="2942">
        <f t="shared" si="18"/>
        <v>0</v>
      </c>
      <c r="BD70" s="2942">
        <f t="shared" si="19"/>
        <v>0</v>
      </c>
      <c r="BE70" s="2942">
        <f t="shared" si="20"/>
        <v>0</v>
      </c>
      <c r="BF70" s="2942">
        <f t="shared" si="21"/>
        <v>0</v>
      </c>
      <c r="BG70" s="2942">
        <f t="shared" si="22"/>
        <v>0</v>
      </c>
      <c r="BH70" s="2942">
        <f t="shared" si="23"/>
        <v>0</v>
      </c>
      <c r="BI70" s="2942">
        <f t="shared" si="24"/>
        <v>0</v>
      </c>
      <c r="BJ70" s="2942">
        <f t="shared" si="25"/>
        <v>0</v>
      </c>
      <c r="BK70" s="2942">
        <f t="shared" si="26"/>
        <v>0</v>
      </c>
      <c r="BL70" s="2942">
        <f t="shared" si="27"/>
        <v>0</v>
      </c>
      <c r="BM70" s="2942">
        <f t="shared" si="28"/>
        <v>0</v>
      </c>
      <c r="BN70" s="2942">
        <f t="shared" si="29"/>
        <v>0</v>
      </c>
      <c r="BO70" s="2942">
        <f t="shared" si="30"/>
        <v>0</v>
      </c>
      <c r="BP70" s="2942">
        <f t="shared" si="31"/>
        <v>0</v>
      </c>
      <c r="BQ70" s="2942">
        <f t="shared" si="32"/>
        <v>0</v>
      </c>
      <c r="BR70" s="2942">
        <f t="shared" si="33"/>
        <v>0</v>
      </c>
      <c r="BS70" s="2942">
        <f t="shared" si="34"/>
        <v>0</v>
      </c>
      <c r="BT70" s="2994">
        <f t="shared" si="35"/>
        <v>0</v>
      </c>
    </row>
    <row r="71" spans="1:72">
      <c r="A71" s="2939"/>
      <c r="B71" s="2940"/>
      <c r="C71" s="2940"/>
      <c r="D71" s="2941"/>
      <c r="E71" s="2942">
        <f t="shared" si="7"/>
        <v>0</v>
      </c>
      <c r="F71" s="2943"/>
      <c r="G71" s="2944">
        <f t="shared" si="8"/>
        <v>0</v>
      </c>
      <c r="H71" s="2945">
        <f t="shared" si="9"/>
        <v>0</v>
      </c>
      <c r="I71" s="2952"/>
      <c r="J71" s="2952"/>
      <c r="K71" s="2952"/>
      <c r="L71" s="2952"/>
      <c r="M71" s="2952"/>
      <c r="N71" s="2952"/>
      <c r="O71" s="2952"/>
      <c r="P71" s="2952"/>
      <c r="Q71" s="2952"/>
      <c r="R71" s="2952"/>
      <c r="S71" s="2952"/>
      <c r="T71" s="2952"/>
      <c r="U71" s="2952"/>
      <c r="V71" s="2952"/>
      <c r="W71" s="2952"/>
      <c r="X71" s="2952"/>
      <c r="Y71" s="2952"/>
      <c r="Z71" s="2952"/>
      <c r="AA71" s="2952"/>
      <c r="AB71" s="2952"/>
      <c r="AC71" s="2942">
        <f t="shared" si="10"/>
        <v>0</v>
      </c>
      <c r="AD71" s="2962"/>
      <c r="AE71" s="2962"/>
      <c r="AF71" s="2962"/>
      <c r="AG71" s="2962"/>
      <c r="AH71" s="2962"/>
      <c r="AI71" s="2962"/>
      <c r="AJ71" s="2962"/>
      <c r="AK71" s="2962"/>
      <c r="AL71" s="2962"/>
      <c r="AM71" s="2962"/>
      <c r="AN71" s="2962"/>
      <c r="AO71" s="2962"/>
      <c r="AP71" s="2962"/>
      <c r="AQ71" s="2962"/>
      <c r="AR71" s="2962"/>
      <c r="AS71" s="2962"/>
      <c r="AT71" s="2972"/>
      <c r="AU71" s="2973"/>
      <c r="AV71" s="1120">
        <f t="shared" si="11"/>
        <v>0</v>
      </c>
      <c r="AW71" s="1120">
        <f t="shared" si="12"/>
        <v>0</v>
      </c>
      <c r="AX71" s="1120">
        <f t="shared" si="13"/>
        <v>0</v>
      </c>
      <c r="AY71" s="2987">
        <f t="shared" si="14"/>
        <v>0</v>
      </c>
      <c r="AZ71" s="2942">
        <f t="shared" si="15"/>
        <v>0</v>
      </c>
      <c r="BA71" s="2942">
        <f t="shared" si="16"/>
        <v>0</v>
      </c>
      <c r="BB71" s="2942">
        <f t="shared" si="17"/>
        <v>0</v>
      </c>
      <c r="BC71" s="2942">
        <f t="shared" si="18"/>
        <v>0</v>
      </c>
      <c r="BD71" s="2942">
        <f t="shared" si="19"/>
        <v>0</v>
      </c>
      <c r="BE71" s="2942">
        <f t="shared" si="20"/>
        <v>0</v>
      </c>
      <c r="BF71" s="2942">
        <f t="shared" si="21"/>
        <v>0</v>
      </c>
      <c r="BG71" s="2942">
        <f t="shared" si="22"/>
        <v>0</v>
      </c>
      <c r="BH71" s="2942">
        <f t="shared" si="23"/>
        <v>0</v>
      </c>
      <c r="BI71" s="2942">
        <f t="shared" si="24"/>
        <v>0</v>
      </c>
      <c r="BJ71" s="2942">
        <f t="shared" si="25"/>
        <v>0</v>
      </c>
      <c r="BK71" s="2942">
        <f t="shared" si="26"/>
        <v>0</v>
      </c>
      <c r="BL71" s="2942">
        <f t="shared" si="27"/>
        <v>0</v>
      </c>
      <c r="BM71" s="2942">
        <f t="shared" si="28"/>
        <v>0</v>
      </c>
      <c r="BN71" s="2942">
        <f t="shared" si="29"/>
        <v>0</v>
      </c>
      <c r="BO71" s="2942">
        <f t="shared" si="30"/>
        <v>0</v>
      </c>
      <c r="BP71" s="2942">
        <f t="shared" si="31"/>
        <v>0</v>
      </c>
      <c r="BQ71" s="2942">
        <f t="shared" si="32"/>
        <v>0</v>
      </c>
      <c r="BR71" s="2942">
        <f t="shared" si="33"/>
        <v>0</v>
      </c>
      <c r="BS71" s="2942">
        <f t="shared" si="34"/>
        <v>0</v>
      </c>
      <c r="BT71" s="2994">
        <f t="shared" si="35"/>
        <v>0</v>
      </c>
    </row>
    <row r="72" spans="1:72">
      <c r="A72" s="2939"/>
      <c r="B72" s="2940"/>
      <c r="C72" s="2940"/>
      <c r="D72" s="2941"/>
      <c r="E72" s="2942">
        <f t="shared" si="7"/>
        <v>0</v>
      </c>
      <c r="F72" s="2943"/>
      <c r="G72" s="2944">
        <f t="shared" si="8"/>
        <v>0</v>
      </c>
      <c r="H72" s="2945">
        <f t="shared" si="9"/>
        <v>0</v>
      </c>
      <c r="I72" s="2952"/>
      <c r="J72" s="2952"/>
      <c r="K72" s="2952"/>
      <c r="L72" s="2952"/>
      <c r="M72" s="2952"/>
      <c r="N72" s="2952"/>
      <c r="O72" s="2952"/>
      <c r="P72" s="2952"/>
      <c r="Q72" s="2952"/>
      <c r="R72" s="2952"/>
      <c r="S72" s="2952"/>
      <c r="T72" s="2952"/>
      <c r="U72" s="2952"/>
      <c r="V72" s="2952"/>
      <c r="W72" s="2952"/>
      <c r="X72" s="2952"/>
      <c r="Y72" s="2952"/>
      <c r="Z72" s="2952"/>
      <c r="AA72" s="2952"/>
      <c r="AB72" s="2952"/>
      <c r="AC72" s="2942">
        <f t="shared" si="10"/>
        <v>0</v>
      </c>
      <c r="AD72" s="2962"/>
      <c r="AE72" s="2962"/>
      <c r="AF72" s="2962"/>
      <c r="AG72" s="2962"/>
      <c r="AH72" s="2962"/>
      <c r="AI72" s="2962"/>
      <c r="AJ72" s="2962"/>
      <c r="AK72" s="2962"/>
      <c r="AL72" s="2962"/>
      <c r="AM72" s="2962"/>
      <c r="AN72" s="2962"/>
      <c r="AO72" s="2962"/>
      <c r="AP72" s="2962"/>
      <c r="AQ72" s="2962"/>
      <c r="AR72" s="2962"/>
      <c r="AS72" s="2962"/>
      <c r="AT72" s="2972"/>
      <c r="AU72" s="2973"/>
      <c r="AV72" s="1120">
        <f t="shared" si="11"/>
        <v>0</v>
      </c>
      <c r="AW72" s="1120">
        <f t="shared" si="12"/>
        <v>0</v>
      </c>
      <c r="AX72" s="1120">
        <f t="shared" si="13"/>
        <v>0</v>
      </c>
      <c r="AY72" s="2987">
        <f t="shared" si="14"/>
        <v>0</v>
      </c>
      <c r="AZ72" s="2942">
        <f t="shared" si="15"/>
        <v>0</v>
      </c>
      <c r="BA72" s="2942">
        <f t="shared" si="16"/>
        <v>0</v>
      </c>
      <c r="BB72" s="2942">
        <f t="shared" si="17"/>
        <v>0</v>
      </c>
      <c r="BC72" s="2942">
        <f t="shared" si="18"/>
        <v>0</v>
      </c>
      <c r="BD72" s="2942">
        <f t="shared" si="19"/>
        <v>0</v>
      </c>
      <c r="BE72" s="2942">
        <f t="shared" si="20"/>
        <v>0</v>
      </c>
      <c r="BF72" s="2942">
        <f t="shared" si="21"/>
        <v>0</v>
      </c>
      <c r="BG72" s="2942">
        <f t="shared" si="22"/>
        <v>0</v>
      </c>
      <c r="BH72" s="2942">
        <f t="shared" si="23"/>
        <v>0</v>
      </c>
      <c r="BI72" s="2942">
        <f t="shared" si="24"/>
        <v>0</v>
      </c>
      <c r="BJ72" s="2942">
        <f t="shared" si="25"/>
        <v>0</v>
      </c>
      <c r="BK72" s="2942">
        <f t="shared" si="26"/>
        <v>0</v>
      </c>
      <c r="BL72" s="2942">
        <f t="shared" si="27"/>
        <v>0</v>
      </c>
      <c r="BM72" s="2942">
        <f t="shared" si="28"/>
        <v>0</v>
      </c>
      <c r="BN72" s="2942">
        <f t="shared" si="29"/>
        <v>0</v>
      </c>
      <c r="BO72" s="2942">
        <f t="shared" si="30"/>
        <v>0</v>
      </c>
      <c r="BP72" s="2942">
        <f t="shared" si="31"/>
        <v>0</v>
      </c>
      <c r="BQ72" s="2942">
        <f t="shared" si="32"/>
        <v>0</v>
      </c>
      <c r="BR72" s="2942">
        <f t="shared" si="33"/>
        <v>0</v>
      </c>
      <c r="BS72" s="2942">
        <f t="shared" si="34"/>
        <v>0</v>
      </c>
      <c r="BT72" s="2994">
        <f t="shared" si="35"/>
        <v>0</v>
      </c>
    </row>
    <row r="73" spans="1:72">
      <c r="A73" s="2939"/>
      <c r="B73" s="2940"/>
      <c r="C73" s="2940"/>
      <c r="D73" s="2941"/>
      <c r="E73" s="2942">
        <f t="shared" si="7"/>
        <v>0</v>
      </c>
      <c r="F73" s="2943"/>
      <c r="G73" s="2944">
        <f t="shared" si="8"/>
        <v>0</v>
      </c>
      <c r="H73" s="2945">
        <f t="shared" si="9"/>
        <v>0</v>
      </c>
      <c r="I73" s="2952"/>
      <c r="J73" s="2952"/>
      <c r="K73" s="2952"/>
      <c r="L73" s="2952"/>
      <c r="M73" s="2952"/>
      <c r="N73" s="2952"/>
      <c r="O73" s="2952"/>
      <c r="P73" s="2952"/>
      <c r="Q73" s="2952"/>
      <c r="R73" s="2952"/>
      <c r="S73" s="2952"/>
      <c r="T73" s="2952"/>
      <c r="U73" s="2952"/>
      <c r="V73" s="2952"/>
      <c r="W73" s="2952"/>
      <c r="X73" s="2952"/>
      <c r="Y73" s="2952"/>
      <c r="Z73" s="2952"/>
      <c r="AA73" s="2952"/>
      <c r="AB73" s="2952"/>
      <c r="AC73" s="2942">
        <f t="shared" si="10"/>
        <v>0</v>
      </c>
      <c r="AD73" s="2962"/>
      <c r="AE73" s="2962"/>
      <c r="AF73" s="2962"/>
      <c r="AG73" s="2962"/>
      <c r="AH73" s="2962"/>
      <c r="AI73" s="2962"/>
      <c r="AJ73" s="2962"/>
      <c r="AK73" s="2962"/>
      <c r="AL73" s="2962"/>
      <c r="AM73" s="2962"/>
      <c r="AN73" s="2962"/>
      <c r="AO73" s="2962"/>
      <c r="AP73" s="2962"/>
      <c r="AQ73" s="2962"/>
      <c r="AR73" s="2962"/>
      <c r="AS73" s="2962"/>
      <c r="AT73" s="2972"/>
      <c r="AU73" s="2973"/>
      <c r="AV73" s="1120">
        <f t="shared" si="11"/>
        <v>0</v>
      </c>
      <c r="AW73" s="1120">
        <f t="shared" si="12"/>
        <v>0</v>
      </c>
      <c r="AX73" s="1120">
        <f t="shared" si="13"/>
        <v>0</v>
      </c>
      <c r="AY73" s="2987">
        <f t="shared" si="14"/>
        <v>0</v>
      </c>
      <c r="AZ73" s="2942">
        <f t="shared" si="15"/>
        <v>0</v>
      </c>
      <c r="BA73" s="2942">
        <f t="shared" si="16"/>
        <v>0</v>
      </c>
      <c r="BB73" s="2942">
        <f t="shared" si="17"/>
        <v>0</v>
      </c>
      <c r="BC73" s="2942">
        <f t="shared" si="18"/>
        <v>0</v>
      </c>
      <c r="BD73" s="2942">
        <f t="shared" si="19"/>
        <v>0</v>
      </c>
      <c r="BE73" s="2942">
        <f t="shared" si="20"/>
        <v>0</v>
      </c>
      <c r="BF73" s="2942">
        <f t="shared" si="21"/>
        <v>0</v>
      </c>
      <c r="BG73" s="2942">
        <f t="shared" si="22"/>
        <v>0</v>
      </c>
      <c r="BH73" s="2942">
        <f t="shared" si="23"/>
        <v>0</v>
      </c>
      <c r="BI73" s="2942">
        <f t="shared" si="24"/>
        <v>0</v>
      </c>
      <c r="BJ73" s="2942">
        <f t="shared" si="25"/>
        <v>0</v>
      </c>
      <c r="BK73" s="2942">
        <f t="shared" si="26"/>
        <v>0</v>
      </c>
      <c r="BL73" s="2942">
        <f t="shared" si="27"/>
        <v>0</v>
      </c>
      <c r="BM73" s="2942">
        <f t="shared" si="28"/>
        <v>0</v>
      </c>
      <c r="BN73" s="2942">
        <f t="shared" si="29"/>
        <v>0</v>
      </c>
      <c r="BO73" s="2942">
        <f t="shared" si="30"/>
        <v>0</v>
      </c>
      <c r="BP73" s="2942">
        <f t="shared" si="31"/>
        <v>0</v>
      </c>
      <c r="BQ73" s="2942">
        <f t="shared" si="32"/>
        <v>0</v>
      </c>
      <c r="BR73" s="2942">
        <f t="shared" si="33"/>
        <v>0</v>
      </c>
      <c r="BS73" s="2942">
        <f t="shared" si="34"/>
        <v>0</v>
      </c>
      <c r="BT73" s="2994">
        <f t="shared" si="35"/>
        <v>0</v>
      </c>
    </row>
    <row r="74" spans="1:72">
      <c r="A74" s="2939"/>
      <c r="B74" s="2940"/>
      <c r="C74" s="2940"/>
      <c r="D74" s="2941"/>
      <c r="E74" s="2942">
        <f t="shared" si="7"/>
        <v>0</v>
      </c>
      <c r="F74" s="2943"/>
      <c r="G74" s="2944">
        <f t="shared" si="8"/>
        <v>0</v>
      </c>
      <c r="H74" s="2945">
        <f t="shared" si="9"/>
        <v>0</v>
      </c>
      <c r="I74" s="2952"/>
      <c r="J74" s="2952"/>
      <c r="K74" s="2952"/>
      <c r="L74" s="2952"/>
      <c r="M74" s="2952"/>
      <c r="N74" s="2952"/>
      <c r="O74" s="2952"/>
      <c r="P74" s="2952"/>
      <c r="Q74" s="2952"/>
      <c r="R74" s="2952"/>
      <c r="S74" s="2952"/>
      <c r="T74" s="2952"/>
      <c r="U74" s="2952"/>
      <c r="V74" s="2952"/>
      <c r="W74" s="2952"/>
      <c r="X74" s="2952"/>
      <c r="Y74" s="2952"/>
      <c r="Z74" s="2952"/>
      <c r="AA74" s="2952"/>
      <c r="AB74" s="2952"/>
      <c r="AC74" s="2942">
        <f t="shared" si="10"/>
        <v>0</v>
      </c>
      <c r="AD74" s="2962"/>
      <c r="AE74" s="2962"/>
      <c r="AF74" s="2962"/>
      <c r="AG74" s="2962"/>
      <c r="AH74" s="2962"/>
      <c r="AI74" s="2962"/>
      <c r="AJ74" s="2962"/>
      <c r="AK74" s="2962"/>
      <c r="AL74" s="2962"/>
      <c r="AM74" s="2962"/>
      <c r="AN74" s="2962"/>
      <c r="AO74" s="2962"/>
      <c r="AP74" s="2962"/>
      <c r="AQ74" s="2962"/>
      <c r="AR74" s="2962"/>
      <c r="AS74" s="2962"/>
      <c r="AT74" s="2972"/>
      <c r="AU74" s="2973"/>
      <c r="AV74" s="1120">
        <f t="shared" si="11"/>
        <v>0</v>
      </c>
      <c r="AW74" s="1120">
        <f t="shared" si="12"/>
        <v>0</v>
      </c>
      <c r="AX74" s="1120">
        <f t="shared" si="13"/>
        <v>0</v>
      </c>
      <c r="AY74" s="2987">
        <f t="shared" si="14"/>
        <v>0</v>
      </c>
      <c r="AZ74" s="2942">
        <f t="shared" si="15"/>
        <v>0</v>
      </c>
      <c r="BA74" s="2942">
        <f t="shared" si="16"/>
        <v>0</v>
      </c>
      <c r="BB74" s="2942">
        <f t="shared" si="17"/>
        <v>0</v>
      </c>
      <c r="BC74" s="2942">
        <f t="shared" si="18"/>
        <v>0</v>
      </c>
      <c r="BD74" s="2942">
        <f t="shared" si="19"/>
        <v>0</v>
      </c>
      <c r="BE74" s="2942">
        <f t="shared" si="20"/>
        <v>0</v>
      </c>
      <c r="BF74" s="2942">
        <f t="shared" si="21"/>
        <v>0</v>
      </c>
      <c r="BG74" s="2942">
        <f t="shared" si="22"/>
        <v>0</v>
      </c>
      <c r="BH74" s="2942">
        <f t="shared" si="23"/>
        <v>0</v>
      </c>
      <c r="BI74" s="2942">
        <f t="shared" si="24"/>
        <v>0</v>
      </c>
      <c r="BJ74" s="2942">
        <f t="shared" si="25"/>
        <v>0</v>
      </c>
      <c r="BK74" s="2942">
        <f t="shared" si="26"/>
        <v>0</v>
      </c>
      <c r="BL74" s="2942">
        <f t="shared" si="27"/>
        <v>0</v>
      </c>
      <c r="BM74" s="2942">
        <f t="shared" si="28"/>
        <v>0</v>
      </c>
      <c r="BN74" s="2942">
        <f t="shared" si="29"/>
        <v>0</v>
      </c>
      <c r="BO74" s="2942">
        <f t="shared" si="30"/>
        <v>0</v>
      </c>
      <c r="BP74" s="2942">
        <f t="shared" si="31"/>
        <v>0</v>
      </c>
      <c r="BQ74" s="2942">
        <f t="shared" si="32"/>
        <v>0</v>
      </c>
      <c r="BR74" s="2942">
        <f t="shared" si="33"/>
        <v>0</v>
      </c>
      <c r="BS74" s="2942">
        <f t="shared" si="34"/>
        <v>0</v>
      </c>
      <c r="BT74" s="2994">
        <f t="shared" si="35"/>
        <v>0</v>
      </c>
    </row>
    <row r="75" spans="1:72">
      <c r="A75" s="2939"/>
      <c r="B75" s="2940"/>
      <c r="C75" s="2940"/>
      <c r="D75" s="2941"/>
      <c r="E75" s="2942">
        <f t="shared" si="7"/>
        <v>0</v>
      </c>
      <c r="F75" s="2943"/>
      <c r="G75" s="2944">
        <f t="shared" si="8"/>
        <v>0</v>
      </c>
      <c r="H75" s="2945">
        <f t="shared" si="9"/>
        <v>0</v>
      </c>
      <c r="I75" s="2952"/>
      <c r="J75" s="2952"/>
      <c r="K75" s="2952"/>
      <c r="L75" s="2952"/>
      <c r="M75" s="2952"/>
      <c r="N75" s="2952"/>
      <c r="O75" s="2952"/>
      <c r="P75" s="2952"/>
      <c r="Q75" s="2952"/>
      <c r="R75" s="2952"/>
      <c r="S75" s="2952"/>
      <c r="T75" s="2952"/>
      <c r="U75" s="2952"/>
      <c r="V75" s="2952"/>
      <c r="W75" s="2952"/>
      <c r="X75" s="2952"/>
      <c r="Y75" s="2952"/>
      <c r="Z75" s="2952"/>
      <c r="AA75" s="2952"/>
      <c r="AB75" s="2952"/>
      <c r="AC75" s="2942">
        <f t="shared" si="10"/>
        <v>0</v>
      </c>
      <c r="AD75" s="2962"/>
      <c r="AE75" s="2962"/>
      <c r="AF75" s="2962"/>
      <c r="AG75" s="2962"/>
      <c r="AH75" s="2962"/>
      <c r="AI75" s="2962"/>
      <c r="AJ75" s="2962"/>
      <c r="AK75" s="2962"/>
      <c r="AL75" s="2962"/>
      <c r="AM75" s="2962"/>
      <c r="AN75" s="2962"/>
      <c r="AO75" s="2962"/>
      <c r="AP75" s="2962"/>
      <c r="AQ75" s="2962"/>
      <c r="AR75" s="2962"/>
      <c r="AS75" s="2962"/>
      <c r="AT75" s="2972"/>
      <c r="AU75" s="2973"/>
      <c r="AV75" s="1120">
        <f t="shared" si="11"/>
        <v>0</v>
      </c>
      <c r="AW75" s="1120">
        <f t="shared" si="12"/>
        <v>0</v>
      </c>
      <c r="AX75" s="1120">
        <f t="shared" si="13"/>
        <v>0</v>
      </c>
      <c r="AY75" s="2987">
        <f t="shared" si="14"/>
        <v>0</v>
      </c>
      <c r="AZ75" s="2942">
        <f t="shared" si="15"/>
        <v>0</v>
      </c>
      <c r="BA75" s="2942">
        <f t="shared" si="16"/>
        <v>0</v>
      </c>
      <c r="BB75" s="2942">
        <f t="shared" si="17"/>
        <v>0</v>
      </c>
      <c r="BC75" s="2942">
        <f t="shared" si="18"/>
        <v>0</v>
      </c>
      <c r="BD75" s="2942">
        <f t="shared" si="19"/>
        <v>0</v>
      </c>
      <c r="BE75" s="2942">
        <f t="shared" si="20"/>
        <v>0</v>
      </c>
      <c r="BF75" s="2942">
        <f t="shared" si="21"/>
        <v>0</v>
      </c>
      <c r="BG75" s="2942">
        <f t="shared" si="22"/>
        <v>0</v>
      </c>
      <c r="BH75" s="2942">
        <f t="shared" si="23"/>
        <v>0</v>
      </c>
      <c r="BI75" s="2942">
        <f t="shared" si="24"/>
        <v>0</v>
      </c>
      <c r="BJ75" s="2942">
        <f t="shared" si="25"/>
        <v>0</v>
      </c>
      <c r="BK75" s="2942">
        <f t="shared" si="26"/>
        <v>0</v>
      </c>
      <c r="BL75" s="2942">
        <f t="shared" si="27"/>
        <v>0</v>
      </c>
      <c r="BM75" s="2942">
        <f t="shared" si="28"/>
        <v>0</v>
      </c>
      <c r="BN75" s="2942">
        <f t="shared" si="29"/>
        <v>0</v>
      </c>
      <c r="BO75" s="2942">
        <f t="shared" si="30"/>
        <v>0</v>
      </c>
      <c r="BP75" s="2942">
        <f t="shared" si="31"/>
        <v>0</v>
      </c>
      <c r="BQ75" s="2942">
        <f t="shared" si="32"/>
        <v>0</v>
      </c>
      <c r="BR75" s="2942">
        <f t="shared" si="33"/>
        <v>0</v>
      </c>
      <c r="BS75" s="2942">
        <f t="shared" si="34"/>
        <v>0</v>
      </c>
      <c r="BT75" s="2994">
        <f t="shared" si="35"/>
        <v>0</v>
      </c>
    </row>
    <row r="76" spans="1:72">
      <c r="A76" s="2939"/>
      <c r="B76" s="2940"/>
      <c r="C76" s="2940"/>
      <c r="D76" s="2941"/>
      <c r="E76" s="2942">
        <f t="shared" si="7"/>
        <v>0</v>
      </c>
      <c r="F76" s="2943"/>
      <c r="G76" s="2944">
        <f t="shared" si="8"/>
        <v>0</v>
      </c>
      <c r="H76" s="2945">
        <f t="shared" si="9"/>
        <v>0</v>
      </c>
      <c r="I76" s="2952"/>
      <c r="J76" s="2952"/>
      <c r="K76" s="2952"/>
      <c r="L76" s="2952"/>
      <c r="M76" s="2952"/>
      <c r="N76" s="2952"/>
      <c r="O76" s="2952"/>
      <c r="P76" s="2952"/>
      <c r="Q76" s="2952"/>
      <c r="R76" s="2952"/>
      <c r="S76" s="2952"/>
      <c r="T76" s="2952"/>
      <c r="U76" s="2952"/>
      <c r="V76" s="2952"/>
      <c r="W76" s="2952"/>
      <c r="X76" s="2952"/>
      <c r="Y76" s="2952"/>
      <c r="Z76" s="2952"/>
      <c r="AA76" s="2952"/>
      <c r="AB76" s="2952"/>
      <c r="AC76" s="2942">
        <f t="shared" si="10"/>
        <v>0</v>
      </c>
      <c r="AD76" s="2962"/>
      <c r="AE76" s="2962"/>
      <c r="AF76" s="2962"/>
      <c r="AG76" s="2962"/>
      <c r="AH76" s="2962"/>
      <c r="AI76" s="2962"/>
      <c r="AJ76" s="2962"/>
      <c r="AK76" s="2962"/>
      <c r="AL76" s="2962"/>
      <c r="AM76" s="2962"/>
      <c r="AN76" s="2962"/>
      <c r="AO76" s="2962"/>
      <c r="AP76" s="2962"/>
      <c r="AQ76" s="2962"/>
      <c r="AR76" s="2962"/>
      <c r="AS76" s="2962"/>
      <c r="AT76" s="2972"/>
      <c r="AU76" s="2973"/>
      <c r="AV76" s="1120">
        <f t="shared" si="11"/>
        <v>0</v>
      </c>
      <c r="AW76" s="1120">
        <f t="shared" si="12"/>
        <v>0</v>
      </c>
      <c r="AX76" s="1120">
        <f t="shared" si="13"/>
        <v>0</v>
      </c>
      <c r="AY76" s="2987">
        <f t="shared" si="14"/>
        <v>0</v>
      </c>
      <c r="AZ76" s="2942">
        <f t="shared" si="15"/>
        <v>0</v>
      </c>
      <c r="BA76" s="2942">
        <f t="shared" si="16"/>
        <v>0</v>
      </c>
      <c r="BB76" s="2942">
        <f t="shared" si="17"/>
        <v>0</v>
      </c>
      <c r="BC76" s="2942">
        <f t="shared" si="18"/>
        <v>0</v>
      </c>
      <c r="BD76" s="2942">
        <f t="shared" si="19"/>
        <v>0</v>
      </c>
      <c r="BE76" s="2942">
        <f t="shared" si="20"/>
        <v>0</v>
      </c>
      <c r="BF76" s="2942">
        <f t="shared" si="21"/>
        <v>0</v>
      </c>
      <c r="BG76" s="2942">
        <f t="shared" si="22"/>
        <v>0</v>
      </c>
      <c r="BH76" s="2942">
        <f t="shared" si="23"/>
        <v>0</v>
      </c>
      <c r="BI76" s="2942">
        <f t="shared" si="24"/>
        <v>0</v>
      </c>
      <c r="BJ76" s="2942">
        <f t="shared" si="25"/>
        <v>0</v>
      </c>
      <c r="BK76" s="2942">
        <f t="shared" si="26"/>
        <v>0</v>
      </c>
      <c r="BL76" s="2942">
        <f t="shared" si="27"/>
        <v>0</v>
      </c>
      <c r="BM76" s="2942">
        <f t="shared" si="28"/>
        <v>0</v>
      </c>
      <c r="BN76" s="2942">
        <f t="shared" si="29"/>
        <v>0</v>
      </c>
      <c r="BO76" s="2942">
        <f t="shared" si="30"/>
        <v>0</v>
      </c>
      <c r="BP76" s="2942">
        <f t="shared" si="31"/>
        <v>0</v>
      </c>
      <c r="BQ76" s="2942">
        <f t="shared" si="32"/>
        <v>0</v>
      </c>
      <c r="BR76" s="2942">
        <f t="shared" si="33"/>
        <v>0</v>
      </c>
      <c r="BS76" s="2942">
        <f t="shared" si="34"/>
        <v>0</v>
      </c>
      <c r="BT76" s="2994">
        <f t="shared" si="35"/>
        <v>0</v>
      </c>
    </row>
    <row r="77" spans="1:72">
      <c r="A77" s="2939"/>
      <c r="B77" s="2940"/>
      <c r="C77" s="2940"/>
      <c r="D77" s="2941"/>
      <c r="E77" s="2942">
        <f t="shared" si="7"/>
        <v>0</v>
      </c>
      <c r="F77" s="2943"/>
      <c r="G77" s="2944">
        <f t="shared" si="8"/>
        <v>0</v>
      </c>
      <c r="H77" s="2945">
        <f t="shared" si="9"/>
        <v>0</v>
      </c>
      <c r="I77" s="2952"/>
      <c r="J77" s="2952"/>
      <c r="K77" s="2952"/>
      <c r="L77" s="2952"/>
      <c r="M77" s="2952"/>
      <c r="N77" s="2952"/>
      <c r="O77" s="2952"/>
      <c r="P77" s="2952"/>
      <c r="Q77" s="2952"/>
      <c r="R77" s="2952"/>
      <c r="S77" s="2952"/>
      <c r="T77" s="2952"/>
      <c r="U77" s="2952"/>
      <c r="V77" s="2952"/>
      <c r="W77" s="2952"/>
      <c r="X77" s="2952"/>
      <c r="Y77" s="2952"/>
      <c r="Z77" s="2952"/>
      <c r="AA77" s="2952"/>
      <c r="AB77" s="2952"/>
      <c r="AC77" s="2942">
        <f t="shared" si="10"/>
        <v>0</v>
      </c>
      <c r="AD77" s="2962"/>
      <c r="AE77" s="2962"/>
      <c r="AF77" s="2962"/>
      <c r="AG77" s="2962"/>
      <c r="AH77" s="2962"/>
      <c r="AI77" s="2962"/>
      <c r="AJ77" s="2962"/>
      <c r="AK77" s="2962"/>
      <c r="AL77" s="2962"/>
      <c r="AM77" s="2962"/>
      <c r="AN77" s="2962"/>
      <c r="AO77" s="2962"/>
      <c r="AP77" s="2962"/>
      <c r="AQ77" s="2962"/>
      <c r="AR77" s="2962"/>
      <c r="AS77" s="2962"/>
      <c r="AT77" s="2972"/>
      <c r="AU77" s="2973"/>
      <c r="AV77" s="1120">
        <f t="shared" si="11"/>
        <v>0</v>
      </c>
      <c r="AW77" s="1120">
        <f t="shared" si="12"/>
        <v>0</v>
      </c>
      <c r="AX77" s="1120">
        <f t="shared" si="13"/>
        <v>0</v>
      </c>
      <c r="AY77" s="2987">
        <f t="shared" si="14"/>
        <v>0</v>
      </c>
      <c r="AZ77" s="2942">
        <f t="shared" si="15"/>
        <v>0</v>
      </c>
      <c r="BA77" s="2942">
        <f t="shared" si="16"/>
        <v>0</v>
      </c>
      <c r="BB77" s="2942">
        <f t="shared" si="17"/>
        <v>0</v>
      </c>
      <c r="BC77" s="2942">
        <f t="shared" si="18"/>
        <v>0</v>
      </c>
      <c r="BD77" s="2942">
        <f t="shared" si="19"/>
        <v>0</v>
      </c>
      <c r="BE77" s="2942">
        <f t="shared" si="20"/>
        <v>0</v>
      </c>
      <c r="BF77" s="2942">
        <f t="shared" si="21"/>
        <v>0</v>
      </c>
      <c r="BG77" s="2942">
        <f t="shared" si="22"/>
        <v>0</v>
      </c>
      <c r="BH77" s="2942">
        <f t="shared" si="23"/>
        <v>0</v>
      </c>
      <c r="BI77" s="2942">
        <f t="shared" si="24"/>
        <v>0</v>
      </c>
      <c r="BJ77" s="2942">
        <f t="shared" si="25"/>
        <v>0</v>
      </c>
      <c r="BK77" s="2942">
        <f t="shared" si="26"/>
        <v>0</v>
      </c>
      <c r="BL77" s="2942">
        <f t="shared" si="27"/>
        <v>0</v>
      </c>
      <c r="BM77" s="2942">
        <f t="shared" si="28"/>
        <v>0</v>
      </c>
      <c r="BN77" s="2942">
        <f t="shared" si="29"/>
        <v>0</v>
      </c>
      <c r="BO77" s="2942">
        <f t="shared" si="30"/>
        <v>0</v>
      </c>
      <c r="BP77" s="2942">
        <f t="shared" si="31"/>
        <v>0</v>
      </c>
      <c r="BQ77" s="2942">
        <f t="shared" si="32"/>
        <v>0</v>
      </c>
      <c r="BR77" s="2942">
        <f t="shared" si="33"/>
        <v>0</v>
      </c>
      <c r="BS77" s="2942">
        <f t="shared" si="34"/>
        <v>0</v>
      </c>
      <c r="BT77" s="2994">
        <f t="shared" si="35"/>
        <v>0</v>
      </c>
    </row>
    <row r="78" spans="1:72">
      <c r="A78" s="2939"/>
      <c r="B78" s="2940"/>
      <c r="C78" s="2940"/>
      <c r="D78" s="2941"/>
      <c r="E78" s="2942">
        <f t="shared" si="7"/>
        <v>0</v>
      </c>
      <c r="F78" s="2943"/>
      <c r="G78" s="2944">
        <f t="shared" si="8"/>
        <v>0</v>
      </c>
      <c r="H78" s="2945">
        <f t="shared" si="9"/>
        <v>0</v>
      </c>
      <c r="I78" s="2952"/>
      <c r="J78" s="2952"/>
      <c r="K78" s="2952"/>
      <c r="L78" s="2952"/>
      <c r="M78" s="2952"/>
      <c r="N78" s="2952"/>
      <c r="O78" s="2952"/>
      <c r="P78" s="2952"/>
      <c r="Q78" s="2952"/>
      <c r="R78" s="2952"/>
      <c r="S78" s="2952"/>
      <c r="T78" s="2952"/>
      <c r="U78" s="2952"/>
      <c r="V78" s="2952"/>
      <c r="W78" s="2952"/>
      <c r="X78" s="2952"/>
      <c r="Y78" s="2952"/>
      <c r="Z78" s="2952"/>
      <c r="AA78" s="2952"/>
      <c r="AB78" s="2952"/>
      <c r="AC78" s="2942">
        <f t="shared" si="10"/>
        <v>0</v>
      </c>
      <c r="AD78" s="2962"/>
      <c r="AE78" s="2962"/>
      <c r="AF78" s="2962"/>
      <c r="AG78" s="2962"/>
      <c r="AH78" s="2962"/>
      <c r="AI78" s="2962"/>
      <c r="AJ78" s="2962"/>
      <c r="AK78" s="2962"/>
      <c r="AL78" s="2962"/>
      <c r="AM78" s="2962"/>
      <c r="AN78" s="2962"/>
      <c r="AO78" s="2962"/>
      <c r="AP78" s="2962"/>
      <c r="AQ78" s="2962"/>
      <c r="AR78" s="2962"/>
      <c r="AS78" s="2962"/>
      <c r="AT78" s="2972"/>
      <c r="AU78" s="2973"/>
      <c r="AV78" s="1120">
        <f t="shared" si="11"/>
        <v>0</v>
      </c>
      <c r="AW78" s="1120">
        <f t="shared" si="12"/>
        <v>0</v>
      </c>
      <c r="AX78" s="1120">
        <f t="shared" si="13"/>
        <v>0</v>
      </c>
      <c r="AY78" s="2987">
        <f t="shared" si="14"/>
        <v>0</v>
      </c>
      <c r="AZ78" s="2942">
        <f t="shared" si="15"/>
        <v>0</v>
      </c>
      <c r="BA78" s="2942">
        <f t="shared" si="16"/>
        <v>0</v>
      </c>
      <c r="BB78" s="2942">
        <f t="shared" si="17"/>
        <v>0</v>
      </c>
      <c r="BC78" s="2942">
        <f t="shared" si="18"/>
        <v>0</v>
      </c>
      <c r="BD78" s="2942">
        <f t="shared" si="19"/>
        <v>0</v>
      </c>
      <c r="BE78" s="2942">
        <f t="shared" si="20"/>
        <v>0</v>
      </c>
      <c r="BF78" s="2942">
        <f t="shared" si="21"/>
        <v>0</v>
      </c>
      <c r="BG78" s="2942">
        <f t="shared" si="22"/>
        <v>0</v>
      </c>
      <c r="BH78" s="2942">
        <f t="shared" si="23"/>
        <v>0</v>
      </c>
      <c r="BI78" s="2942">
        <f t="shared" si="24"/>
        <v>0</v>
      </c>
      <c r="BJ78" s="2942">
        <f t="shared" si="25"/>
        <v>0</v>
      </c>
      <c r="BK78" s="2942">
        <f t="shared" si="26"/>
        <v>0</v>
      </c>
      <c r="BL78" s="2942">
        <f t="shared" si="27"/>
        <v>0</v>
      </c>
      <c r="BM78" s="2942">
        <f t="shared" si="28"/>
        <v>0</v>
      </c>
      <c r="BN78" s="2942">
        <f t="shared" si="29"/>
        <v>0</v>
      </c>
      <c r="BO78" s="2942">
        <f t="shared" si="30"/>
        <v>0</v>
      </c>
      <c r="BP78" s="2942">
        <f t="shared" si="31"/>
        <v>0</v>
      </c>
      <c r="BQ78" s="2942">
        <f t="shared" si="32"/>
        <v>0</v>
      </c>
      <c r="BR78" s="2942">
        <f t="shared" si="33"/>
        <v>0</v>
      </c>
      <c r="BS78" s="2942">
        <f t="shared" si="34"/>
        <v>0</v>
      </c>
      <c r="BT78" s="2994">
        <f t="shared" si="35"/>
        <v>0</v>
      </c>
    </row>
    <row r="79" spans="1:72">
      <c r="A79" s="2939"/>
      <c r="B79" s="2940"/>
      <c r="C79" s="2940"/>
      <c r="D79" s="2941"/>
      <c r="E79" s="2942">
        <f t="shared" si="7"/>
        <v>0</v>
      </c>
      <c r="F79" s="2943"/>
      <c r="G79" s="2944">
        <f t="shared" si="8"/>
        <v>0</v>
      </c>
      <c r="H79" s="2945">
        <f t="shared" si="9"/>
        <v>0</v>
      </c>
      <c r="I79" s="2952"/>
      <c r="J79" s="2952"/>
      <c r="K79" s="2952"/>
      <c r="L79" s="2952"/>
      <c r="M79" s="2952"/>
      <c r="N79" s="2952"/>
      <c r="O79" s="2952"/>
      <c r="P79" s="2952"/>
      <c r="Q79" s="2952"/>
      <c r="R79" s="2952"/>
      <c r="S79" s="2952"/>
      <c r="T79" s="2952"/>
      <c r="U79" s="2952"/>
      <c r="V79" s="2952"/>
      <c r="W79" s="2952"/>
      <c r="X79" s="2952"/>
      <c r="Y79" s="2952"/>
      <c r="Z79" s="2952"/>
      <c r="AA79" s="2952"/>
      <c r="AB79" s="2952"/>
      <c r="AC79" s="2942">
        <f t="shared" si="10"/>
        <v>0</v>
      </c>
      <c r="AD79" s="2962"/>
      <c r="AE79" s="2962"/>
      <c r="AF79" s="2962"/>
      <c r="AG79" s="2962"/>
      <c r="AH79" s="2962"/>
      <c r="AI79" s="2962"/>
      <c r="AJ79" s="2962"/>
      <c r="AK79" s="2962"/>
      <c r="AL79" s="2962"/>
      <c r="AM79" s="2962"/>
      <c r="AN79" s="2962"/>
      <c r="AO79" s="2962"/>
      <c r="AP79" s="2962"/>
      <c r="AQ79" s="2962"/>
      <c r="AR79" s="2962"/>
      <c r="AS79" s="2962"/>
      <c r="AT79" s="2972"/>
      <c r="AU79" s="2973"/>
      <c r="AV79" s="1120">
        <f t="shared" si="11"/>
        <v>0</v>
      </c>
      <c r="AW79" s="1120">
        <f t="shared" si="12"/>
        <v>0</v>
      </c>
      <c r="AX79" s="1120">
        <f t="shared" si="13"/>
        <v>0</v>
      </c>
      <c r="AY79" s="2987">
        <f t="shared" si="14"/>
        <v>0</v>
      </c>
      <c r="AZ79" s="2942">
        <f t="shared" si="15"/>
        <v>0</v>
      </c>
      <c r="BA79" s="2942">
        <f t="shared" si="16"/>
        <v>0</v>
      </c>
      <c r="BB79" s="2942">
        <f t="shared" si="17"/>
        <v>0</v>
      </c>
      <c r="BC79" s="2942">
        <f t="shared" si="18"/>
        <v>0</v>
      </c>
      <c r="BD79" s="2942">
        <f t="shared" si="19"/>
        <v>0</v>
      </c>
      <c r="BE79" s="2942">
        <f t="shared" si="20"/>
        <v>0</v>
      </c>
      <c r="BF79" s="2942">
        <f t="shared" si="21"/>
        <v>0</v>
      </c>
      <c r="BG79" s="2942">
        <f t="shared" si="22"/>
        <v>0</v>
      </c>
      <c r="BH79" s="2942">
        <f t="shared" si="23"/>
        <v>0</v>
      </c>
      <c r="BI79" s="2942">
        <f t="shared" si="24"/>
        <v>0</v>
      </c>
      <c r="BJ79" s="2942">
        <f t="shared" si="25"/>
        <v>0</v>
      </c>
      <c r="BK79" s="2942">
        <f t="shared" si="26"/>
        <v>0</v>
      </c>
      <c r="BL79" s="2942">
        <f t="shared" si="27"/>
        <v>0</v>
      </c>
      <c r="BM79" s="2942">
        <f t="shared" si="28"/>
        <v>0</v>
      </c>
      <c r="BN79" s="2942">
        <f t="shared" si="29"/>
        <v>0</v>
      </c>
      <c r="BO79" s="2942">
        <f t="shared" si="30"/>
        <v>0</v>
      </c>
      <c r="BP79" s="2942">
        <f t="shared" si="31"/>
        <v>0</v>
      </c>
      <c r="BQ79" s="2942">
        <f t="shared" si="32"/>
        <v>0</v>
      </c>
      <c r="BR79" s="2942">
        <f t="shared" si="33"/>
        <v>0</v>
      </c>
      <c r="BS79" s="2942">
        <f t="shared" si="34"/>
        <v>0</v>
      </c>
      <c r="BT79" s="2994">
        <f t="shared" si="35"/>
        <v>0</v>
      </c>
    </row>
    <row r="80" spans="1:72">
      <c r="A80" s="2939"/>
      <c r="B80" s="2940"/>
      <c r="C80" s="2940"/>
      <c r="D80" s="2941"/>
      <c r="E80" s="2942">
        <f t="shared" si="7"/>
        <v>0</v>
      </c>
      <c r="F80" s="2943"/>
      <c r="G80" s="2944">
        <f t="shared" si="8"/>
        <v>0</v>
      </c>
      <c r="H80" s="2945">
        <f t="shared" si="9"/>
        <v>0</v>
      </c>
      <c r="I80" s="2952"/>
      <c r="J80" s="2952"/>
      <c r="K80" s="2952"/>
      <c r="L80" s="2952"/>
      <c r="M80" s="2952"/>
      <c r="N80" s="2952"/>
      <c r="O80" s="2952"/>
      <c r="P80" s="2952"/>
      <c r="Q80" s="2952"/>
      <c r="R80" s="2952"/>
      <c r="S80" s="2952"/>
      <c r="T80" s="2952"/>
      <c r="U80" s="2952"/>
      <c r="V80" s="2952"/>
      <c r="W80" s="2952"/>
      <c r="X80" s="2952"/>
      <c r="Y80" s="2952"/>
      <c r="Z80" s="2952"/>
      <c r="AA80" s="2952"/>
      <c r="AB80" s="2952"/>
      <c r="AC80" s="2942">
        <f t="shared" si="10"/>
        <v>0</v>
      </c>
      <c r="AD80" s="2962"/>
      <c r="AE80" s="2962"/>
      <c r="AF80" s="2962"/>
      <c r="AG80" s="2962"/>
      <c r="AH80" s="2962"/>
      <c r="AI80" s="2962"/>
      <c r="AJ80" s="2962"/>
      <c r="AK80" s="2962"/>
      <c r="AL80" s="2962"/>
      <c r="AM80" s="2962"/>
      <c r="AN80" s="2962"/>
      <c r="AO80" s="2962"/>
      <c r="AP80" s="2962"/>
      <c r="AQ80" s="2962"/>
      <c r="AR80" s="2962"/>
      <c r="AS80" s="2962"/>
      <c r="AT80" s="2972"/>
      <c r="AU80" s="2973"/>
      <c r="AV80" s="1120">
        <f t="shared" si="11"/>
        <v>0</v>
      </c>
      <c r="AW80" s="1120">
        <f t="shared" si="12"/>
        <v>0</v>
      </c>
      <c r="AX80" s="1120">
        <f t="shared" si="13"/>
        <v>0</v>
      </c>
      <c r="AY80" s="2987">
        <f t="shared" si="14"/>
        <v>0</v>
      </c>
      <c r="AZ80" s="2942">
        <f t="shared" si="15"/>
        <v>0</v>
      </c>
      <c r="BA80" s="2942">
        <f t="shared" si="16"/>
        <v>0</v>
      </c>
      <c r="BB80" s="2942">
        <f t="shared" si="17"/>
        <v>0</v>
      </c>
      <c r="BC80" s="2942">
        <f t="shared" si="18"/>
        <v>0</v>
      </c>
      <c r="BD80" s="2942">
        <f t="shared" si="19"/>
        <v>0</v>
      </c>
      <c r="BE80" s="2942">
        <f t="shared" si="20"/>
        <v>0</v>
      </c>
      <c r="BF80" s="2942">
        <f t="shared" si="21"/>
        <v>0</v>
      </c>
      <c r="BG80" s="2942">
        <f t="shared" si="22"/>
        <v>0</v>
      </c>
      <c r="BH80" s="2942">
        <f t="shared" si="23"/>
        <v>0</v>
      </c>
      <c r="BI80" s="2942">
        <f t="shared" si="24"/>
        <v>0</v>
      </c>
      <c r="BJ80" s="2942">
        <f t="shared" si="25"/>
        <v>0</v>
      </c>
      <c r="BK80" s="2942">
        <f t="shared" si="26"/>
        <v>0</v>
      </c>
      <c r="BL80" s="2942">
        <f t="shared" si="27"/>
        <v>0</v>
      </c>
      <c r="BM80" s="2942">
        <f t="shared" si="28"/>
        <v>0</v>
      </c>
      <c r="BN80" s="2942">
        <f t="shared" si="29"/>
        <v>0</v>
      </c>
      <c r="BO80" s="2942">
        <f t="shared" si="30"/>
        <v>0</v>
      </c>
      <c r="BP80" s="2942">
        <f t="shared" si="31"/>
        <v>0</v>
      </c>
      <c r="BQ80" s="2942">
        <f t="shared" si="32"/>
        <v>0</v>
      </c>
      <c r="BR80" s="2942">
        <f t="shared" si="33"/>
        <v>0</v>
      </c>
      <c r="BS80" s="2942">
        <f t="shared" si="34"/>
        <v>0</v>
      </c>
      <c r="BT80" s="2994">
        <f t="shared" si="35"/>
        <v>0</v>
      </c>
    </row>
    <row r="81" spans="1:72">
      <c r="A81" s="2939"/>
      <c r="B81" s="2940"/>
      <c r="C81" s="2940"/>
      <c r="D81" s="2941"/>
      <c r="E81" s="2942">
        <f t="shared" si="7"/>
        <v>0</v>
      </c>
      <c r="F81" s="2943"/>
      <c r="G81" s="2944">
        <f t="shared" si="8"/>
        <v>0</v>
      </c>
      <c r="H81" s="2945">
        <f t="shared" si="9"/>
        <v>0</v>
      </c>
      <c r="I81" s="2952"/>
      <c r="J81" s="2952"/>
      <c r="K81" s="2952"/>
      <c r="L81" s="2952"/>
      <c r="M81" s="2952"/>
      <c r="N81" s="2952"/>
      <c r="O81" s="2952"/>
      <c r="P81" s="2952"/>
      <c r="Q81" s="2952"/>
      <c r="R81" s="2952"/>
      <c r="S81" s="2952"/>
      <c r="T81" s="2952"/>
      <c r="U81" s="2952"/>
      <c r="V81" s="2952"/>
      <c r="W81" s="2952"/>
      <c r="X81" s="2952"/>
      <c r="Y81" s="2952"/>
      <c r="Z81" s="2952"/>
      <c r="AA81" s="2952"/>
      <c r="AB81" s="2952"/>
      <c r="AC81" s="2942">
        <f t="shared" si="10"/>
        <v>0</v>
      </c>
      <c r="AD81" s="2962"/>
      <c r="AE81" s="2962"/>
      <c r="AF81" s="2962"/>
      <c r="AG81" s="2962"/>
      <c r="AH81" s="2962"/>
      <c r="AI81" s="2962"/>
      <c r="AJ81" s="2962"/>
      <c r="AK81" s="2962"/>
      <c r="AL81" s="2962"/>
      <c r="AM81" s="2962"/>
      <c r="AN81" s="2962"/>
      <c r="AO81" s="2962"/>
      <c r="AP81" s="2962"/>
      <c r="AQ81" s="2962"/>
      <c r="AR81" s="2962"/>
      <c r="AS81" s="2962"/>
      <c r="AT81" s="2972"/>
      <c r="AU81" s="2973"/>
      <c r="AV81" s="1120">
        <f t="shared" si="11"/>
        <v>0</v>
      </c>
      <c r="AW81" s="1120">
        <f t="shared" si="12"/>
        <v>0</v>
      </c>
      <c r="AX81" s="1120">
        <f t="shared" si="13"/>
        <v>0</v>
      </c>
      <c r="AY81" s="2987">
        <f t="shared" si="14"/>
        <v>0</v>
      </c>
      <c r="AZ81" s="2942">
        <f t="shared" si="15"/>
        <v>0</v>
      </c>
      <c r="BA81" s="2942">
        <f t="shared" si="16"/>
        <v>0</v>
      </c>
      <c r="BB81" s="2942">
        <f t="shared" si="17"/>
        <v>0</v>
      </c>
      <c r="BC81" s="2942">
        <f t="shared" si="18"/>
        <v>0</v>
      </c>
      <c r="BD81" s="2942">
        <f t="shared" si="19"/>
        <v>0</v>
      </c>
      <c r="BE81" s="2942">
        <f t="shared" si="20"/>
        <v>0</v>
      </c>
      <c r="BF81" s="2942">
        <f t="shared" si="21"/>
        <v>0</v>
      </c>
      <c r="BG81" s="2942">
        <f t="shared" si="22"/>
        <v>0</v>
      </c>
      <c r="BH81" s="2942">
        <f t="shared" si="23"/>
        <v>0</v>
      </c>
      <c r="BI81" s="2942">
        <f t="shared" si="24"/>
        <v>0</v>
      </c>
      <c r="BJ81" s="2942">
        <f t="shared" si="25"/>
        <v>0</v>
      </c>
      <c r="BK81" s="2942">
        <f t="shared" si="26"/>
        <v>0</v>
      </c>
      <c r="BL81" s="2942">
        <f t="shared" si="27"/>
        <v>0</v>
      </c>
      <c r="BM81" s="2942">
        <f t="shared" si="28"/>
        <v>0</v>
      </c>
      <c r="BN81" s="2942">
        <f t="shared" si="29"/>
        <v>0</v>
      </c>
      <c r="BO81" s="2942">
        <f t="shared" si="30"/>
        <v>0</v>
      </c>
      <c r="BP81" s="2942">
        <f t="shared" si="31"/>
        <v>0</v>
      </c>
      <c r="BQ81" s="2942">
        <f t="shared" si="32"/>
        <v>0</v>
      </c>
      <c r="BR81" s="2942">
        <f t="shared" si="33"/>
        <v>0</v>
      </c>
      <c r="BS81" s="2942">
        <f t="shared" si="34"/>
        <v>0</v>
      </c>
      <c r="BT81" s="2994">
        <f t="shared" si="35"/>
        <v>0</v>
      </c>
    </row>
    <row r="82" spans="1:72">
      <c r="A82" s="2939"/>
      <c r="B82" s="2940"/>
      <c r="C82" s="2940"/>
      <c r="D82" s="2941"/>
      <c r="E82" s="2942">
        <f t="shared" si="7"/>
        <v>0</v>
      </c>
      <c r="F82" s="2943"/>
      <c r="G82" s="2944">
        <f t="shared" si="8"/>
        <v>0</v>
      </c>
      <c r="H82" s="2945">
        <f t="shared" si="9"/>
        <v>0</v>
      </c>
      <c r="I82" s="2952"/>
      <c r="J82" s="2952"/>
      <c r="K82" s="2952"/>
      <c r="L82" s="2952"/>
      <c r="M82" s="2952"/>
      <c r="N82" s="2952"/>
      <c r="O82" s="2952"/>
      <c r="P82" s="2952"/>
      <c r="Q82" s="2952"/>
      <c r="R82" s="2952"/>
      <c r="S82" s="2952"/>
      <c r="T82" s="2952"/>
      <c r="U82" s="2952"/>
      <c r="V82" s="2952"/>
      <c r="W82" s="2952"/>
      <c r="X82" s="2952"/>
      <c r="Y82" s="2952"/>
      <c r="Z82" s="2952"/>
      <c r="AA82" s="2952"/>
      <c r="AB82" s="2952"/>
      <c r="AC82" s="2942">
        <f t="shared" si="10"/>
        <v>0</v>
      </c>
      <c r="AD82" s="2962"/>
      <c r="AE82" s="2962"/>
      <c r="AF82" s="2962"/>
      <c r="AG82" s="2962"/>
      <c r="AH82" s="2962"/>
      <c r="AI82" s="2962"/>
      <c r="AJ82" s="2962"/>
      <c r="AK82" s="2962"/>
      <c r="AL82" s="2962"/>
      <c r="AM82" s="2962"/>
      <c r="AN82" s="2962"/>
      <c r="AO82" s="2962"/>
      <c r="AP82" s="2962"/>
      <c r="AQ82" s="2962"/>
      <c r="AR82" s="2962"/>
      <c r="AS82" s="2962"/>
      <c r="AT82" s="2972"/>
      <c r="AU82" s="2973"/>
      <c r="AV82" s="1120">
        <f t="shared" si="11"/>
        <v>0</v>
      </c>
      <c r="AW82" s="1120">
        <f t="shared" si="12"/>
        <v>0</v>
      </c>
      <c r="AX82" s="1120">
        <f t="shared" si="13"/>
        <v>0</v>
      </c>
      <c r="AY82" s="2987">
        <f t="shared" si="14"/>
        <v>0</v>
      </c>
      <c r="AZ82" s="2942">
        <f t="shared" si="15"/>
        <v>0</v>
      </c>
      <c r="BA82" s="2942">
        <f t="shared" si="16"/>
        <v>0</v>
      </c>
      <c r="BB82" s="2942">
        <f t="shared" si="17"/>
        <v>0</v>
      </c>
      <c r="BC82" s="2942">
        <f t="shared" si="18"/>
        <v>0</v>
      </c>
      <c r="BD82" s="2942">
        <f t="shared" si="19"/>
        <v>0</v>
      </c>
      <c r="BE82" s="2942">
        <f t="shared" si="20"/>
        <v>0</v>
      </c>
      <c r="BF82" s="2942">
        <f t="shared" si="21"/>
        <v>0</v>
      </c>
      <c r="BG82" s="2942">
        <f t="shared" si="22"/>
        <v>0</v>
      </c>
      <c r="BH82" s="2942">
        <f t="shared" si="23"/>
        <v>0</v>
      </c>
      <c r="BI82" s="2942">
        <f t="shared" si="24"/>
        <v>0</v>
      </c>
      <c r="BJ82" s="2942">
        <f t="shared" si="25"/>
        <v>0</v>
      </c>
      <c r="BK82" s="2942">
        <f t="shared" si="26"/>
        <v>0</v>
      </c>
      <c r="BL82" s="2942">
        <f t="shared" si="27"/>
        <v>0</v>
      </c>
      <c r="BM82" s="2942">
        <f t="shared" si="28"/>
        <v>0</v>
      </c>
      <c r="BN82" s="2942">
        <f t="shared" si="29"/>
        <v>0</v>
      </c>
      <c r="BO82" s="2942">
        <f t="shared" si="30"/>
        <v>0</v>
      </c>
      <c r="BP82" s="2942">
        <f t="shared" si="31"/>
        <v>0</v>
      </c>
      <c r="BQ82" s="2942">
        <f t="shared" si="32"/>
        <v>0</v>
      </c>
      <c r="BR82" s="2942">
        <f t="shared" si="33"/>
        <v>0</v>
      </c>
      <c r="BS82" s="2942">
        <f t="shared" si="34"/>
        <v>0</v>
      </c>
      <c r="BT82" s="2994">
        <f t="shared" si="35"/>
        <v>0</v>
      </c>
    </row>
    <row r="83" spans="1:72">
      <c r="A83" s="2939"/>
      <c r="B83" s="2940"/>
      <c r="C83" s="2940"/>
      <c r="D83" s="2941"/>
      <c r="E83" s="2942">
        <f t="shared" si="7"/>
        <v>0</v>
      </c>
      <c r="F83" s="2943"/>
      <c r="G83" s="2944">
        <f t="shared" si="8"/>
        <v>0</v>
      </c>
      <c r="H83" s="2945">
        <f t="shared" si="9"/>
        <v>0</v>
      </c>
      <c r="I83" s="2952"/>
      <c r="J83" s="2952"/>
      <c r="K83" s="2952"/>
      <c r="L83" s="2952"/>
      <c r="M83" s="2952"/>
      <c r="N83" s="2952"/>
      <c r="O83" s="2952"/>
      <c r="P83" s="2952"/>
      <c r="Q83" s="2952"/>
      <c r="R83" s="2952"/>
      <c r="S83" s="2952"/>
      <c r="T83" s="2952"/>
      <c r="U83" s="2952"/>
      <c r="V83" s="2952"/>
      <c r="W83" s="2952"/>
      <c r="X83" s="2952"/>
      <c r="Y83" s="2952"/>
      <c r="Z83" s="2952"/>
      <c r="AA83" s="2952"/>
      <c r="AB83" s="2952"/>
      <c r="AC83" s="2942">
        <f t="shared" si="10"/>
        <v>0</v>
      </c>
      <c r="AD83" s="2962"/>
      <c r="AE83" s="2962"/>
      <c r="AF83" s="2962"/>
      <c r="AG83" s="2962"/>
      <c r="AH83" s="2962"/>
      <c r="AI83" s="2962"/>
      <c r="AJ83" s="2962"/>
      <c r="AK83" s="2962"/>
      <c r="AL83" s="2962"/>
      <c r="AM83" s="2962"/>
      <c r="AN83" s="2962"/>
      <c r="AO83" s="2962"/>
      <c r="AP83" s="2962"/>
      <c r="AQ83" s="2962"/>
      <c r="AR83" s="2962"/>
      <c r="AS83" s="2962"/>
      <c r="AT83" s="2972"/>
      <c r="AU83" s="2973"/>
      <c r="AV83" s="1120">
        <f t="shared" si="11"/>
        <v>0</v>
      </c>
      <c r="AW83" s="1120">
        <f t="shared" si="12"/>
        <v>0</v>
      </c>
      <c r="AX83" s="1120">
        <f t="shared" si="13"/>
        <v>0</v>
      </c>
      <c r="AY83" s="2987">
        <f t="shared" si="14"/>
        <v>0</v>
      </c>
      <c r="AZ83" s="2942">
        <f t="shared" si="15"/>
        <v>0</v>
      </c>
      <c r="BA83" s="2942">
        <f t="shared" si="16"/>
        <v>0</v>
      </c>
      <c r="BB83" s="2942">
        <f t="shared" si="17"/>
        <v>0</v>
      </c>
      <c r="BC83" s="2942">
        <f t="shared" si="18"/>
        <v>0</v>
      </c>
      <c r="BD83" s="2942">
        <f t="shared" si="19"/>
        <v>0</v>
      </c>
      <c r="BE83" s="2942">
        <f t="shared" si="20"/>
        <v>0</v>
      </c>
      <c r="BF83" s="2942">
        <f t="shared" si="21"/>
        <v>0</v>
      </c>
      <c r="BG83" s="2942">
        <f t="shared" si="22"/>
        <v>0</v>
      </c>
      <c r="BH83" s="2942">
        <f t="shared" si="23"/>
        <v>0</v>
      </c>
      <c r="BI83" s="2942">
        <f t="shared" si="24"/>
        <v>0</v>
      </c>
      <c r="BJ83" s="2942">
        <f t="shared" si="25"/>
        <v>0</v>
      </c>
      <c r="BK83" s="2942">
        <f t="shared" si="26"/>
        <v>0</v>
      </c>
      <c r="BL83" s="2942">
        <f t="shared" si="27"/>
        <v>0</v>
      </c>
      <c r="BM83" s="2942">
        <f t="shared" si="28"/>
        <v>0</v>
      </c>
      <c r="BN83" s="2942">
        <f t="shared" si="29"/>
        <v>0</v>
      </c>
      <c r="BO83" s="2942">
        <f t="shared" si="30"/>
        <v>0</v>
      </c>
      <c r="BP83" s="2942">
        <f t="shared" si="31"/>
        <v>0</v>
      </c>
      <c r="BQ83" s="2942">
        <f t="shared" si="32"/>
        <v>0</v>
      </c>
      <c r="BR83" s="2942">
        <f t="shared" si="33"/>
        <v>0</v>
      </c>
      <c r="BS83" s="2942">
        <f t="shared" si="34"/>
        <v>0</v>
      </c>
      <c r="BT83" s="2994">
        <f t="shared" si="35"/>
        <v>0</v>
      </c>
    </row>
    <row r="84" spans="1:72">
      <c r="A84" s="2939"/>
      <c r="B84" s="2940"/>
      <c r="C84" s="2940"/>
      <c r="D84" s="2941"/>
      <c r="E84" s="2942">
        <f t="shared" si="7"/>
        <v>0</v>
      </c>
      <c r="F84" s="2943"/>
      <c r="G84" s="2944">
        <f t="shared" si="8"/>
        <v>0</v>
      </c>
      <c r="H84" s="2945">
        <f t="shared" si="9"/>
        <v>0</v>
      </c>
      <c r="I84" s="2952"/>
      <c r="J84" s="2952"/>
      <c r="K84" s="2952"/>
      <c r="L84" s="2952"/>
      <c r="M84" s="2952"/>
      <c r="N84" s="2952"/>
      <c r="O84" s="2952"/>
      <c r="P84" s="2952"/>
      <c r="Q84" s="2952"/>
      <c r="R84" s="2952"/>
      <c r="S84" s="2952"/>
      <c r="T84" s="2952"/>
      <c r="U84" s="2952"/>
      <c r="V84" s="2952"/>
      <c r="W84" s="2952"/>
      <c r="X84" s="2952"/>
      <c r="Y84" s="2952"/>
      <c r="Z84" s="2952"/>
      <c r="AA84" s="2952"/>
      <c r="AB84" s="2952"/>
      <c r="AC84" s="2942">
        <f t="shared" si="10"/>
        <v>0</v>
      </c>
      <c r="AD84" s="2962"/>
      <c r="AE84" s="2962"/>
      <c r="AF84" s="2962"/>
      <c r="AG84" s="2962"/>
      <c r="AH84" s="2962"/>
      <c r="AI84" s="2962"/>
      <c r="AJ84" s="2962"/>
      <c r="AK84" s="2962"/>
      <c r="AL84" s="2962"/>
      <c r="AM84" s="2962"/>
      <c r="AN84" s="2962"/>
      <c r="AO84" s="2962"/>
      <c r="AP84" s="2962"/>
      <c r="AQ84" s="2962"/>
      <c r="AR84" s="2962"/>
      <c r="AS84" s="2962"/>
      <c r="AT84" s="2972"/>
      <c r="AU84" s="2973"/>
      <c r="AV84" s="1120">
        <f t="shared" si="11"/>
        <v>0</v>
      </c>
      <c r="AW84" s="1120">
        <f t="shared" si="12"/>
        <v>0</v>
      </c>
      <c r="AX84" s="1120">
        <f t="shared" si="13"/>
        <v>0</v>
      </c>
      <c r="AY84" s="2987">
        <f t="shared" si="14"/>
        <v>0</v>
      </c>
      <c r="AZ84" s="2942">
        <f t="shared" si="15"/>
        <v>0</v>
      </c>
      <c r="BA84" s="2942">
        <f t="shared" si="16"/>
        <v>0</v>
      </c>
      <c r="BB84" s="2942">
        <f t="shared" si="17"/>
        <v>0</v>
      </c>
      <c r="BC84" s="2942">
        <f t="shared" si="18"/>
        <v>0</v>
      </c>
      <c r="BD84" s="2942">
        <f t="shared" si="19"/>
        <v>0</v>
      </c>
      <c r="BE84" s="2942">
        <f t="shared" si="20"/>
        <v>0</v>
      </c>
      <c r="BF84" s="2942">
        <f t="shared" si="21"/>
        <v>0</v>
      </c>
      <c r="BG84" s="2942">
        <f t="shared" si="22"/>
        <v>0</v>
      </c>
      <c r="BH84" s="2942">
        <f t="shared" si="23"/>
        <v>0</v>
      </c>
      <c r="BI84" s="2942">
        <f t="shared" si="24"/>
        <v>0</v>
      </c>
      <c r="BJ84" s="2942">
        <f t="shared" si="25"/>
        <v>0</v>
      </c>
      <c r="BK84" s="2942">
        <f t="shared" si="26"/>
        <v>0</v>
      </c>
      <c r="BL84" s="2942">
        <f t="shared" si="27"/>
        <v>0</v>
      </c>
      <c r="BM84" s="2942">
        <f t="shared" si="28"/>
        <v>0</v>
      </c>
      <c r="BN84" s="2942">
        <f t="shared" si="29"/>
        <v>0</v>
      </c>
      <c r="BO84" s="2942">
        <f t="shared" si="30"/>
        <v>0</v>
      </c>
      <c r="BP84" s="2942">
        <f t="shared" si="31"/>
        <v>0</v>
      </c>
      <c r="BQ84" s="2942">
        <f t="shared" si="32"/>
        <v>0</v>
      </c>
      <c r="BR84" s="2942">
        <f t="shared" si="33"/>
        <v>0</v>
      </c>
      <c r="BS84" s="2942">
        <f t="shared" si="34"/>
        <v>0</v>
      </c>
      <c r="BT84" s="2994">
        <f t="shared" si="35"/>
        <v>0</v>
      </c>
    </row>
    <row r="85" spans="1:72">
      <c r="A85" s="2939"/>
      <c r="B85" s="2940"/>
      <c r="C85" s="2940"/>
      <c r="D85" s="2941"/>
      <c r="E85" s="2942">
        <f t="shared" si="7"/>
        <v>0</v>
      </c>
      <c r="F85" s="2943"/>
      <c r="G85" s="2944">
        <f t="shared" si="8"/>
        <v>0</v>
      </c>
      <c r="H85" s="2945">
        <f t="shared" si="9"/>
        <v>0</v>
      </c>
      <c r="I85" s="2952"/>
      <c r="J85" s="2952"/>
      <c r="K85" s="2952"/>
      <c r="L85" s="2952"/>
      <c r="M85" s="2952"/>
      <c r="N85" s="2952"/>
      <c r="O85" s="2952"/>
      <c r="P85" s="2952"/>
      <c r="Q85" s="2952"/>
      <c r="R85" s="2952"/>
      <c r="S85" s="2952"/>
      <c r="T85" s="2952"/>
      <c r="U85" s="2952"/>
      <c r="V85" s="2952"/>
      <c r="W85" s="2952"/>
      <c r="X85" s="2952"/>
      <c r="Y85" s="2952"/>
      <c r="Z85" s="2952"/>
      <c r="AA85" s="2952"/>
      <c r="AB85" s="2952"/>
      <c r="AC85" s="2942">
        <f t="shared" si="10"/>
        <v>0</v>
      </c>
      <c r="AD85" s="2962"/>
      <c r="AE85" s="2962"/>
      <c r="AF85" s="2962"/>
      <c r="AG85" s="2962"/>
      <c r="AH85" s="2962"/>
      <c r="AI85" s="2962"/>
      <c r="AJ85" s="2962"/>
      <c r="AK85" s="2962"/>
      <c r="AL85" s="2962"/>
      <c r="AM85" s="2962"/>
      <c r="AN85" s="2962"/>
      <c r="AO85" s="2962"/>
      <c r="AP85" s="2962"/>
      <c r="AQ85" s="2962"/>
      <c r="AR85" s="2962"/>
      <c r="AS85" s="2962"/>
      <c r="AT85" s="2972"/>
      <c r="AU85" s="2973"/>
      <c r="AV85" s="1120">
        <f t="shared" si="11"/>
        <v>0</v>
      </c>
      <c r="AW85" s="1120">
        <f t="shared" si="12"/>
        <v>0</v>
      </c>
      <c r="AX85" s="1120">
        <f t="shared" si="13"/>
        <v>0</v>
      </c>
      <c r="AY85" s="2987">
        <f t="shared" si="14"/>
        <v>0</v>
      </c>
      <c r="AZ85" s="2942">
        <f t="shared" si="15"/>
        <v>0</v>
      </c>
      <c r="BA85" s="2942">
        <f t="shared" si="16"/>
        <v>0</v>
      </c>
      <c r="BB85" s="2942">
        <f t="shared" si="17"/>
        <v>0</v>
      </c>
      <c r="BC85" s="2942">
        <f t="shared" si="18"/>
        <v>0</v>
      </c>
      <c r="BD85" s="2942">
        <f t="shared" si="19"/>
        <v>0</v>
      </c>
      <c r="BE85" s="2942">
        <f t="shared" si="20"/>
        <v>0</v>
      </c>
      <c r="BF85" s="2942">
        <f t="shared" si="21"/>
        <v>0</v>
      </c>
      <c r="BG85" s="2942">
        <f t="shared" si="22"/>
        <v>0</v>
      </c>
      <c r="BH85" s="2942">
        <f t="shared" si="23"/>
        <v>0</v>
      </c>
      <c r="BI85" s="2942">
        <f t="shared" si="24"/>
        <v>0</v>
      </c>
      <c r="BJ85" s="2942">
        <f t="shared" si="25"/>
        <v>0</v>
      </c>
      <c r="BK85" s="2942">
        <f t="shared" si="26"/>
        <v>0</v>
      </c>
      <c r="BL85" s="2942">
        <f t="shared" si="27"/>
        <v>0</v>
      </c>
      <c r="BM85" s="2942">
        <f t="shared" si="28"/>
        <v>0</v>
      </c>
      <c r="BN85" s="2942">
        <f t="shared" si="29"/>
        <v>0</v>
      </c>
      <c r="BO85" s="2942">
        <f t="shared" si="30"/>
        <v>0</v>
      </c>
      <c r="BP85" s="2942">
        <f t="shared" si="31"/>
        <v>0</v>
      </c>
      <c r="BQ85" s="2942">
        <f t="shared" si="32"/>
        <v>0</v>
      </c>
      <c r="BR85" s="2942">
        <f t="shared" si="33"/>
        <v>0</v>
      </c>
      <c r="BS85" s="2942">
        <f t="shared" si="34"/>
        <v>0</v>
      </c>
      <c r="BT85" s="2994">
        <f t="shared" si="35"/>
        <v>0</v>
      </c>
    </row>
    <row r="86" spans="1:72">
      <c r="A86" s="2939"/>
      <c r="B86" s="2940"/>
      <c r="C86" s="2940"/>
      <c r="D86" s="2941"/>
      <c r="E86" s="2942">
        <f t="shared" si="7"/>
        <v>0</v>
      </c>
      <c r="F86" s="2943"/>
      <c r="G86" s="2944">
        <f t="shared" si="8"/>
        <v>0</v>
      </c>
      <c r="H86" s="2945">
        <f t="shared" si="9"/>
        <v>0</v>
      </c>
      <c r="I86" s="2952"/>
      <c r="J86" s="2952"/>
      <c r="K86" s="2952"/>
      <c r="L86" s="2952"/>
      <c r="M86" s="2952"/>
      <c r="N86" s="2952"/>
      <c r="O86" s="2952"/>
      <c r="P86" s="2952"/>
      <c r="Q86" s="2952"/>
      <c r="R86" s="2952"/>
      <c r="S86" s="2952"/>
      <c r="T86" s="2952"/>
      <c r="U86" s="2952"/>
      <c r="V86" s="2952"/>
      <c r="W86" s="2952"/>
      <c r="X86" s="2952"/>
      <c r="Y86" s="2952"/>
      <c r="Z86" s="2952"/>
      <c r="AA86" s="2952"/>
      <c r="AB86" s="2952"/>
      <c r="AC86" s="2942">
        <f t="shared" si="10"/>
        <v>0</v>
      </c>
      <c r="AD86" s="2962"/>
      <c r="AE86" s="2962"/>
      <c r="AF86" s="2962"/>
      <c r="AG86" s="2962"/>
      <c r="AH86" s="2962"/>
      <c r="AI86" s="2962"/>
      <c r="AJ86" s="2962"/>
      <c r="AK86" s="2962"/>
      <c r="AL86" s="2962"/>
      <c r="AM86" s="2962"/>
      <c r="AN86" s="2962"/>
      <c r="AO86" s="2962"/>
      <c r="AP86" s="2962"/>
      <c r="AQ86" s="2962"/>
      <c r="AR86" s="2962"/>
      <c r="AS86" s="2962"/>
      <c r="AT86" s="2972"/>
      <c r="AU86" s="2973"/>
      <c r="AV86" s="1120">
        <f t="shared" si="11"/>
        <v>0</v>
      </c>
      <c r="AW86" s="1120">
        <f t="shared" si="12"/>
        <v>0</v>
      </c>
      <c r="AX86" s="1120">
        <f t="shared" si="13"/>
        <v>0</v>
      </c>
      <c r="AY86" s="2987">
        <f t="shared" si="14"/>
        <v>0</v>
      </c>
      <c r="AZ86" s="2942">
        <f t="shared" si="15"/>
        <v>0</v>
      </c>
      <c r="BA86" s="2942">
        <f t="shared" si="16"/>
        <v>0</v>
      </c>
      <c r="BB86" s="2942">
        <f t="shared" si="17"/>
        <v>0</v>
      </c>
      <c r="BC86" s="2942">
        <f t="shared" si="18"/>
        <v>0</v>
      </c>
      <c r="BD86" s="2942">
        <f t="shared" si="19"/>
        <v>0</v>
      </c>
      <c r="BE86" s="2942">
        <f t="shared" si="20"/>
        <v>0</v>
      </c>
      <c r="BF86" s="2942">
        <f t="shared" si="21"/>
        <v>0</v>
      </c>
      <c r="BG86" s="2942">
        <f t="shared" si="22"/>
        <v>0</v>
      </c>
      <c r="BH86" s="2942">
        <f t="shared" si="23"/>
        <v>0</v>
      </c>
      <c r="BI86" s="2942">
        <f t="shared" si="24"/>
        <v>0</v>
      </c>
      <c r="BJ86" s="2942">
        <f t="shared" si="25"/>
        <v>0</v>
      </c>
      <c r="BK86" s="2942">
        <f t="shared" si="26"/>
        <v>0</v>
      </c>
      <c r="BL86" s="2942">
        <f t="shared" si="27"/>
        <v>0</v>
      </c>
      <c r="BM86" s="2942">
        <f t="shared" si="28"/>
        <v>0</v>
      </c>
      <c r="BN86" s="2942">
        <f t="shared" si="29"/>
        <v>0</v>
      </c>
      <c r="BO86" s="2942">
        <f t="shared" si="30"/>
        <v>0</v>
      </c>
      <c r="BP86" s="2942">
        <f t="shared" si="31"/>
        <v>0</v>
      </c>
      <c r="BQ86" s="2942">
        <f t="shared" si="32"/>
        <v>0</v>
      </c>
      <c r="BR86" s="2942">
        <f t="shared" si="33"/>
        <v>0</v>
      </c>
      <c r="BS86" s="2942">
        <f t="shared" si="34"/>
        <v>0</v>
      </c>
      <c r="BT86" s="2994">
        <f t="shared" si="35"/>
        <v>0</v>
      </c>
    </row>
    <row r="87" spans="1:72">
      <c r="A87" s="2939"/>
      <c r="B87" s="2940"/>
      <c r="C87" s="2940"/>
      <c r="D87" s="2941"/>
      <c r="E87" s="2942">
        <f t="shared" si="7"/>
        <v>0</v>
      </c>
      <c r="F87" s="2943"/>
      <c r="G87" s="2944">
        <f t="shared" si="8"/>
        <v>0</v>
      </c>
      <c r="H87" s="2945">
        <f t="shared" si="9"/>
        <v>0</v>
      </c>
      <c r="I87" s="2952"/>
      <c r="J87" s="2952"/>
      <c r="K87" s="2952"/>
      <c r="L87" s="2952"/>
      <c r="M87" s="2952"/>
      <c r="N87" s="2952"/>
      <c r="O87" s="2952"/>
      <c r="P87" s="2952"/>
      <c r="Q87" s="2952"/>
      <c r="R87" s="2952"/>
      <c r="S87" s="2952"/>
      <c r="T87" s="2952"/>
      <c r="U87" s="2952"/>
      <c r="V87" s="2952"/>
      <c r="W87" s="2952"/>
      <c r="X87" s="2952"/>
      <c r="Y87" s="2952"/>
      <c r="Z87" s="2952"/>
      <c r="AA87" s="2952"/>
      <c r="AB87" s="2952"/>
      <c r="AC87" s="2942">
        <f t="shared" si="10"/>
        <v>0</v>
      </c>
      <c r="AD87" s="2962"/>
      <c r="AE87" s="2962"/>
      <c r="AF87" s="2962"/>
      <c r="AG87" s="2962"/>
      <c r="AH87" s="2962"/>
      <c r="AI87" s="2962"/>
      <c r="AJ87" s="2962"/>
      <c r="AK87" s="2962"/>
      <c r="AL87" s="2962"/>
      <c r="AM87" s="2962"/>
      <c r="AN87" s="2962"/>
      <c r="AO87" s="2962"/>
      <c r="AP87" s="2962"/>
      <c r="AQ87" s="2962"/>
      <c r="AR87" s="2962"/>
      <c r="AS87" s="2962"/>
      <c r="AT87" s="2972"/>
      <c r="AU87" s="2973"/>
      <c r="AV87" s="1120">
        <f t="shared" si="11"/>
        <v>0</v>
      </c>
      <c r="AW87" s="1120">
        <f t="shared" si="12"/>
        <v>0</v>
      </c>
      <c r="AX87" s="1120">
        <f t="shared" si="13"/>
        <v>0</v>
      </c>
      <c r="AY87" s="2987">
        <f t="shared" si="14"/>
        <v>0</v>
      </c>
      <c r="AZ87" s="2942">
        <f t="shared" si="15"/>
        <v>0</v>
      </c>
      <c r="BA87" s="2942">
        <f t="shared" si="16"/>
        <v>0</v>
      </c>
      <c r="BB87" s="2942">
        <f t="shared" si="17"/>
        <v>0</v>
      </c>
      <c r="BC87" s="2942">
        <f t="shared" si="18"/>
        <v>0</v>
      </c>
      <c r="BD87" s="2942">
        <f t="shared" si="19"/>
        <v>0</v>
      </c>
      <c r="BE87" s="2942">
        <f t="shared" si="20"/>
        <v>0</v>
      </c>
      <c r="BF87" s="2942">
        <f t="shared" si="21"/>
        <v>0</v>
      </c>
      <c r="BG87" s="2942">
        <f t="shared" si="22"/>
        <v>0</v>
      </c>
      <c r="BH87" s="2942">
        <f t="shared" si="23"/>
        <v>0</v>
      </c>
      <c r="BI87" s="2942">
        <f t="shared" si="24"/>
        <v>0</v>
      </c>
      <c r="BJ87" s="2942">
        <f t="shared" si="25"/>
        <v>0</v>
      </c>
      <c r="BK87" s="2942">
        <f t="shared" si="26"/>
        <v>0</v>
      </c>
      <c r="BL87" s="2942">
        <f t="shared" si="27"/>
        <v>0</v>
      </c>
      <c r="BM87" s="2942">
        <f t="shared" si="28"/>
        <v>0</v>
      </c>
      <c r="BN87" s="2942">
        <f t="shared" si="29"/>
        <v>0</v>
      </c>
      <c r="BO87" s="2942">
        <f t="shared" si="30"/>
        <v>0</v>
      </c>
      <c r="BP87" s="2942">
        <f t="shared" si="31"/>
        <v>0</v>
      </c>
      <c r="BQ87" s="2942">
        <f t="shared" si="32"/>
        <v>0</v>
      </c>
      <c r="BR87" s="2942">
        <f t="shared" si="33"/>
        <v>0</v>
      </c>
      <c r="BS87" s="2942">
        <f t="shared" si="34"/>
        <v>0</v>
      </c>
      <c r="BT87" s="2994">
        <f t="shared" si="35"/>
        <v>0</v>
      </c>
    </row>
    <row r="88" spans="1:72">
      <c r="A88" s="2939"/>
      <c r="B88" s="2940"/>
      <c r="C88" s="2940"/>
      <c r="D88" s="2941"/>
      <c r="E88" s="2942">
        <f t="shared" si="7"/>
        <v>0</v>
      </c>
      <c r="F88" s="2943"/>
      <c r="G88" s="2944">
        <f t="shared" si="8"/>
        <v>0</v>
      </c>
      <c r="H88" s="2945">
        <f t="shared" si="9"/>
        <v>0</v>
      </c>
      <c r="I88" s="2952"/>
      <c r="J88" s="2952"/>
      <c r="K88" s="2952"/>
      <c r="L88" s="2952"/>
      <c r="M88" s="2952"/>
      <c r="N88" s="2952"/>
      <c r="O88" s="2952"/>
      <c r="P88" s="2952"/>
      <c r="Q88" s="2952"/>
      <c r="R88" s="2952"/>
      <c r="S88" s="2952"/>
      <c r="T88" s="2952"/>
      <c r="U88" s="2952"/>
      <c r="V88" s="2952"/>
      <c r="W88" s="2952"/>
      <c r="X88" s="2952"/>
      <c r="Y88" s="2952"/>
      <c r="Z88" s="2952"/>
      <c r="AA88" s="2952"/>
      <c r="AB88" s="2952"/>
      <c r="AC88" s="2942">
        <f t="shared" si="10"/>
        <v>0</v>
      </c>
      <c r="AD88" s="2962"/>
      <c r="AE88" s="2962"/>
      <c r="AF88" s="2962"/>
      <c r="AG88" s="2962"/>
      <c r="AH88" s="2962"/>
      <c r="AI88" s="2962"/>
      <c r="AJ88" s="2962"/>
      <c r="AK88" s="2962"/>
      <c r="AL88" s="2962"/>
      <c r="AM88" s="2962"/>
      <c r="AN88" s="2962"/>
      <c r="AO88" s="2962"/>
      <c r="AP88" s="2962"/>
      <c r="AQ88" s="2962"/>
      <c r="AR88" s="2962"/>
      <c r="AS88" s="2962"/>
      <c r="AT88" s="2972"/>
      <c r="AU88" s="2973"/>
      <c r="AV88" s="1120">
        <f t="shared" si="11"/>
        <v>0</v>
      </c>
      <c r="AW88" s="1120">
        <f t="shared" si="12"/>
        <v>0</v>
      </c>
      <c r="AX88" s="1120">
        <f t="shared" si="13"/>
        <v>0</v>
      </c>
      <c r="AY88" s="2987">
        <f t="shared" si="14"/>
        <v>0</v>
      </c>
      <c r="AZ88" s="2942">
        <f t="shared" si="15"/>
        <v>0</v>
      </c>
      <c r="BA88" s="2942">
        <f t="shared" si="16"/>
        <v>0</v>
      </c>
      <c r="BB88" s="2942">
        <f t="shared" si="17"/>
        <v>0</v>
      </c>
      <c r="BC88" s="2942">
        <f t="shared" si="18"/>
        <v>0</v>
      </c>
      <c r="BD88" s="2942">
        <f t="shared" si="19"/>
        <v>0</v>
      </c>
      <c r="BE88" s="2942">
        <f t="shared" si="20"/>
        <v>0</v>
      </c>
      <c r="BF88" s="2942">
        <f t="shared" si="21"/>
        <v>0</v>
      </c>
      <c r="BG88" s="2942">
        <f t="shared" si="22"/>
        <v>0</v>
      </c>
      <c r="BH88" s="2942">
        <f t="shared" si="23"/>
        <v>0</v>
      </c>
      <c r="BI88" s="2942">
        <f t="shared" si="24"/>
        <v>0</v>
      </c>
      <c r="BJ88" s="2942">
        <f t="shared" si="25"/>
        <v>0</v>
      </c>
      <c r="BK88" s="2942">
        <f t="shared" si="26"/>
        <v>0</v>
      </c>
      <c r="BL88" s="2942">
        <f t="shared" si="27"/>
        <v>0</v>
      </c>
      <c r="BM88" s="2942">
        <f t="shared" si="28"/>
        <v>0</v>
      </c>
      <c r="BN88" s="2942">
        <f t="shared" si="29"/>
        <v>0</v>
      </c>
      <c r="BO88" s="2942">
        <f t="shared" si="30"/>
        <v>0</v>
      </c>
      <c r="BP88" s="2942">
        <f t="shared" si="31"/>
        <v>0</v>
      </c>
      <c r="BQ88" s="2942">
        <f t="shared" si="32"/>
        <v>0</v>
      </c>
      <c r="BR88" s="2942">
        <f t="shared" si="33"/>
        <v>0</v>
      </c>
      <c r="BS88" s="2942">
        <f t="shared" si="34"/>
        <v>0</v>
      </c>
      <c r="BT88" s="2994">
        <f t="shared" si="35"/>
        <v>0</v>
      </c>
    </row>
    <row r="89" spans="1:72">
      <c r="A89" s="2939"/>
      <c r="B89" s="2940"/>
      <c r="C89" s="2940"/>
      <c r="D89" s="2941"/>
      <c r="E89" s="2942">
        <f t="shared" si="7"/>
        <v>0</v>
      </c>
      <c r="F89" s="2943"/>
      <c r="G89" s="2944">
        <f t="shared" si="8"/>
        <v>0</v>
      </c>
      <c r="H89" s="2945">
        <f t="shared" si="9"/>
        <v>0</v>
      </c>
      <c r="I89" s="2952"/>
      <c r="J89" s="2952"/>
      <c r="K89" s="2952"/>
      <c r="L89" s="2952"/>
      <c r="M89" s="2952"/>
      <c r="N89" s="2952"/>
      <c r="O89" s="2952"/>
      <c r="P89" s="2952"/>
      <c r="Q89" s="2952"/>
      <c r="R89" s="2952"/>
      <c r="S89" s="2952"/>
      <c r="T89" s="2952"/>
      <c r="U89" s="2952"/>
      <c r="V89" s="2952"/>
      <c r="W89" s="2952"/>
      <c r="X89" s="2952"/>
      <c r="Y89" s="2952"/>
      <c r="Z89" s="2952"/>
      <c r="AA89" s="2952"/>
      <c r="AB89" s="2952"/>
      <c r="AC89" s="2942">
        <f t="shared" si="10"/>
        <v>0</v>
      </c>
      <c r="AD89" s="2962"/>
      <c r="AE89" s="2962"/>
      <c r="AF89" s="2962"/>
      <c r="AG89" s="2962"/>
      <c r="AH89" s="2962"/>
      <c r="AI89" s="2962"/>
      <c r="AJ89" s="2962"/>
      <c r="AK89" s="2962"/>
      <c r="AL89" s="2962"/>
      <c r="AM89" s="2962"/>
      <c r="AN89" s="2962"/>
      <c r="AO89" s="2962"/>
      <c r="AP89" s="2962"/>
      <c r="AQ89" s="2962"/>
      <c r="AR89" s="2962"/>
      <c r="AS89" s="2962"/>
      <c r="AT89" s="2972"/>
      <c r="AU89" s="2973"/>
      <c r="AV89" s="1120">
        <f t="shared" si="11"/>
        <v>0</v>
      </c>
      <c r="AW89" s="1120">
        <f t="shared" si="12"/>
        <v>0</v>
      </c>
      <c r="AX89" s="1120">
        <f t="shared" si="13"/>
        <v>0</v>
      </c>
      <c r="AY89" s="2987">
        <f t="shared" si="14"/>
        <v>0</v>
      </c>
      <c r="AZ89" s="2942">
        <f t="shared" si="15"/>
        <v>0</v>
      </c>
      <c r="BA89" s="2942">
        <f t="shared" si="16"/>
        <v>0</v>
      </c>
      <c r="BB89" s="2942">
        <f t="shared" si="17"/>
        <v>0</v>
      </c>
      <c r="BC89" s="2942">
        <f t="shared" si="18"/>
        <v>0</v>
      </c>
      <c r="BD89" s="2942">
        <f t="shared" si="19"/>
        <v>0</v>
      </c>
      <c r="BE89" s="2942">
        <f t="shared" si="20"/>
        <v>0</v>
      </c>
      <c r="BF89" s="2942">
        <f t="shared" si="21"/>
        <v>0</v>
      </c>
      <c r="BG89" s="2942">
        <f t="shared" si="22"/>
        <v>0</v>
      </c>
      <c r="BH89" s="2942">
        <f t="shared" si="23"/>
        <v>0</v>
      </c>
      <c r="BI89" s="2942">
        <f t="shared" si="24"/>
        <v>0</v>
      </c>
      <c r="BJ89" s="2942">
        <f t="shared" si="25"/>
        <v>0</v>
      </c>
      <c r="BK89" s="2942">
        <f t="shared" si="26"/>
        <v>0</v>
      </c>
      <c r="BL89" s="2942">
        <f t="shared" si="27"/>
        <v>0</v>
      </c>
      <c r="BM89" s="2942">
        <f t="shared" si="28"/>
        <v>0</v>
      </c>
      <c r="BN89" s="2942">
        <f t="shared" si="29"/>
        <v>0</v>
      </c>
      <c r="BO89" s="2942">
        <f t="shared" si="30"/>
        <v>0</v>
      </c>
      <c r="BP89" s="2942">
        <f t="shared" si="31"/>
        <v>0</v>
      </c>
      <c r="BQ89" s="2942">
        <f t="shared" si="32"/>
        <v>0</v>
      </c>
      <c r="BR89" s="2942">
        <f t="shared" si="33"/>
        <v>0</v>
      </c>
      <c r="BS89" s="2942">
        <f t="shared" si="34"/>
        <v>0</v>
      </c>
      <c r="BT89" s="2994">
        <f t="shared" si="35"/>
        <v>0</v>
      </c>
    </row>
    <row r="90" spans="1:72">
      <c r="A90" s="2939"/>
      <c r="B90" s="2940"/>
      <c r="C90" s="2940"/>
      <c r="D90" s="2941"/>
      <c r="E90" s="2942">
        <f t="shared" si="7"/>
        <v>0</v>
      </c>
      <c r="F90" s="2943"/>
      <c r="G90" s="2944">
        <f t="shared" si="8"/>
        <v>0</v>
      </c>
      <c r="H90" s="2945">
        <f t="shared" si="9"/>
        <v>0</v>
      </c>
      <c r="I90" s="2952"/>
      <c r="J90" s="2952"/>
      <c r="K90" s="2952"/>
      <c r="L90" s="2952"/>
      <c r="M90" s="2952"/>
      <c r="N90" s="2952"/>
      <c r="O90" s="2952"/>
      <c r="P90" s="2952"/>
      <c r="Q90" s="2952"/>
      <c r="R90" s="2952"/>
      <c r="S90" s="2952"/>
      <c r="T90" s="2952"/>
      <c r="U90" s="2952"/>
      <c r="V90" s="2952"/>
      <c r="W90" s="2952"/>
      <c r="X90" s="2952"/>
      <c r="Y90" s="2952"/>
      <c r="Z90" s="2952"/>
      <c r="AA90" s="2952"/>
      <c r="AB90" s="2952"/>
      <c r="AC90" s="2942">
        <f t="shared" si="10"/>
        <v>0</v>
      </c>
      <c r="AD90" s="2962"/>
      <c r="AE90" s="2962"/>
      <c r="AF90" s="2962"/>
      <c r="AG90" s="2962"/>
      <c r="AH90" s="2962"/>
      <c r="AI90" s="2962"/>
      <c r="AJ90" s="2962"/>
      <c r="AK90" s="2962"/>
      <c r="AL90" s="2962"/>
      <c r="AM90" s="2962"/>
      <c r="AN90" s="2962"/>
      <c r="AO90" s="2962"/>
      <c r="AP90" s="2962"/>
      <c r="AQ90" s="2962"/>
      <c r="AR90" s="2962"/>
      <c r="AS90" s="2962"/>
      <c r="AT90" s="2972"/>
      <c r="AU90" s="2973"/>
      <c r="AV90" s="1120">
        <f t="shared" si="11"/>
        <v>0</v>
      </c>
      <c r="AW90" s="1120">
        <f t="shared" si="12"/>
        <v>0</v>
      </c>
      <c r="AX90" s="1120">
        <f t="shared" si="13"/>
        <v>0</v>
      </c>
      <c r="AY90" s="2987">
        <f t="shared" si="14"/>
        <v>0</v>
      </c>
      <c r="AZ90" s="2942">
        <f t="shared" si="15"/>
        <v>0</v>
      </c>
      <c r="BA90" s="2942">
        <f t="shared" si="16"/>
        <v>0</v>
      </c>
      <c r="BB90" s="2942">
        <f t="shared" si="17"/>
        <v>0</v>
      </c>
      <c r="BC90" s="2942">
        <f t="shared" si="18"/>
        <v>0</v>
      </c>
      <c r="BD90" s="2942">
        <f t="shared" si="19"/>
        <v>0</v>
      </c>
      <c r="BE90" s="2942">
        <f t="shared" si="20"/>
        <v>0</v>
      </c>
      <c r="BF90" s="2942">
        <f t="shared" si="21"/>
        <v>0</v>
      </c>
      <c r="BG90" s="2942">
        <f t="shared" si="22"/>
        <v>0</v>
      </c>
      <c r="BH90" s="2942">
        <f t="shared" si="23"/>
        <v>0</v>
      </c>
      <c r="BI90" s="2942">
        <f t="shared" si="24"/>
        <v>0</v>
      </c>
      <c r="BJ90" s="2942">
        <f t="shared" si="25"/>
        <v>0</v>
      </c>
      <c r="BK90" s="2942">
        <f t="shared" si="26"/>
        <v>0</v>
      </c>
      <c r="BL90" s="2942">
        <f t="shared" si="27"/>
        <v>0</v>
      </c>
      <c r="BM90" s="2942">
        <f t="shared" si="28"/>
        <v>0</v>
      </c>
      <c r="BN90" s="2942">
        <f t="shared" si="29"/>
        <v>0</v>
      </c>
      <c r="BO90" s="2942">
        <f t="shared" si="30"/>
        <v>0</v>
      </c>
      <c r="BP90" s="2942">
        <f t="shared" si="31"/>
        <v>0</v>
      </c>
      <c r="BQ90" s="2942">
        <f t="shared" si="32"/>
        <v>0</v>
      </c>
      <c r="BR90" s="2942">
        <f t="shared" si="33"/>
        <v>0</v>
      </c>
      <c r="BS90" s="2942">
        <f t="shared" si="34"/>
        <v>0</v>
      </c>
      <c r="BT90" s="2994">
        <f t="shared" si="35"/>
        <v>0</v>
      </c>
    </row>
    <row r="91" spans="1:72">
      <c r="A91" s="2939"/>
      <c r="B91" s="2940"/>
      <c r="C91" s="2940"/>
      <c r="D91" s="2941"/>
      <c r="E91" s="2942">
        <f t="shared" si="7"/>
        <v>0</v>
      </c>
      <c r="F91" s="2943"/>
      <c r="G91" s="2944">
        <f t="shared" si="8"/>
        <v>0</v>
      </c>
      <c r="H91" s="2945">
        <f t="shared" si="9"/>
        <v>0</v>
      </c>
      <c r="I91" s="2952"/>
      <c r="J91" s="2952"/>
      <c r="K91" s="2952"/>
      <c r="L91" s="2952"/>
      <c r="M91" s="2952"/>
      <c r="N91" s="2952"/>
      <c r="O91" s="2952"/>
      <c r="P91" s="2952"/>
      <c r="Q91" s="2952"/>
      <c r="R91" s="2952"/>
      <c r="S91" s="2952"/>
      <c r="T91" s="2952"/>
      <c r="U91" s="2952"/>
      <c r="V91" s="2952"/>
      <c r="W91" s="2952"/>
      <c r="X91" s="2952"/>
      <c r="Y91" s="2952"/>
      <c r="Z91" s="2952"/>
      <c r="AA91" s="2952"/>
      <c r="AB91" s="2952"/>
      <c r="AC91" s="2942">
        <f t="shared" si="10"/>
        <v>0</v>
      </c>
      <c r="AD91" s="2962"/>
      <c r="AE91" s="2962"/>
      <c r="AF91" s="2962"/>
      <c r="AG91" s="2962"/>
      <c r="AH91" s="2962"/>
      <c r="AI91" s="2962"/>
      <c r="AJ91" s="2962"/>
      <c r="AK91" s="2962"/>
      <c r="AL91" s="2962"/>
      <c r="AM91" s="2962"/>
      <c r="AN91" s="2962"/>
      <c r="AO91" s="2962"/>
      <c r="AP91" s="2962"/>
      <c r="AQ91" s="2962"/>
      <c r="AR91" s="2962"/>
      <c r="AS91" s="2962"/>
      <c r="AT91" s="2972"/>
      <c r="AU91" s="2973"/>
      <c r="AV91" s="1120">
        <f t="shared" si="11"/>
        <v>0</v>
      </c>
      <c r="AW91" s="1120">
        <f t="shared" si="12"/>
        <v>0</v>
      </c>
      <c r="AX91" s="1120">
        <f t="shared" si="13"/>
        <v>0</v>
      </c>
      <c r="AY91" s="2987">
        <f t="shared" si="14"/>
        <v>0</v>
      </c>
      <c r="AZ91" s="2942">
        <f t="shared" si="15"/>
        <v>0</v>
      </c>
      <c r="BA91" s="2942">
        <f t="shared" si="16"/>
        <v>0</v>
      </c>
      <c r="BB91" s="2942">
        <f t="shared" si="17"/>
        <v>0</v>
      </c>
      <c r="BC91" s="2942">
        <f t="shared" si="18"/>
        <v>0</v>
      </c>
      <c r="BD91" s="2942">
        <f t="shared" si="19"/>
        <v>0</v>
      </c>
      <c r="BE91" s="2942">
        <f t="shared" si="20"/>
        <v>0</v>
      </c>
      <c r="BF91" s="2942">
        <f t="shared" si="21"/>
        <v>0</v>
      </c>
      <c r="BG91" s="2942">
        <f t="shared" si="22"/>
        <v>0</v>
      </c>
      <c r="BH91" s="2942">
        <f t="shared" si="23"/>
        <v>0</v>
      </c>
      <c r="BI91" s="2942">
        <f t="shared" si="24"/>
        <v>0</v>
      </c>
      <c r="BJ91" s="2942">
        <f t="shared" si="25"/>
        <v>0</v>
      </c>
      <c r="BK91" s="2942">
        <f t="shared" si="26"/>
        <v>0</v>
      </c>
      <c r="BL91" s="2942">
        <f t="shared" si="27"/>
        <v>0</v>
      </c>
      <c r="BM91" s="2942">
        <f t="shared" si="28"/>
        <v>0</v>
      </c>
      <c r="BN91" s="2942">
        <f t="shared" si="29"/>
        <v>0</v>
      </c>
      <c r="BO91" s="2942">
        <f t="shared" si="30"/>
        <v>0</v>
      </c>
      <c r="BP91" s="2942">
        <f t="shared" si="31"/>
        <v>0</v>
      </c>
      <c r="BQ91" s="2942">
        <f t="shared" si="32"/>
        <v>0</v>
      </c>
      <c r="BR91" s="2942">
        <f t="shared" si="33"/>
        <v>0</v>
      </c>
      <c r="BS91" s="2942">
        <f t="shared" si="34"/>
        <v>0</v>
      </c>
      <c r="BT91" s="2994">
        <f t="shared" si="35"/>
        <v>0</v>
      </c>
    </row>
    <row r="92" spans="1:72">
      <c r="A92" s="2939"/>
      <c r="B92" s="2940"/>
      <c r="C92" s="2940"/>
      <c r="D92" s="2941"/>
      <c r="E92" s="2942">
        <f t="shared" si="7"/>
        <v>0</v>
      </c>
      <c r="F92" s="2943"/>
      <c r="G92" s="2944">
        <f t="shared" si="8"/>
        <v>0</v>
      </c>
      <c r="H92" s="2945">
        <f t="shared" si="9"/>
        <v>0</v>
      </c>
      <c r="I92" s="2952"/>
      <c r="J92" s="2952"/>
      <c r="K92" s="2952"/>
      <c r="L92" s="2952"/>
      <c r="M92" s="2952"/>
      <c r="N92" s="2952"/>
      <c r="O92" s="2952"/>
      <c r="P92" s="2952"/>
      <c r="Q92" s="2952"/>
      <c r="R92" s="2952"/>
      <c r="S92" s="2952"/>
      <c r="T92" s="2952"/>
      <c r="U92" s="2952"/>
      <c r="V92" s="2952"/>
      <c r="W92" s="2952"/>
      <c r="X92" s="2952"/>
      <c r="Y92" s="2952"/>
      <c r="Z92" s="2952"/>
      <c r="AA92" s="2952"/>
      <c r="AB92" s="2952"/>
      <c r="AC92" s="2942">
        <f t="shared" si="10"/>
        <v>0</v>
      </c>
      <c r="AD92" s="2962"/>
      <c r="AE92" s="2962"/>
      <c r="AF92" s="2962"/>
      <c r="AG92" s="2962"/>
      <c r="AH92" s="2962"/>
      <c r="AI92" s="2962"/>
      <c r="AJ92" s="2962"/>
      <c r="AK92" s="2962"/>
      <c r="AL92" s="2962"/>
      <c r="AM92" s="2962"/>
      <c r="AN92" s="2962"/>
      <c r="AO92" s="2962"/>
      <c r="AP92" s="2962"/>
      <c r="AQ92" s="2962"/>
      <c r="AR92" s="2962"/>
      <c r="AS92" s="2962"/>
      <c r="AT92" s="2972"/>
      <c r="AU92" s="2973"/>
      <c r="AV92" s="1120">
        <f t="shared" si="11"/>
        <v>0</v>
      </c>
      <c r="AW92" s="1120">
        <f t="shared" si="12"/>
        <v>0</v>
      </c>
      <c r="AX92" s="1120">
        <f t="shared" si="13"/>
        <v>0</v>
      </c>
      <c r="AY92" s="2987">
        <f t="shared" si="14"/>
        <v>0</v>
      </c>
      <c r="AZ92" s="2942">
        <f t="shared" si="15"/>
        <v>0</v>
      </c>
      <c r="BA92" s="2942">
        <f t="shared" si="16"/>
        <v>0</v>
      </c>
      <c r="BB92" s="2942">
        <f t="shared" si="17"/>
        <v>0</v>
      </c>
      <c r="BC92" s="2942">
        <f t="shared" si="18"/>
        <v>0</v>
      </c>
      <c r="BD92" s="2942">
        <f t="shared" si="19"/>
        <v>0</v>
      </c>
      <c r="BE92" s="2942">
        <f t="shared" si="20"/>
        <v>0</v>
      </c>
      <c r="BF92" s="2942">
        <f t="shared" si="21"/>
        <v>0</v>
      </c>
      <c r="BG92" s="2942">
        <f t="shared" si="22"/>
        <v>0</v>
      </c>
      <c r="BH92" s="2942">
        <f t="shared" si="23"/>
        <v>0</v>
      </c>
      <c r="BI92" s="2942">
        <f t="shared" si="24"/>
        <v>0</v>
      </c>
      <c r="BJ92" s="2942">
        <f t="shared" si="25"/>
        <v>0</v>
      </c>
      <c r="BK92" s="2942">
        <f t="shared" si="26"/>
        <v>0</v>
      </c>
      <c r="BL92" s="2942">
        <f t="shared" si="27"/>
        <v>0</v>
      </c>
      <c r="BM92" s="2942">
        <f t="shared" si="28"/>
        <v>0</v>
      </c>
      <c r="BN92" s="2942">
        <f t="shared" si="29"/>
        <v>0</v>
      </c>
      <c r="BO92" s="2942">
        <f t="shared" si="30"/>
        <v>0</v>
      </c>
      <c r="BP92" s="2942">
        <f t="shared" si="31"/>
        <v>0</v>
      </c>
      <c r="BQ92" s="2942">
        <f t="shared" si="32"/>
        <v>0</v>
      </c>
      <c r="BR92" s="2942">
        <f t="shared" si="33"/>
        <v>0</v>
      </c>
      <c r="BS92" s="2942">
        <f t="shared" si="34"/>
        <v>0</v>
      </c>
      <c r="BT92" s="2994">
        <f t="shared" si="35"/>
        <v>0</v>
      </c>
    </row>
    <row r="93" spans="1:72">
      <c r="A93" s="2939"/>
      <c r="B93" s="2940"/>
      <c r="C93" s="2940"/>
      <c r="D93" s="2941"/>
      <c r="E93" s="2942">
        <f t="shared" si="7"/>
        <v>0</v>
      </c>
      <c r="F93" s="2943"/>
      <c r="G93" s="2944">
        <f t="shared" si="8"/>
        <v>0</v>
      </c>
      <c r="H93" s="2945">
        <f t="shared" si="9"/>
        <v>0</v>
      </c>
      <c r="I93" s="2952"/>
      <c r="J93" s="2952"/>
      <c r="K93" s="2952"/>
      <c r="L93" s="2952"/>
      <c r="M93" s="2952"/>
      <c r="N93" s="2952"/>
      <c r="O93" s="2952"/>
      <c r="P93" s="2952"/>
      <c r="Q93" s="2952"/>
      <c r="R93" s="2952"/>
      <c r="S93" s="2952"/>
      <c r="T93" s="2952"/>
      <c r="U93" s="2952"/>
      <c r="V93" s="2952"/>
      <c r="W93" s="2952"/>
      <c r="X93" s="2952"/>
      <c r="Y93" s="2952"/>
      <c r="Z93" s="2952"/>
      <c r="AA93" s="2952"/>
      <c r="AB93" s="2952"/>
      <c r="AC93" s="2942">
        <f t="shared" si="10"/>
        <v>0</v>
      </c>
      <c r="AD93" s="2962"/>
      <c r="AE93" s="2962"/>
      <c r="AF93" s="2962"/>
      <c r="AG93" s="2962"/>
      <c r="AH93" s="2962"/>
      <c r="AI93" s="2962"/>
      <c r="AJ93" s="2962"/>
      <c r="AK93" s="2962"/>
      <c r="AL93" s="2962"/>
      <c r="AM93" s="2962"/>
      <c r="AN93" s="2962"/>
      <c r="AO93" s="2962"/>
      <c r="AP93" s="2962"/>
      <c r="AQ93" s="2962"/>
      <c r="AR93" s="2962"/>
      <c r="AS93" s="2962"/>
      <c r="AT93" s="2972"/>
      <c r="AU93" s="2973"/>
      <c r="AV93" s="1120">
        <f t="shared" si="11"/>
        <v>0</v>
      </c>
      <c r="AW93" s="1120">
        <f t="shared" si="12"/>
        <v>0</v>
      </c>
      <c r="AX93" s="1120">
        <f t="shared" si="13"/>
        <v>0</v>
      </c>
      <c r="AY93" s="2987">
        <f t="shared" si="14"/>
        <v>0</v>
      </c>
      <c r="AZ93" s="2942">
        <f t="shared" si="15"/>
        <v>0</v>
      </c>
      <c r="BA93" s="2942">
        <f t="shared" si="16"/>
        <v>0</v>
      </c>
      <c r="BB93" s="2942">
        <f t="shared" si="17"/>
        <v>0</v>
      </c>
      <c r="BC93" s="2942">
        <f t="shared" si="18"/>
        <v>0</v>
      </c>
      <c r="BD93" s="2942">
        <f t="shared" si="19"/>
        <v>0</v>
      </c>
      <c r="BE93" s="2942">
        <f t="shared" si="20"/>
        <v>0</v>
      </c>
      <c r="BF93" s="2942">
        <f t="shared" si="21"/>
        <v>0</v>
      </c>
      <c r="BG93" s="2942">
        <f t="shared" si="22"/>
        <v>0</v>
      </c>
      <c r="BH93" s="2942">
        <f t="shared" si="23"/>
        <v>0</v>
      </c>
      <c r="BI93" s="2942">
        <f t="shared" si="24"/>
        <v>0</v>
      </c>
      <c r="BJ93" s="2942">
        <f t="shared" si="25"/>
        <v>0</v>
      </c>
      <c r="BK93" s="2942">
        <f t="shared" si="26"/>
        <v>0</v>
      </c>
      <c r="BL93" s="2942">
        <f t="shared" si="27"/>
        <v>0</v>
      </c>
      <c r="BM93" s="2942">
        <f t="shared" si="28"/>
        <v>0</v>
      </c>
      <c r="BN93" s="2942">
        <f t="shared" si="29"/>
        <v>0</v>
      </c>
      <c r="BO93" s="2942">
        <f t="shared" si="30"/>
        <v>0</v>
      </c>
      <c r="BP93" s="2942">
        <f t="shared" si="31"/>
        <v>0</v>
      </c>
      <c r="BQ93" s="2942">
        <f t="shared" si="32"/>
        <v>0</v>
      </c>
      <c r="BR93" s="2942">
        <f t="shared" si="33"/>
        <v>0</v>
      </c>
      <c r="BS93" s="2942">
        <f t="shared" si="34"/>
        <v>0</v>
      </c>
      <c r="BT93" s="2994">
        <f t="shared" si="35"/>
        <v>0</v>
      </c>
    </row>
    <row r="94" spans="1:72">
      <c r="A94" s="2939"/>
      <c r="B94" s="2940"/>
      <c r="C94" s="2940"/>
      <c r="D94" s="2941"/>
      <c r="E94" s="2942">
        <f t="shared" si="7"/>
        <v>0</v>
      </c>
      <c r="F94" s="2943"/>
      <c r="G94" s="2944">
        <f t="shared" si="8"/>
        <v>0</v>
      </c>
      <c r="H94" s="2945">
        <f t="shared" si="9"/>
        <v>0</v>
      </c>
      <c r="I94" s="2952"/>
      <c r="J94" s="2952"/>
      <c r="K94" s="2952"/>
      <c r="L94" s="2952"/>
      <c r="M94" s="2952"/>
      <c r="N94" s="2952"/>
      <c r="O94" s="2952"/>
      <c r="P94" s="2952"/>
      <c r="Q94" s="2952"/>
      <c r="R94" s="2952"/>
      <c r="S94" s="2952"/>
      <c r="T94" s="2952"/>
      <c r="U94" s="2952"/>
      <c r="V94" s="2952"/>
      <c r="W94" s="2952"/>
      <c r="X94" s="2952"/>
      <c r="Y94" s="2952"/>
      <c r="Z94" s="2952"/>
      <c r="AA94" s="2952"/>
      <c r="AB94" s="2952"/>
      <c r="AC94" s="2942">
        <f t="shared" si="10"/>
        <v>0</v>
      </c>
      <c r="AD94" s="2962"/>
      <c r="AE94" s="2962"/>
      <c r="AF94" s="2962"/>
      <c r="AG94" s="2962"/>
      <c r="AH94" s="2962"/>
      <c r="AI94" s="2962"/>
      <c r="AJ94" s="2962"/>
      <c r="AK94" s="2962"/>
      <c r="AL94" s="2962"/>
      <c r="AM94" s="2962"/>
      <c r="AN94" s="2962"/>
      <c r="AO94" s="2962"/>
      <c r="AP94" s="2962"/>
      <c r="AQ94" s="2962"/>
      <c r="AR94" s="2962"/>
      <c r="AS94" s="2962"/>
      <c r="AT94" s="2972"/>
      <c r="AU94" s="2973"/>
      <c r="AV94" s="1120">
        <f t="shared" si="11"/>
        <v>0</v>
      </c>
      <c r="AW94" s="1120">
        <f t="shared" si="12"/>
        <v>0</v>
      </c>
      <c r="AX94" s="1120">
        <f t="shared" si="13"/>
        <v>0</v>
      </c>
      <c r="AY94" s="2987">
        <f t="shared" si="14"/>
        <v>0</v>
      </c>
      <c r="AZ94" s="2942">
        <f t="shared" si="15"/>
        <v>0</v>
      </c>
      <c r="BA94" s="2942">
        <f t="shared" si="16"/>
        <v>0</v>
      </c>
      <c r="BB94" s="2942">
        <f t="shared" si="17"/>
        <v>0</v>
      </c>
      <c r="BC94" s="2942">
        <f t="shared" si="18"/>
        <v>0</v>
      </c>
      <c r="BD94" s="2942">
        <f t="shared" si="19"/>
        <v>0</v>
      </c>
      <c r="BE94" s="2942">
        <f t="shared" si="20"/>
        <v>0</v>
      </c>
      <c r="BF94" s="2942">
        <f t="shared" si="21"/>
        <v>0</v>
      </c>
      <c r="BG94" s="2942">
        <f t="shared" si="22"/>
        <v>0</v>
      </c>
      <c r="BH94" s="2942">
        <f t="shared" si="23"/>
        <v>0</v>
      </c>
      <c r="BI94" s="2942">
        <f t="shared" si="24"/>
        <v>0</v>
      </c>
      <c r="BJ94" s="2942">
        <f t="shared" si="25"/>
        <v>0</v>
      </c>
      <c r="BK94" s="2942">
        <f t="shared" si="26"/>
        <v>0</v>
      </c>
      <c r="BL94" s="2942">
        <f t="shared" si="27"/>
        <v>0</v>
      </c>
      <c r="BM94" s="2942">
        <f t="shared" si="28"/>
        <v>0</v>
      </c>
      <c r="BN94" s="2942">
        <f t="shared" si="29"/>
        <v>0</v>
      </c>
      <c r="BO94" s="2942">
        <f t="shared" si="30"/>
        <v>0</v>
      </c>
      <c r="BP94" s="2942">
        <f t="shared" si="31"/>
        <v>0</v>
      </c>
      <c r="BQ94" s="2942">
        <f t="shared" si="32"/>
        <v>0</v>
      </c>
      <c r="BR94" s="2942">
        <f t="shared" si="33"/>
        <v>0</v>
      </c>
      <c r="BS94" s="2942">
        <f t="shared" si="34"/>
        <v>0</v>
      </c>
      <c r="BT94" s="2994">
        <f t="shared" si="35"/>
        <v>0</v>
      </c>
    </row>
    <row r="95" spans="1:72">
      <c r="A95" s="2939"/>
      <c r="B95" s="2940"/>
      <c r="C95" s="2940"/>
      <c r="D95" s="2941"/>
      <c r="E95" s="2942">
        <f t="shared" si="7"/>
        <v>0</v>
      </c>
      <c r="F95" s="2943"/>
      <c r="G95" s="2944">
        <f t="shared" si="8"/>
        <v>0</v>
      </c>
      <c r="H95" s="2945">
        <f t="shared" si="9"/>
        <v>0</v>
      </c>
      <c r="I95" s="2952"/>
      <c r="J95" s="2952"/>
      <c r="K95" s="2952"/>
      <c r="L95" s="2952"/>
      <c r="M95" s="2952"/>
      <c r="N95" s="2952"/>
      <c r="O95" s="2952"/>
      <c r="P95" s="2952"/>
      <c r="Q95" s="2952"/>
      <c r="R95" s="2952"/>
      <c r="S95" s="2952"/>
      <c r="T95" s="2952"/>
      <c r="U95" s="2952"/>
      <c r="V95" s="2952"/>
      <c r="W95" s="2952"/>
      <c r="X95" s="2952"/>
      <c r="Y95" s="2952"/>
      <c r="Z95" s="2952"/>
      <c r="AA95" s="2952"/>
      <c r="AB95" s="2952"/>
      <c r="AC95" s="2942">
        <f t="shared" si="10"/>
        <v>0</v>
      </c>
      <c r="AD95" s="2962"/>
      <c r="AE95" s="2962"/>
      <c r="AF95" s="2962"/>
      <c r="AG95" s="2962"/>
      <c r="AH95" s="2962"/>
      <c r="AI95" s="2962"/>
      <c r="AJ95" s="2962"/>
      <c r="AK95" s="2962"/>
      <c r="AL95" s="2962"/>
      <c r="AM95" s="2962"/>
      <c r="AN95" s="2962"/>
      <c r="AO95" s="2962"/>
      <c r="AP95" s="2962"/>
      <c r="AQ95" s="2962"/>
      <c r="AR95" s="2962"/>
      <c r="AS95" s="2962"/>
      <c r="AT95" s="2972"/>
      <c r="AU95" s="2973"/>
      <c r="AV95" s="1120">
        <f t="shared" si="11"/>
        <v>0</v>
      </c>
      <c r="AW95" s="1120">
        <f t="shared" si="12"/>
        <v>0</v>
      </c>
      <c r="AX95" s="1120">
        <f t="shared" si="13"/>
        <v>0</v>
      </c>
      <c r="AY95" s="2987">
        <f t="shared" si="14"/>
        <v>0</v>
      </c>
      <c r="AZ95" s="2942">
        <f t="shared" si="15"/>
        <v>0</v>
      </c>
      <c r="BA95" s="2942">
        <f t="shared" si="16"/>
        <v>0</v>
      </c>
      <c r="BB95" s="2942">
        <f t="shared" si="17"/>
        <v>0</v>
      </c>
      <c r="BC95" s="2942">
        <f t="shared" si="18"/>
        <v>0</v>
      </c>
      <c r="BD95" s="2942">
        <f t="shared" si="19"/>
        <v>0</v>
      </c>
      <c r="BE95" s="2942">
        <f t="shared" si="20"/>
        <v>0</v>
      </c>
      <c r="BF95" s="2942">
        <f t="shared" si="21"/>
        <v>0</v>
      </c>
      <c r="BG95" s="2942">
        <f t="shared" si="22"/>
        <v>0</v>
      </c>
      <c r="BH95" s="2942">
        <f t="shared" si="23"/>
        <v>0</v>
      </c>
      <c r="BI95" s="2942">
        <f t="shared" si="24"/>
        <v>0</v>
      </c>
      <c r="BJ95" s="2942">
        <f t="shared" si="25"/>
        <v>0</v>
      </c>
      <c r="BK95" s="2942">
        <f t="shared" si="26"/>
        <v>0</v>
      </c>
      <c r="BL95" s="2942">
        <f t="shared" si="27"/>
        <v>0</v>
      </c>
      <c r="BM95" s="2942">
        <f t="shared" si="28"/>
        <v>0</v>
      </c>
      <c r="BN95" s="2942">
        <f t="shared" si="29"/>
        <v>0</v>
      </c>
      <c r="BO95" s="2942">
        <f t="shared" si="30"/>
        <v>0</v>
      </c>
      <c r="BP95" s="2942">
        <f t="shared" si="31"/>
        <v>0</v>
      </c>
      <c r="BQ95" s="2942">
        <f t="shared" si="32"/>
        <v>0</v>
      </c>
      <c r="BR95" s="2942">
        <f t="shared" si="33"/>
        <v>0</v>
      </c>
      <c r="BS95" s="2942">
        <f t="shared" si="34"/>
        <v>0</v>
      </c>
      <c r="BT95" s="2994">
        <f t="shared" si="35"/>
        <v>0</v>
      </c>
    </row>
    <row r="96" spans="1:72">
      <c r="A96" s="2939"/>
      <c r="B96" s="2940"/>
      <c r="C96" s="2940"/>
      <c r="D96" s="2941"/>
      <c r="E96" s="2942">
        <f t="shared" si="7"/>
        <v>0</v>
      </c>
      <c r="F96" s="2943"/>
      <c r="G96" s="2944">
        <f t="shared" si="8"/>
        <v>0</v>
      </c>
      <c r="H96" s="2945">
        <f t="shared" si="9"/>
        <v>0</v>
      </c>
      <c r="I96" s="2952"/>
      <c r="J96" s="2952"/>
      <c r="K96" s="2952"/>
      <c r="L96" s="2952"/>
      <c r="M96" s="2952"/>
      <c r="N96" s="2952"/>
      <c r="O96" s="2952"/>
      <c r="P96" s="2952"/>
      <c r="Q96" s="2952"/>
      <c r="R96" s="2952"/>
      <c r="S96" s="2952"/>
      <c r="T96" s="2952"/>
      <c r="U96" s="2952"/>
      <c r="V96" s="2952"/>
      <c r="W96" s="2952"/>
      <c r="X96" s="2952"/>
      <c r="Y96" s="2952"/>
      <c r="Z96" s="2952"/>
      <c r="AA96" s="2952"/>
      <c r="AB96" s="2952"/>
      <c r="AC96" s="2942">
        <f t="shared" si="10"/>
        <v>0</v>
      </c>
      <c r="AD96" s="2962"/>
      <c r="AE96" s="2962"/>
      <c r="AF96" s="2962"/>
      <c r="AG96" s="2962"/>
      <c r="AH96" s="2962"/>
      <c r="AI96" s="2962"/>
      <c r="AJ96" s="2962"/>
      <c r="AK96" s="2962"/>
      <c r="AL96" s="2962"/>
      <c r="AM96" s="2962"/>
      <c r="AN96" s="2962"/>
      <c r="AO96" s="2962"/>
      <c r="AP96" s="2962"/>
      <c r="AQ96" s="2962"/>
      <c r="AR96" s="2962"/>
      <c r="AS96" s="2962"/>
      <c r="AT96" s="2972"/>
      <c r="AU96" s="2973"/>
      <c r="AV96" s="1120">
        <f t="shared" si="11"/>
        <v>0</v>
      </c>
      <c r="AW96" s="1120">
        <f t="shared" si="12"/>
        <v>0</v>
      </c>
      <c r="AX96" s="1120">
        <f t="shared" si="13"/>
        <v>0</v>
      </c>
      <c r="AY96" s="2987">
        <f t="shared" si="14"/>
        <v>0</v>
      </c>
      <c r="AZ96" s="2942">
        <f t="shared" si="15"/>
        <v>0</v>
      </c>
      <c r="BA96" s="2942">
        <f t="shared" si="16"/>
        <v>0</v>
      </c>
      <c r="BB96" s="2942">
        <f t="shared" si="17"/>
        <v>0</v>
      </c>
      <c r="BC96" s="2942">
        <f t="shared" si="18"/>
        <v>0</v>
      </c>
      <c r="BD96" s="2942">
        <f t="shared" si="19"/>
        <v>0</v>
      </c>
      <c r="BE96" s="2942">
        <f t="shared" si="20"/>
        <v>0</v>
      </c>
      <c r="BF96" s="2942">
        <f t="shared" si="21"/>
        <v>0</v>
      </c>
      <c r="BG96" s="2942">
        <f t="shared" si="22"/>
        <v>0</v>
      </c>
      <c r="BH96" s="2942">
        <f t="shared" si="23"/>
        <v>0</v>
      </c>
      <c r="BI96" s="2942">
        <f t="shared" si="24"/>
        <v>0</v>
      </c>
      <c r="BJ96" s="2942">
        <f t="shared" si="25"/>
        <v>0</v>
      </c>
      <c r="BK96" s="2942">
        <f t="shared" si="26"/>
        <v>0</v>
      </c>
      <c r="BL96" s="2942">
        <f t="shared" si="27"/>
        <v>0</v>
      </c>
      <c r="BM96" s="2942">
        <f t="shared" si="28"/>
        <v>0</v>
      </c>
      <c r="BN96" s="2942">
        <f t="shared" si="29"/>
        <v>0</v>
      </c>
      <c r="BO96" s="2942">
        <f t="shared" si="30"/>
        <v>0</v>
      </c>
      <c r="BP96" s="2942">
        <f t="shared" si="31"/>
        <v>0</v>
      </c>
      <c r="BQ96" s="2942">
        <f t="shared" si="32"/>
        <v>0</v>
      </c>
      <c r="BR96" s="2942">
        <f t="shared" si="33"/>
        <v>0</v>
      </c>
      <c r="BS96" s="2942">
        <f t="shared" si="34"/>
        <v>0</v>
      </c>
      <c r="BT96" s="2994">
        <f t="shared" si="35"/>
        <v>0</v>
      </c>
    </row>
    <row r="97" spans="1:72">
      <c r="A97" s="2939"/>
      <c r="B97" s="2940"/>
      <c r="C97" s="2940"/>
      <c r="D97" s="2941"/>
      <c r="E97" s="2942">
        <f t="shared" si="7"/>
        <v>0</v>
      </c>
      <c r="F97" s="2943"/>
      <c r="G97" s="2944">
        <f t="shared" si="8"/>
        <v>0</v>
      </c>
      <c r="H97" s="2945">
        <f t="shared" si="9"/>
        <v>0</v>
      </c>
      <c r="I97" s="2952"/>
      <c r="J97" s="2952"/>
      <c r="K97" s="2952"/>
      <c r="L97" s="2952"/>
      <c r="M97" s="2952"/>
      <c r="N97" s="2952"/>
      <c r="O97" s="2952"/>
      <c r="P97" s="2952"/>
      <c r="Q97" s="2952"/>
      <c r="R97" s="2952"/>
      <c r="S97" s="2952"/>
      <c r="T97" s="2952"/>
      <c r="U97" s="2952"/>
      <c r="V97" s="2952"/>
      <c r="W97" s="2952"/>
      <c r="X97" s="2952"/>
      <c r="Y97" s="2952"/>
      <c r="Z97" s="2952"/>
      <c r="AA97" s="2952"/>
      <c r="AB97" s="2952"/>
      <c r="AC97" s="2942">
        <f t="shared" si="10"/>
        <v>0</v>
      </c>
      <c r="AD97" s="2962"/>
      <c r="AE97" s="2962"/>
      <c r="AF97" s="2962"/>
      <c r="AG97" s="2962"/>
      <c r="AH97" s="2962"/>
      <c r="AI97" s="2962"/>
      <c r="AJ97" s="2962"/>
      <c r="AK97" s="2962"/>
      <c r="AL97" s="2962"/>
      <c r="AM97" s="2962"/>
      <c r="AN97" s="2962"/>
      <c r="AO97" s="2962"/>
      <c r="AP97" s="2962"/>
      <c r="AQ97" s="2962"/>
      <c r="AR97" s="2962"/>
      <c r="AS97" s="2962"/>
      <c r="AT97" s="2972"/>
      <c r="AU97" s="2973"/>
      <c r="AV97" s="1120">
        <f t="shared" si="11"/>
        <v>0</v>
      </c>
      <c r="AW97" s="1120">
        <f t="shared" si="12"/>
        <v>0</v>
      </c>
      <c r="AX97" s="1120">
        <f t="shared" si="13"/>
        <v>0</v>
      </c>
      <c r="AY97" s="2987">
        <f t="shared" si="14"/>
        <v>0</v>
      </c>
      <c r="AZ97" s="2942">
        <f t="shared" si="15"/>
        <v>0</v>
      </c>
      <c r="BA97" s="2942">
        <f t="shared" si="16"/>
        <v>0</v>
      </c>
      <c r="BB97" s="2942">
        <f t="shared" si="17"/>
        <v>0</v>
      </c>
      <c r="BC97" s="2942">
        <f t="shared" si="18"/>
        <v>0</v>
      </c>
      <c r="BD97" s="2942">
        <f t="shared" si="19"/>
        <v>0</v>
      </c>
      <c r="BE97" s="2942">
        <f t="shared" si="20"/>
        <v>0</v>
      </c>
      <c r="BF97" s="2942">
        <f t="shared" si="21"/>
        <v>0</v>
      </c>
      <c r="BG97" s="2942">
        <f t="shared" si="22"/>
        <v>0</v>
      </c>
      <c r="BH97" s="2942">
        <f t="shared" si="23"/>
        <v>0</v>
      </c>
      <c r="BI97" s="2942">
        <f t="shared" si="24"/>
        <v>0</v>
      </c>
      <c r="BJ97" s="2942">
        <f t="shared" si="25"/>
        <v>0</v>
      </c>
      <c r="BK97" s="2942">
        <f t="shared" si="26"/>
        <v>0</v>
      </c>
      <c r="BL97" s="2942">
        <f t="shared" si="27"/>
        <v>0</v>
      </c>
      <c r="BM97" s="2942">
        <f t="shared" si="28"/>
        <v>0</v>
      </c>
      <c r="BN97" s="2942">
        <f t="shared" si="29"/>
        <v>0</v>
      </c>
      <c r="BO97" s="2942">
        <f t="shared" si="30"/>
        <v>0</v>
      </c>
      <c r="BP97" s="2942">
        <f t="shared" si="31"/>
        <v>0</v>
      </c>
      <c r="BQ97" s="2942">
        <f t="shared" si="32"/>
        <v>0</v>
      </c>
      <c r="BR97" s="2942">
        <f t="shared" si="33"/>
        <v>0</v>
      </c>
      <c r="BS97" s="2942">
        <f t="shared" si="34"/>
        <v>0</v>
      </c>
      <c r="BT97" s="2994">
        <f t="shared" si="35"/>
        <v>0</v>
      </c>
    </row>
    <row r="98" spans="1:72">
      <c r="A98" s="2939"/>
      <c r="B98" s="2940"/>
      <c r="C98" s="2940"/>
      <c r="D98" s="2941"/>
      <c r="E98" s="2942">
        <f t="shared" si="7"/>
        <v>0</v>
      </c>
      <c r="F98" s="2943"/>
      <c r="G98" s="2944">
        <f t="shared" si="8"/>
        <v>0</v>
      </c>
      <c r="H98" s="2945">
        <f t="shared" si="9"/>
        <v>0</v>
      </c>
      <c r="I98" s="2952"/>
      <c r="J98" s="2952"/>
      <c r="K98" s="2952"/>
      <c r="L98" s="2952"/>
      <c r="M98" s="2952"/>
      <c r="N98" s="2952"/>
      <c r="O98" s="2952"/>
      <c r="P98" s="2952"/>
      <c r="Q98" s="2952"/>
      <c r="R98" s="2952"/>
      <c r="S98" s="2952"/>
      <c r="T98" s="2952"/>
      <c r="U98" s="2952"/>
      <c r="V98" s="2952"/>
      <c r="W98" s="2952"/>
      <c r="X98" s="2952"/>
      <c r="Y98" s="2952"/>
      <c r="Z98" s="2952"/>
      <c r="AA98" s="2952"/>
      <c r="AB98" s="2952"/>
      <c r="AC98" s="2942">
        <f t="shared" si="10"/>
        <v>0</v>
      </c>
      <c r="AD98" s="2962"/>
      <c r="AE98" s="2962"/>
      <c r="AF98" s="2962"/>
      <c r="AG98" s="2962"/>
      <c r="AH98" s="2962"/>
      <c r="AI98" s="2962"/>
      <c r="AJ98" s="2962"/>
      <c r="AK98" s="2962"/>
      <c r="AL98" s="2962"/>
      <c r="AM98" s="2962"/>
      <c r="AN98" s="2962"/>
      <c r="AO98" s="2962"/>
      <c r="AP98" s="2962"/>
      <c r="AQ98" s="2962"/>
      <c r="AR98" s="2962"/>
      <c r="AS98" s="2962"/>
      <c r="AT98" s="2972"/>
      <c r="AU98" s="2973"/>
      <c r="AV98" s="1120">
        <f t="shared" si="11"/>
        <v>0</v>
      </c>
      <c r="AW98" s="1120">
        <f t="shared" si="12"/>
        <v>0</v>
      </c>
      <c r="AX98" s="1120">
        <f t="shared" si="13"/>
        <v>0</v>
      </c>
      <c r="AY98" s="2987">
        <f t="shared" si="14"/>
        <v>0</v>
      </c>
      <c r="AZ98" s="2942">
        <f t="shared" si="15"/>
        <v>0</v>
      </c>
      <c r="BA98" s="2942">
        <f t="shared" si="16"/>
        <v>0</v>
      </c>
      <c r="BB98" s="2942">
        <f t="shared" si="17"/>
        <v>0</v>
      </c>
      <c r="BC98" s="2942">
        <f t="shared" si="18"/>
        <v>0</v>
      </c>
      <c r="BD98" s="2942">
        <f t="shared" si="19"/>
        <v>0</v>
      </c>
      <c r="BE98" s="2942">
        <f t="shared" si="20"/>
        <v>0</v>
      </c>
      <c r="BF98" s="2942">
        <f t="shared" si="21"/>
        <v>0</v>
      </c>
      <c r="BG98" s="2942">
        <f t="shared" si="22"/>
        <v>0</v>
      </c>
      <c r="BH98" s="2942">
        <f t="shared" si="23"/>
        <v>0</v>
      </c>
      <c r="BI98" s="2942">
        <f t="shared" si="24"/>
        <v>0</v>
      </c>
      <c r="BJ98" s="2942">
        <f t="shared" si="25"/>
        <v>0</v>
      </c>
      <c r="BK98" s="2942">
        <f t="shared" si="26"/>
        <v>0</v>
      </c>
      <c r="BL98" s="2942">
        <f t="shared" si="27"/>
        <v>0</v>
      </c>
      <c r="BM98" s="2942">
        <f t="shared" si="28"/>
        <v>0</v>
      </c>
      <c r="BN98" s="2942">
        <f t="shared" si="29"/>
        <v>0</v>
      </c>
      <c r="BO98" s="2942">
        <f t="shared" si="30"/>
        <v>0</v>
      </c>
      <c r="BP98" s="2942">
        <f t="shared" si="31"/>
        <v>0</v>
      </c>
      <c r="BQ98" s="2942">
        <f t="shared" si="32"/>
        <v>0</v>
      </c>
      <c r="BR98" s="2942">
        <f t="shared" si="33"/>
        <v>0</v>
      </c>
      <c r="BS98" s="2942">
        <f t="shared" si="34"/>
        <v>0</v>
      </c>
      <c r="BT98" s="2994">
        <f t="shared" si="35"/>
        <v>0</v>
      </c>
    </row>
    <row r="99" spans="1:72">
      <c r="A99" s="2939"/>
      <c r="B99" s="2940"/>
      <c r="C99" s="2940"/>
      <c r="D99" s="2941"/>
      <c r="E99" s="2942">
        <f t="shared" si="7"/>
        <v>0</v>
      </c>
      <c r="F99" s="2943"/>
      <c r="G99" s="2944">
        <f t="shared" si="8"/>
        <v>0</v>
      </c>
      <c r="H99" s="2945">
        <f t="shared" si="9"/>
        <v>0</v>
      </c>
      <c r="I99" s="2952"/>
      <c r="J99" s="2952"/>
      <c r="K99" s="2952"/>
      <c r="L99" s="2952"/>
      <c r="M99" s="2952"/>
      <c r="N99" s="2952"/>
      <c r="O99" s="2952"/>
      <c r="P99" s="2952"/>
      <c r="Q99" s="2952"/>
      <c r="R99" s="2952"/>
      <c r="S99" s="2952"/>
      <c r="T99" s="2952"/>
      <c r="U99" s="2952"/>
      <c r="V99" s="2952"/>
      <c r="W99" s="2952"/>
      <c r="X99" s="2952"/>
      <c r="Y99" s="2952"/>
      <c r="Z99" s="2952"/>
      <c r="AA99" s="2952"/>
      <c r="AB99" s="2952"/>
      <c r="AC99" s="2942">
        <f t="shared" si="10"/>
        <v>0</v>
      </c>
      <c r="AD99" s="2962"/>
      <c r="AE99" s="2962"/>
      <c r="AF99" s="2962"/>
      <c r="AG99" s="2962"/>
      <c r="AH99" s="2962"/>
      <c r="AI99" s="2962"/>
      <c r="AJ99" s="2962"/>
      <c r="AK99" s="2962"/>
      <c r="AL99" s="2962"/>
      <c r="AM99" s="2962"/>
      <c r="AN99" s="2962"/>
      <c r="AO99" s="2962"/>
      <c r="AP99" s="2962"/>
      <c r="AQ99" s="2962"/>
      <c r="AR99" s="2962"/>
      <c r="AS99" s="2962"/>
      <c r="AT99" s="2972"/>
      <c r="AU99" s="2973"/>
      <c r="AV99" s="1120">
        <f t="shared" si="11"/>
        <v>0</v>
      </c>
      <c r="AW99" s="1120">
        <f t="shared" si="12"/>
        <v>0</v>
      </c>
      <c r="AX99" s="1120">
        <f t="shared" si="13"/>
        <v>0</v>
      </c>
      <c r="AY99" s="2987">
        <f t="shared" si="14"/>
        <v>0</v>
      </c>
      <c r="AZ99" s="2942">
        <f t="shared" si="15"/>
        <v>0</v>
      </c>
      <c r="BA99" s="2942">
        <f t="shared" si="16"/>
        <v>0</v>
      </c>
      <c r="BB99" s="2942">
        <f t="shared" si="17"/>
        <v>0</v>
      </c>
      <c r="BC99" s="2942">
        <f t="shared" si="18"/>
        <v>0</v>
      </c>
      <c r="BD99" s="2942">
        <f t="shared" si="19"/>
        <v>0</v>
      </c>
      <c r="BE99" s="2942">
        <f t="shared" si="20"/>
        <v>0</v>
      </c>
      <c r="BF99" s="2942">
        <f t="shared" si="21"/>
        <v>0</v>
      </c>
      <c r="BG99" s="2942">
        <f t="shared" si="22"/>
        <v>0</v>
      </c>
      <c r="BH99" s="2942">
        <f t="shared" si="23"/>
        <v>0</v>
      </c>
      <c r="BI99" s="2942">
        <f t="shared" si="24"/>
        <v>0</v>
      </c>
      <c r="BJ99" s="2942">
        <f t="shared" si="25"/>
        <v>0</v>
      </c>
      <c r="BK99" s="2942">
        <f t="shared" si="26"/>
        <v>0</v>
      </c>
      <c r="BL99" s="2942">
        <f t="shared" si="27"/>
        <v>0</v>
      </c>
      <c r="BM99" s="2942">
        <f t="shared" si="28"/>
        <v>0</v>
      </c>
      <c r="BN99" s="2942">
        <f t="shared" si="29"/>
        <v>0</v>
      </c>
      <c r="BO99" s="2942">
        <f t="shared" si="30"/>
        <v>0</v>
      </c>
      <c r="BP99" s="2942">
        <f t="shared" si="31"/>
        <v>0</v>
      </c>
      <c r="BQ99" s="2942">
        <f t="shared" si="32"/>
        <v>0</v>
      </c>
      <c r="BR99" s="2942">
        <f t="shared" si="33"/>
        <v>0</v>
      </c>
      <c r="BS99" s="2942">
        <f t="shared" si="34"/>
        <v>0</v>
      </c>
      <c r="BT99" s="2994">
        <f t="shared" si="35"/>
        <v>0</v>
      </c>
    </row>
    <row r="100" spans="1:72">
      <c r="A100" s="2939"/>
      <c r="B100" s="2940"/>
      <c r="C100" s="2940"/>
      <c r="D100" s="2941"/>
      <c r="E100" s="2942">
        <f t="shared" si="7"/>
        <v>0</v>
      </c>
      <c r="F100" s="2943"/>
      <c r="G100" s="2944">
        <f t="shared" si="8"/>
        <v>0</v>
      </c>
      <c r="H100" s="2945">
        <f t="shared" si="9"/>
        <v>0</v>
      </c>
      <c r="I100" s="2952"/>
      <c r="J100" s="2952"/>
      <c r="K100" s="2952"/>
      <c r="L100" s="2952"/>
      <c r="M100" s="2952"/>
      <c r="N100" s="2952"/>
      <c r="O100" s="2952"/>
      <c r="P100" s="2952"/>
      <c r="Q100" s="2952"/>
      <c r="R100" s="2952"/>
      <c r="S100" s="2952"/>
      <c r="T100" s="2952"/>
      <c r="U100" s="2952"/>
      <c r="V100" s="2952"/>
      <c r="W100" s="2952"/>
      <c r="X100" s="2952"/>
      <c r="Y100" s="2952"/>
      <c r="Z100" s="2952"/>
      <c r="AA100" s="2952"/>
      <c r="AB100" s="2952"/>
      <c r="AC100" s="2942">
        <f t="shared" si="10"/>
        <v>0</v>
      </c>
      <c r="AD100" s="2962"/>
      <c r="AE100" s="2962"/>
      <c r="AF100" s="2962"/>
      <c r="AG100" s="2962"/>
      <c r="AH100" s="2962"/>
      <c r="AI100" s="2962"/>
      <c r="AJ100" s="2962"/>
      <c r="AK100" s="2962"/>
      <c r="AL100" s="2962"/>
      <c r="AM100" s="2962"/>
      <c r="AN100" s="2962"/>
      <c r="AO100" s="2962"/>
      <c r="AP100" s="2962"/>
      <c r="AQ100" s="2962"/>
      <c r="AR100" s="2962"/>
      <c r="AS100" s="2962"/>
      <c r="AT100" s="2972"/>
      <c r="AU100" s="2973"/>
      <c r="AV100" s="1120">
        <f t="shared" si="11"/>
        <v>0</v>
      </c>
      <c r="AW100" s="1120">
        <f t="shared" si="12"/>
        <v>0</v>
      </c>
      <c r="AX100" s="1120">
        <f t="shared" si="13"/>
        <v>0</v>
      </c>
      <c r="AY100" s="2987">
        <f t="shared" si="14"/>
        <v>0</v>
      </c>
      <c r="AZ100" s="2942">
        <f t="shared" si="15"/>
        <v>0</v>
      </c>
      <c r="BA100" s="2942">
        <f t="shared" si="16"/>
        <v>0</v>
      </c>
      <c r="BB100" s="2942">
        <f t="shared" si="17"/>
        <v>0</v>
      </c>
      <c r="BC100" s="2942">
        <f t="shared" si="18"/>
        <v>0</v>
      </c>
      <c r="BD100" s="2942">
        <f t="shared" si="19"/>
        <v>0</v>
      </c>
      <c r="BE100" s="2942">
        <f t="shared" si="20"/>
        <v>0</v>
      </c>
      <c r="BF100" s="2942">
        <f t="shared" si="21"/>
        <v>0</v>
      </c>
      <c r="BG100" s="2942">
        <f t="shared" si="22"/>
        <v>0</v>
      </c>
      <c r="BH100" s="2942">
        <f t="shared" si="23"/>
        <v>0</v>
      </c>
      <c r="BI100" s="2942">
        <f t="shared" si="24"/>
        <v>0</v>
      </c>
      <c r="BJ100" s="2942">
        <f t="shared" si="25"/>
        <v>0</v>
      </c>
      <c r="BK100" s="2942">
        <f t="shared" si="26"/>
        <v>0</v>
      </c>
      <c r="BL100" s="2942">
        <f t="shared" si="27"/>
        <v>0</v>
      </c>
      <c r="BM100" s="2942">
        <f t="shared" si="28"/>
        <v>0</v>
      </c>
      <c r="BN100" s="2942">
        <f t="shared" si="29"/>
        <v>0</v>
      </c>
      <c r="BO100" s="2942">
        <f t="shared" si="30"/>
        <v>0</v>
      </c>
      <c r="BP100" s="2942">
        <f t="shared" si="31"/>
        <v>0</v>
      </c>
      <c r="BQ100" s="2942">
        <f t="shared" si="32"/>
        <v>0</v>
      </c>
      <c r="BR100" s="2942">
        <f t="shared" si="33"/>
        <v>0</v>
      </c>
      <c r="BS100" s="2942">
        <f t="shared" si="34"/>
        <v>0</v>
      </c>
      <c r="BT100" s="2994">
        <f t="shared" si="35"/>
        <v>0</v>
      </c>
    </row>
    <row r="101" spans="1:72">
      <c r="A101" s="2939"/>
      <c r="B101" s="2940"/>
      <c r="C101" s="2940"/>
      <c r="D101" s="2941"/>
      <c r="E101" s="2942">
        <f t="shared" si="7"/>
        <v>0</v>
      </c>
      <c r="F101" s="2943"/>
      <c r="G101" s="2944">
        <f t="shared" si="8"/>
        <v>0</v>
      </c>
      <c r="H101" s="2945">
        <f t="shared" si="9"/>
        <v>0</v>
      </c>
      <c r="I101" s="2952"/>
      <c r="J101" s="2952"/>
      <c r="K101" s="2952"/>
      <c r="L101" s="2952"/>
      <c r="M101" s="2952"/>
      <c r="N101" s="2952"/>
      <c r="O101" s="2952"/>
      <c r="P101" s="2952"/>
      <c r="Q101" s="2952"/>
      <c r="R101" s="2952"/>
      <c r="S101" s="2952"/>
      <c r="T101" s="2952"/>
      <c r="U101" s="2952"/>
      <c r="V101" s="2952"/>
      <c r="W101" s="2952"/>
      <c r="X101" s="2952"/>
      <c r="Y101" s="2952"/>
      <c r="Z101" s="2952"/>
      <c r="AA101" s="2952"/>
      <c r="AB101" s="2952"/>
      <c r="AC101" s="2942">
        <f t="shared" si="10"/>
        <v>0</v>
      </c>
      <c r="AD101" s="2962"/>
      <c r="AE101" s="2962"/>
      <c r="AF101" s="2962"/>
      <c r="AG101" s="2962"/>
      <c r="AH101" s="2962"/>
      <c r="AI101" s="2962"/>
      <c r="AJ101" s="2962"/>
      <c r="AK101" s="2962"/>
      <c r="AL101" s="2962"/>
      <c r="AM101" s="2962"/>
      <c r="AN101" s="2962"/>
      <c r="AO101" s="2962"/>
      <c r="AP101" s="2962"/>
      <c r="AQ101" s="2962"/>
      <c r="AR101" s="2962"/>
      <c r="AS101" s="2962"/>
      <c r="AT101" s="2972"/>
      <c r="AU101" s="2973"/>
      <c r="AV101" s="1120">
        <f t="shared" si="11"/>
        <v>0</v>
      </c>
      <c r="AW101" s="1120">
        <f t="shared" si="12"/>
        <v>0</v>
      </c>
      <c r="AX101" s="1120">
        <f t="shared" si="13"/>
        <v>0</v>
      </c>
      <c r="AY101" s="2987">
        <f t="shared" si="14"/>
        <v>0</v>
      </c>
      <c r="AZ101" s="2942">
        <f t="shared" si="15"/>
        <v>0</v>
      </c>
      <c r="BA101" s="2942">
        <f t="shared" si="16"/>
        <v>0</v>
      </c>
      <c r="BB101" s="2942">
        <f t="shared" si="17"/>
        <v>0</v>
      </c>
      <c r="BC101" s="2942">
        <f t="shared" si="18"/>
        <v>0</v>
      </c>
      <c r="BD101" s="2942">
        <f t="shared" si="19"/>
        <v>0</v>
      </c>
      <c r="BE101" s="2942">
        <f t="shared" si="20"/>
        <v>0</v>
      </c>
      <c r="BF101" s="2942">
        <f t="shared" si="21"/>
        <v>0</v>
      </c>
      <c r="BG101" s="2942">
        <f t="shared" si="22"/>
        <v>0</v>
      </c>
      <c r="BH101" s="2942">
        <f t="shared" si="23"/>
        <v>0</v>
      </c>
      <c r="BI101" s="2942">
        <f t="shared" si="24"/>
        <v>0</v>
      </c>
      <c r="BJ101" s="2942">
        <f t="shared" si="25"/>
        <v>0</v>
      </c>
      <c r="BK101" s="2942">
        <f t="shared" si="26"/>
        <v>0</v>
      </c>
      <c r="BL101" s="2942">
        <f t="shared" si="27"/>
        <v>0</v>
      </c>
      <c r="BM101" s="2942">
        <f t="shared" si="28"/>
        <v>0</v>
      </c>
      <c r="BN101" s="2942">
        <f t="shared" si="29"/>
        <v>0</v>
      </c>
      <c r="BO101" s="2942">
        <f t="shared" si="30"/>
        <v>0</v>
      </c>
      <c r="BP101" s="2942">
        <f t="shared" si="31"/>
        <v>0</v>
      </c>
      <c r="BQ101" s="2942">
        <f t="shared" si="32"/>
        <v>0</v>
      </c>
      <c r="BR101" s="2942">
        <f t="shared" si="33"/>
        <v>0</v>
      </c>
      <c r="BS101" s="2942">
        <f t="shared" si="34"/>
        <v>0</v>
      </c>
      <c r="BT101" s="2994">
        <f t="shared" si="35"/>
        <v>0</v>
      </c>
    </row>
    <row r="102" spans="1:72">
      <c r="A102" s="2939"/>
      <c r="B102" s="2940"/>
      <c r="C102" s="2940"/>
      <c r="D102" s="2941"/>
      <c r="E102" s="2942">
        <f t="shared" si="7"/>
        <v>0</v>
      </c>
      <c r="F102" s="2943"/>
      <c r="G102" s="2944">
        <f t="shared" si="8"/>
        <v>0</v>
      </c>
      <c r="H102" s="2945">
        <f t="shared" si="9"/>
        <v>0</v>
      </c>
      <c r="I102" s="2952"/>
      <c r="J102" s="2952"/>
      <c r="K102" s="2952"/>
      <c r="L102" s="2952"/>
      <c r="M102" s="2952"/>
      <c r="N102" s="2952"/>
      <c r="O102" s="2952"/>
      <c r="P102" s="2952"/>
      <c r="Q102" s="2952"/>
      <c r="R102" s="2952"/>
      <c r="S102" s="2952"/>
      <c r="T102" s="2952"/>
      <c r="U102" s="2952"/>
      <c r="V102" s="2952"/>
      <c r="W102" s="2952"/>
      <c r="X102" s="2952"/>
      <c r="Y102" s="2952"/>
      <c r="Z102" s="2952"/>
      <c r="AA102" s="2952"/>
      <c r="AB102" s="2952"/>
      <c r="AC102" s="2942">
        <f t="shared" si="10"/>
        <v>0</v>
      </c>
      <c r="AD102" s="2962"/>
      <c r="AE102" s="2962"/>
      <c r="AF102" s="2962"/>
      <c r="AG102" s="2962"/>
      <c r="AH102" s="2962"/>
      <c r="AI102" s="2962"/>
      <c r="AJ102" s="2962"/>
      <c r="AK102" s="2962"/>
      <c r="AL102" s="2962"/>
      <c r="AM102" s="2962"/>
      <c r="AN102" s="2962"/>
      <c r="AO102" s="2962"/>
      <c r="AP102" s="2962"/>
      <c r="AQ102" s="2962"/>
      <c r="AR102" s="2962"/>
      <c r="AS102" s="2962"/>
      <c r="AT102" s="2972"/>
      <c r="AU102" s="2973"/>
      <c r="AV102" s="1120">
        <f t="shared" si="11"/>
        <v>0</v>
      </c>
      <c r="AW102" s="1120">
        <f t="shared" si="12"/>
        <v>0</v>
      </c>
      <c r="AX102" s="1120">
        <f t="shared" si="13"/>
        <v>0</v>
      </c>
      <c r="AY102" s="2987">
        <f t="shared" si="14"/>
        <v>0</v>
      </c>
      <c r="AZ102" s="2942">
        <f t="shared" si="15"/>
        <v>0</v>
      </c>
      <c r="BA102" s="2942">
        <f t="shared" si="16"/>
        <v>0</v>
      </c>
      <c r="BB102" s="2942">
        <f t="shared" si="17"/>
        <v>0</v>
      </c>
      <c r="BC102" s="2942">
        <f t="shared" si="18"/>
        <v>0</v>
      </c>
      <c r="BD102" s="2942">
        <f t="shared" si="19"/>
        <v>0</v>
      </c>
      <c r="BE102" s="2942">
        <f t="shared" si="20"/>
        <v>0</v>
      </c>
      <c r="BF102" s="2942">
        <f t="shared" si="21"/>
        <v>0</v>
      </c>
      <c r="BG102" s="2942">
        <f t="shared" si="22"/>
        <v>0</v>
      </c>
      <c r="BH102" s="2942">
        <f t="shared" si="23"/>
        <v>0</v>
      </c>
      <c r="BI102" s="2942">
        <f t="shared" si="24"/>
        <v>0</v>
      </c>
      <c r="BJ102" s="2942">
        <f t="shared" si="25"/>
        <v>0</v>
      </c>
      <c r="BK102" s="2942">
        <f t="shared" si="26"/>
        <v>0</v>
      </c>
      <c r="BL102" s="2942">
        <f t="shared" si="27"/>
        <v>0</v>
      </c>
      <c r="BM102" s="2942">
        <f t="shared" si="28"/>
        <v>0</v>
      </c>
      <c r="BN102" s="2942">
        <f t="shared" si="29"/>
        <v>0</v>
      </c>
      <c r="BO102" s="2942">
        <f t="shared" si="30"/>
        <v>0</v>
      </c>
      <c r="BP102" s="2942">
        <f t="shared" si="31"/>
        <v>0</v>
      </c>
      <c r="BQ102" s="2942">
        <f t="shared" si="32"/>
        <v>0</v>
      </c>
      <c r="BR102" s="2942">
        <f t="shared" si="33"/>
        <v>0</v>
      </c>
      <c r="BS102" s="2942">
        <f t="shared" si="34"/>
        <v>0</v>
      </c>
      <c r="BT102" s="2994">
        <f t="shared" si="35"/>
        <v>0</v>
      </c>
    </row>
    <row r="103" spans="1:72">
      <c r="A103" s="2939"/>
      <c r="B103" s="2940"/>
      <c r="C103" s="2940"/>
      <c r="D103" s="2941"/>
      <c r="E103" s="2942">
        <f t="shared" si="7"/>
        <v>0</v>
      </c>
      <c r="F103" s="2943"/>
      <c r="G103" s="2944">
        <f t="shared" si="8"/>
        <v>0</v>
      </c>
      <c r="H103" s="2945">
        <f t="shared" si="9"/>
        <v>0</v>
      </c>
      <c r="I103" s="2952"/>
      <c r="J103" s="2952"/>
      <c r="K103" s="2952"/>
      <c r="L103" s="2952"/>
      <c r="M103" s="2952"/>
      <c r="N103" s="2952"/>
      <c r="O103" s="2952"/>
      <c r="P103" s="2952"/>
      <c r="Q103" s="2952"/>
      <c r="R103" s="2952"/>
      <c r="S103" s="2952"/>
      <c r="T103" s="2952"/>
      <c r="U103" s="2952"/>
      <c r="V103" s="2952"/>
      <c r="W103" s="2952"/>
      <c r="X103" s="2952"/>
      <c r="Y103" s="2952"/>
      <c r="Z103" s="2952"/>
      <c r="AA103" s="2952"/>
      <c r="AB103" s="2952"/>
      <c r="AC103" s="2942">
        <f t="shared" si="10"/>
        <v>0</v>
      </c>
      <c r="AD103" s="2962"/>
      <c r="AE103" s="2962"/>
      <c r="AF103" s="2962"/>
      <c r="AG103" s="2962"/>
      <c r="AH103" s="2962"/>
      <c r="AI103" s="2962"/>
      <c r="AJ103" s="2962"/>
      <c r="AK103" s="2962"/>
      <c r="AL103" s="2962"/>
      <c r="AM103" s="2962"/>
      <c r="AN103" s="2962"/>
      <c r="AO103" s="2962"/>
      <c r="AP103" s="2962"/>
      <c r="AQ103" s="2962"/>
      <c r="AR103" s="2962"/>
      <c r="AS103" s="2962"/>
      <c r="AT103" s="2972"/>
      <c r="AU103" s="2973"/>
      <c r="AV103" s="1120">
        <f t="shared" si="11"/>
        <v>0</v>
      </c>
      <c r="AW103" s="1120">
        <f t="shared" si="12"/>
        <v>0</v>
      </c>
      <c r="AX103" s="1120">
        <f t="shared" si="13"/>
        <v>0</v>
      </c>
      <c r="AY103" s="2987">
        <f t="shared" si="14"/>
        <v>0</v>
      </c>
      <c r="AZ103" s="2942">
        <f t="shared" si="15"/>
        <v>0</v>
      </c>
      <c r="BA103" s="2942">
        <f t="shared" si="16"/>
        <v>0</v>
      </c>
      <c r="BB103" s="2942">
        <f t="shared" si="17"/>
        <v>0</v>
      </c>
      <c r="BC103" s="2942">
        <f t="shared" si="18"/>
        <v>0</v>
      </c>
      <c r="BD103" s="2942">
        <f t="shared" si="19"/>
        <v>0</v>
      </c>
      <c r="BE103" s="2942">
        <f t="shared" si="20"/>
        <v>0</v>
      </c>
      <c r="BF103" s="2942">
        <f t="shared" si="21"/>
        <v>0</v>
      </c>
      <c r="BG103" s="2942">
        <f t="shared" si="22"/>
        <v>0</v>
      </c>
      <c r="BH103" s="2942">
        <f t="shared" si="23"/>
        <v>0</v>
      </c>
      <c r="BI103" s="2942">
        <f t="shared" si="24"/>
        <v>0</v>
      </c>
      <c r="BJ103" s="2942">
        <f t="shared" si="25"/>
        <v>0</v>
      </c>
      <c r="BK103" s="2942">
        <f t="shared" si="26"/>
        <v>0</v>
      </c>
      <c r="BL103" s="2942">
        <f t="shared" si="27"/>
        <v>0</v>
      </c>
      <c r="BM103" s="2942">
        <f t="shared" si="28"/>
        <v>0</v>
      </c>
      <c r="BN103" s="2942">
        <f t="shared" si="29"/>
        <v>0</v>
      </c>
      <c r="BO103" s="2942">
        <f t="shared" si="30"/>
        <v>0</v>
      </c>
      <c r="BP103" s="2942">
        <f t="shared" si="31"/>
        <v>0</v>
      </c>
      <c r="BQ103" s="2942">
        <f t="shared" si="32"/>
        <v>0</v>
      </c>
      <c r="BR103" s="2942">
        <f t="shared" si="33"/>
        <v>0</v>
      </c>
      <c r="BS103" s="2942">
        <f t="shared" si="34"/>
        <v>0</v>
      </c>
      <c r="BT103" s="2994">
        <f t="shared" si="35"/>
        <v>0</v>
      </c>
    </row>
    <row r="104" spans="1:72">
      <c r="A104" s="2939"/>
      <c r="B104" s="2940"/>
      <c r="C104" s="2940"/>
      <c r="D104" s="2941"/>
      <c r="E104" s="2942">
        <f t="shared" si="7"/>
        <v>0</v>
      </c>
      <c r="F104" s="2943"/>
      <c r="G104" s="2944">
        <f t="shared" si="8"/>
        <v>0</v>
      </c>
      <c r="H104" s="2945">
        <f t="shared" si="9"/>
        <v>0</v>
      </c>
      <c r="I104" s="2952"/>
      <c r="J104" s="2952"/>
      <c r="K104" s="2952"/>
      <c r="L104" s="2952"/>
      <c r="M104" s="2952"/>
      <c r="N104" s="2952"/>
      <c r="O104" s="2952"/>
      <c r="P104" s="2952"/>
      <c r="Q104" s="2952"/>
      <c r="R104" s="2952"/>
      <c r="S104" s="2952"/>
      <c r="T104" s="2952"/>
      <c r="U104" s="2952"/>
      <c r="V104" s="2952"/>
      <c r="W104" s="2952"/>
      <c r="X104" s="2952"/>
      <c r="Y104" s="2952"/>
      <c r="Z104" s="2952"/>
      <c r="AA104" s="2952"/>
      <c r="AB104" s="2952"/>
      <c r="AC104" s="2942">
        <f t="shared" si="10"/>
        <v>0</v>
      </c>
      <c r="AD104" s="2962"/>
      <c r="AE104" s="2962"/>
      <c r="AF104" s="2962"/>
      <c r="AG104" s="2962"/>
      <c r="AH104" s="2962"/>
      <c r="AI104" s="2962"/>
      <c r="AJ104" s="2962"/>
      <c r="AK104" s="2962"/>
      <c r="AL104" s="2962"/>
      <c r="AM104" s="2962"/>
      <c r="AN104" s="2962"/>
      <c r="AO104" s="2962"/>
      <c r="AP104" s="2962"/>
      <c r="AQ104" s="2962"/>
      <c r="AR104" s="2962"/>
      <c r="AS104" s="2962"/>
      <c r="AT104" s="2972"/>
      <c r="AU104" s="2973"/>
      <c r="AV104" s="1120">
        <f t="shared" si="11"/>
        <v>0</v>
      </c>
      <c r="AW104" s="1120">
        <f t="shared" si="12"/>
        <v>0</v>
      </c>
      <c r="AX104" s="1120">
        <f t="shared" si="13"/>
        <v>0</v>
      </c>
      <c r="AY104" s="2987">
        <f t="shared" si="14"/>
        <v>0</v>
      </c>
      <c r="AZ104" s="2942">
        <f t="shared" si="15"/>
        <v>0</v>
      </c>
      <c r="BA104" s="2942">
        <f t="shared" si="16"/>
        <v>0</v>
      </c>
      <c r="BB104" s="2942">
        <f t="shared" si="17"/>
        <v>0</v>
      </c>
      <c r="BC104" s="2942">
        <f t="shared" si="18"/>
        <v>0</v>
      </c>
      <c r="BD104" s="2942">
        <f t="shared" si="19"/>
        <v>0</v>
      </c>
      <c r="BE104" s="2942">
        <f t="shared" si="20"/>
        <v>0</v>
      </c>
      <c r="BF104" s="2942">
        <f t="shared" si="21"/>
        <v>0</v>
      </c>
      <c r="BG104" s="2942">
        <f t="shared" si="22"/>
        <v>0</v>
      </c>
      <c r="BH104" s="2942">
        <f t="shared" si="23"/>
        <v>0</v>
      </c>
      <c r="BI104" s="2942">
        <f t="shared" si="24"/>
        <v>0</v>
      </c>
      <c r="BJ104" s="2942">
        <f t="shared" si="25"/>
        <v>0</v>
      </c>
      <c r="BK104" s="2942">
        <f t="shared" si="26"/>
        <v>0</v>
      </c>
      <c r="BL104" s="2942">
        <f t="shared" si="27"/>
        <v>0</v>
      </c>
      <c r="BM104" s="2942">
        <f t="shared" si="28"/>
        <v>0</v>
      </c>
      <c r="BN104" s="2942">
        <f t="shared" si="29"/>
        <v>0</v>
      </c>
      <c r="BO104" s="2942">
        <f t="shared" si="30"/>
        <v>0</v>
      </c>
      <c r="BP104" s="2942">
        <f t="shared" si="31"/>
        <v>0</v>
      </c>
      <c r="BQ104" s="2942">
        <f t="shared" si="32"/>
        <v>0</v>
      </c>
      <c r="BR104" s="2942">
        <f t="shared" si="33"/>
        <v>0</v>
      </c>
      <c r="BS104" s="2942">
        <f t="shared" si="34"/>
        <v>0</v>
      </c>
      <c r="BT104" s="2994">
        <f t="shared" si="35"/>
        <v>0</v>
      </c>
    </row>
    <row r="105" spans="1:72">
      <c r="A105" s="2939"/>
      <c r="B105" s="2940"/>
      <c r="C105" s="2940"/>
      <c r="D105" s="2941"/>
      <c r="E105" s="2942">
        <f t="shared" si="7"/>
        <v>0</v>
      </c>
      <c r="F105" s="2943"/>
      <c r="G105" s="2944">
        <f t="shared" si="8"/>
        <v>0</v>
      </c>
      <c r="H105" s="2945">
        <f t="shared" si="9"/>
        <v>0</v>
      </c>
      <c r="I105" s="2952"/>
      <c r="J105" s="2952"/>
      <c r="K105" s="2952"/>
      <c r="L105" s="2952"/>
      <c r="M105" s="2952"/>
      <c r="N105" s="2952"/>
      <c r="O105" s="2952"/>
      <c r="P105" s="2952"/>
      <c r="Q105" s="2952"/>
      <c r="R105" s="2952"/>
      <c r="S105" s="2952"/>
      <c r="T105" s="2952"/>
      <c r="U105" s="2952"/>
      <c r="V105" s="2952"/>
      <c r="W105" s="2952"/>
      <c r="X105" s="2952"/>
      <c r="Y105" s="2952"/>
      <c r="Z105" s="2952"/>
      <c r="AA105" s="2952"/>
      <c r="AB105" s="2952"/>
      <c r="AC105" s="2942">
        <f t="shared" si="10"/>
        <v>0</v>
      </c>
      <c r="AD105" s="2962"/>
      <c r="AE105" s="2962"/>
      <c r="AF105" s="2962"/>
      <c r="AG105" s="2962"/>
      <c r="AH105" s="2962"/>
      <c r="AI105" s="2962"/>
      <c r="AJ105" s="2962"/>
      <c r="AK105" s="2962"/>
      <c r="AL105" s="2962"/>
      <c r="AM105" s="2962"/>
      <c r="AN105" s="2962"/>
      <c r="AO105" s="2962"/>
      <c r="AP105" s="2962"/>
      <c r="AQ105" s="2962"/>
      <c r="AR105" s="2962"/>
      <c r="AS105" s="2962"/>
      <c r="AT105" s="2972"/>
      <c r="AU105" s="2973"/>
      <c r="AV105" s="1120">
        <f t="shared" si="11"/>
        <v>0</v>
      </c>
      <c r="AW105" s="1120">
        <f t="shared" si="12"/>
        <v>0</v>
      </c>
      <c r="AX105" s="1120">
        <f t="shared" si="13"/>
        <v>0</v>
      </c>
      <c r="AY105" s="2987">
        <f t="shared" si="14"/>
        <v>0</v>
      </c>
      <c r="AZ105" s="2942">
        <f t="shared" si="15"/>
        <v>0</v>
      </c>
      <c r="BA105" s="2942">
        <f t="shared" si="16"/>
        <v>0</v>
      </c>
      <c r="BB105" s="2942">
        <f t="shared" si="17"/>
        <v>0</v>
      </c>
      <c r="BC105" s="2942">
        <f t="shared" si="18"/>
        <v>0</v>
      </c>
      <c r="BD105" s="2942">
        <f t="shared" si="19"/>
        <v>0</v>
      </c>
      <c r="BE105" s="2942">
        <f t="shared" si="20"/>
        <v>0</v>
      </c>
      <c r="BF105" s="2942">
        <f t="shared" si="21"/>
        <v>0</v>
      </c>
      <c r="BG105" s="2942">
        <f t="shared" si="22"/>
        <v>0</v>
      </c>
      <c r="BH105" s="2942">
        <f t="shared" si="23"/>
        <v>0</v>
      </c>
      <c r="BI105" s="2942">
        <f t="shared" si="24"/>
        <v>0</v>
      </c>
      <c r="BJ105" s="2942">
        <f t="shared" si="25"/>
        <v>0</v>
      </c>
      <c r="BK105" s="2942">
        <f t="shared" si="26"/>
        <v>0</v>
      </c>
      <c r="BL105" s="2942">
        <f t="shared" si="27"/>
        <v>0</v>
      </c>
      <c r="BM105" s="2942">
        <f t="shared" si="28"/>
        <v>0</v>
      </c>
      <c r="BN105" s="2942">
        <f t="shared" si="29"/>
        <v>0</v>
      </c>
      <c r="BO105" s="2942">
        <f t="shared" si="30"/>
        <v>0</v>
      </c>
      <c r="BP105" s="2942">
        <f t="shared" si="31"/>
        <v>0</v>
      </c>
      <c r="BQ105" s="2942">
        <f t="shared" si="32"/>
        <v>0</v>
      </c>
      <c r="BR105" s="2942">
        <f t="shared" si="33"/>
        <v>0</v>
      </c>
      <c r="BS105" s="2942">
        <f t="shared" si="34"/>
        <v>0</v>
      </c>
      <c r="BT105" s="2994">
        <f t="shared" si="35"/>
        <v>0</v>
      </c>
    </row>
    <row r="106" spans="1:72">
      <c r="A106" s="2939"/>
      <c r="B106" s="2940"/>
      <c r="C106" s="2940"/>
      <c r="D106" s="2941"/>
      <c r="E106" s="2942">
        <f t="shared" si="7"/>
        <v>0</v>
      </c>
      <c r="F106" s="2943"/>
      <c r="G106" s="2944">
        <f t="shared" si="8"/>
        <v>0</v>
      </c>
      <c r="H106" s="2945">
        <f t="shared" si="9"/>
        <v>0</v>
      </c>
      <c r="I106" s="2952"/>
      <c r="J106" s="2952"/>
      <c r="K106" s="2952"/>
      <c r="L106" s="2952"/>
      <c r="M106" s="2952"/>
      <c r="N106" s="2952"/>
      <c r="O106" s="2952"/>
      <c r="P106" s="2952"/>
      <c r="Q106" s="2952"/>
      <c r="R106" s="2952"/>
      <c r="S106" s="2952"/>
      <c r="T106" s="2952"/>
      <c r="U106" s="2952"/>
      <c r="V106" s="2952"/>
      <c r="W106" s="2952"/>
      <c r="X106" s="2952"/>
      <c r="Y106" s="2952"/>
      <c r="Z106" s="2952"/>
      <c r="AA106" s="2952"/>
      <c r="AB106" s="2952"/>
      <c r="AC106" s="2942">
        <f t="shared" si="10"/>
        <v>0</v>
      </c>
      <c r="AD106" s="2962"/>
      <c r="AE106" s="2962"/>
      <c r="AF106" s="2962"/>
      <c r="AG106" s="2962"/>
      <c r="AH106" s="2962"/>
      <c r="AI106" s="2962"/>
      <c r="AJ106" s="2962"/>
      <c r="AK106" s="2962"/>
      <c r="AL106" s="2962"/>
      <c r="AM106" s="2962"/>
      <c r="AN106" s="2962"/>
      <c r="AO106" s="2962"/>
      <c r="AP106" s="2962"/>
      <c r="AQ106" s="2962"/>
      <c r="AR106" s="2962"/>
      <c r="AS106" s="2962"/>
      <c r="AT106" s="2972"/>
      <c r="AU106" s="2973"/>
      <c r="AV106" s="1120">
        <f t="shared" si="11"/>
        <v>0</v>
      </c>
      <c r="AW106" s="1120">
        <f t="shared" si="12"/>
        <v>0</v>
      </c>
      <c r="AX106" s="1120">
        <f t="shared" si="13"/>
        <v>0</v>
      </c>
      <c r="AY106" s="2987">
        <f t="shared" si="14"/>
        <v>0</v>
      </c>
      <c r="AZ106" s="2942">
        <f t="shared" si="15"/>
        <v>0</v>
      </c>
      <c r="BA106" s="2942">
        <f t="shared" si="16"/>
        <v>0</v>
      </c>
      <c r="BB106" s="2942">
        <f t="shared" si="17"/>
        <v>0</v>
      </c>
      <c r="BC106" s="2942">
        <f t="shared" si="18"/>
        <v>0</v>
      </c>
      <c r="BD106" s="2942">
        <f t="shared" si="19"/>
        <v>0</v>
      </c>
      <c r="BE106" s="2942">
        <f t="shared" si="20"/>
        <v>0</v>
      </c>
      <c r="BF106" s="2942">
        <f t="shared" si="21"/>
        <v>0</v>
      </c>
      <c r="BG106" s="2942">
        <f t="shared" si="22"/>
        <v>0</v>
      </c>
      <c r="BH106" s="2942">
        <f t="shared" si="23"/>
        <v>0</v>
      </c>
      <c r="BI106" s="2942">
        <f t="shared" si="24"/>
        <v>0</v>
      </c>
      <c r="BJ106" s="2942">
        <f t="shared" si="25"/>
        <v>0</v>
      </c>
      <c r="BK106" s="2942">
        <f t="shared" si="26"/>
        <v>0</v>
      </c>
      <c r="BL106" s="2942">
        <f t="shared" si="27"/>
        <v>0</v>
      </c>
      <c r="BM106" s="2942">
        <f t="shared" si="28"/>
        <v>0</v>
      </c>
      <c r="BN106" s="2942">
        <f t="shared" si="29"/>
        <v>0</v>
      </c>
      <c r="BO106" s="2942">
        <f t="shared" si="30"/>
        <v>0</v>
      </c>
      <c r="BP106" s="2942">
        <f t="shared" si="31"/>
        <v>0</v>
      </c>
      <c r="BQ106" s="2942">
        <f t="shared" si="32"/>
        <v>0</v>
      </c>
      <c r="BR106" s="2942">
        <f t="shared" si="33"/>
        <v>0</v>
      </c>
      <c r="BS106" s="2942">
        <f t="shared" si="34"/>
        <v>0</v>
      </c>
      <c r="BT106" s="2994">
        <f t="shared" si="35"/>
        <v>0</v>
      </c>
    </row>
    <row r="107" spans="1:72">
      <c r="A107" s="2939"/>
      <c r="B107" s="2940"/>
      <c r="C107" s="2940"/>
      <c r="D107" s="2941"/>
      <c r="E107" s="2942">
        <f t="shared" si="7"/>
        <v>0</v>
      </c>
      <c r="F107" s="2943"/>
      <c r="G107" s="2944">
        <f t="shared" si="8"/>
        <v>0</v>
      </c>
      <c r="H107" s="2945">
        <f t="shared" si="9"/>
        <v>0</v>
      </c>
      <c r="I107" s="2952"/>
      <c r="J107" s="2952"/>
      <c r="K107" s="2952"/>
      <c r="L107" s="2952"/>
      <c r="M107" s="2952"/>
      <c r="N107" s="2952"/>
      <c r="O107" s="2952"/>
      <c r="P107" s="2952"/>
      <c r="Q107" s="2952"/>
      <c r="R107" s="2952"/>
      <c r="S107" s="2952"/>
      <c r="T107" s="2952"/>
      <c r="U107" s="2952"/>
      <c r="V107" s="2952"/>
      <c r="W107" s="2952"/>
      <c r="X107" s="2952"/>
      <c r="Y107" s="2952"/>
      <c r="Z107" s="2952"/>
      <c r="AA107" s="2952"/>
      <c r="AB107" s="2952"/>
      <c r="AC107" s="2942">
        <f t="shared" si="10"/>
        <v>0</v>
      </c>
      <c r="AD107" s="2962"/>
      <c r="AE107" s="2962"/>
      <c r="AF107" s="2962"/>
      <c r="AG107" s="2962"/>
      <c r="AH107" s="2962"/>
      <c r="AI107" s="2962"/>
      <c r="AJ107" s="2962"/>
      <c r="AK107" s="2962"/>
      <c r="AL107" s="2962"/>
      <c r="AM107" s="2962"/>
      <c r="AN107" s="2962"/>
      <c r="AO107" s="2962"/>
      <c r="AP107" s="2962"/>
      <c r="AQ107" s="2962"/>
      <c r="AR107" s="2962"/>
      <c r="AS107" s="2962"/>
      <c r="AT107" s="2972"/>
      <c r="AU107" s="2973"/>
      <c r="AV107" s="1120">
        <f t="shared" si="11"/>
        <v>0</v>
      </c>
      <c r="AW107" s="1120">
        <f t="shared" si="12"/>
        <v>0</v>
      </c>
      <c r="AX107" s="1120">
        <f t="shared" si="13"/>
        <v>0</v>
      </c>
      <c r="AY107" s="2987">
        <f t="shared" si="14"/>
        <v>0</v>
      </c>
      <c r="AZ107" s="2942">
        <f t="shared" si="15"/>
        <v>0</v>
      </c>
      <c r="BA107" s="2942">
        <f t="shared" si="16"/>
        <v>0</v>
      </c>
      <c r="BB107" s="2942">
        <f t="shared" si="17"/>
        <v>0</v>
      </c>
      <c r="BC107" s="2942">
        <f t="shared" si="18"/>
        <v>0</v>
      </c>
      <c r="BD107" s="2942">
        <f t="shared" si="19"/>
        <v>0</v>
      </c>
      <c r="BE107" s="2942">
        <f t="shared" si="20"/>
        <v>0</v>
      </c>
      <c r="BF107" s="2942">
        <f t="shared" si="21"/>
        <v>0</v>
      </c>
      <c r="BG107" s="2942">
        <f t="shared" si="22"/>
        <v>0</v>
      </c>
      <c r="BH107" s="2942">
        <f t="shared" si="23"/>
        <v>0</v>
      </c>
      <c r="BI107" s="2942">
        <f t="shared" si="24"/>
        <v>0</v>
      </c>
      <c r="BJ107" s="2942">
        <f t="shared" si="25"/>
        <v>0</v>
      </c>
      <c r="BK107" s="2942">
        <f t="shared" si="26"/>
        <v>0</v>
      </c>
      <c r="BL107" s="2942">
        <f t="shared" si="27"/>
        <v>0</v>
      </c>
      <c r="BM107" s="2942">
        <f t="shared" si="28"/>
        <v>0</v>
      </c>
      <c r="BN107" s="2942">
        <f t="shared" si="29"/>
        <v>0</v>
      </c>
      <c r="BO107" s="2942">
        <f t="shared" si="30"/>
        <v>0</v>
      </c>
      <c r="BP107" s="2942">
        <f t="shared" si="31"/>
        <v>0</v>
      </c>
      <c r="BQ107" s="2942">
        <f t="shared" si="32"/>
        <v>0</v>
      </c>
      <c r="BR107" s="2942">
        <f t="shared" si="33"/>
        <v>0</v>
      </c>
      <c r="BS107" s="2942">
        <f t="shared" si="34"/>
        <v>0</v>
      </c>
      <c r="BT107" s="2994">
        <f t="shared" si="35"/>
        <v>0</v>
      </c>
    </row>
    <row r="108" spans="1:72">
      <c r="A108" s="2939"/>
      <c r="B108" s="2940"/>
      <c r="C108" s="2940"/>
      <c r="D108" s="2941"/>
      <c r="E108" s="2942">
        <f t="shared" si="7"/>
        <v>0</v>
      </c>
      <c r="F108" s="2943"/>
      <c r="G108" s="2944">
        <f t="shared" si="8"/>
        <v>0</v>
      </c>
      <c r="H108" s="2945">
        <f t="shared" si="9"/>
        <v>0</v>
      </c>
      <c r="I108" s="2952"/>
      <c r="J108" s="2952"/>
      <c r="K108" s="2952"/>
      <c r="L108" s="2952"/>
      <c r="M108" s="2952"/>
      <c r="N108" s="2952"/>
      <c r="O108" s="2952"/>
      <c r="P108" s="2952"/>
      <c r="Q108" s="2952"/>
      <c r="R108" s="2952"/>
      <c r="S108" s="2952"/>
      <c r="T108" s="2952"/>
      <c r="U108" s="2952"/>
      <c r="V108" s="2952"/>
      <c r="W108" s="2952"/>
      <c r="X108" s="2952"/>
      <c r="Y108" s="2952"/>
      <c r="Z108" s="2952"/>
      <c r="AA108" s="2952"/>
      <c r="AB108" s="2952"/>
      <c r="AC108" s="2942">
        <f t="shared" si="10"/>
        <v>0</v>
      </c>
      <c r="AD108" s="2962"/>
      <c r="AE108" s="2962"/>
      <c r="AF108" s="2962"/>
      <c r="AG108" s="2962"/>
      <c r="AH108" s="2962"/>
      <c r="AI108" s="2962"/>
      <c r="AJ108" s="2962"/>
      <c r="AK108" s="2962"/>
      <c r="AL108" s="2962"/>
      <c r="AM108" s="2962"/>
      <c r="AN108" s="2962"/>
      <c r="AO108" s="2962"/>
      <c r="AP108" s="2962"/>
      <c r="AQ108" s="2962"/>
      <c r="AR108" s="2962"/>
      <c r="AS108" s="2962"/>
      <c r="AT108" s="2972"/>
      <c r="AU108" s="2973"/>
      <c r="AV108" s="1120">
        <f t="shared" si="11"/>
        <v>0</v>
      </c>
      <c r="AW108" s="1120">
        <f t="shared" si="12"/>
        <v>0</v>
      </c>
      <c r="AX108" s="1120">
        <f t="shared" si="13"/>
        <v>0</v>
      </c>
      <c r="AY108" s="2987">
        <f t="shared" si="14"/>
        <v>0</v>
      </c>
      <c r="AZ108" s="2942">
        <f t="shared" si="15"/>
        <v>0</v>
      </c>
      <c r="BA108" s="2942">
        <f t="shared" si="16"/>
        <v>0</v>
      </c>
      <c r="BB108" s="2942">
        <f t="shared" si="17"/>
        <v>0</v>
      </c>
      <c r="BC108" s="2942">
        <f t="shared" si="18"/>
        <v>0</v>
      </c>
      <c r="BD108" s="2942">
        <f t="shared" si="19"/>
        <v>0</v>
      </c>
      <c r="BE108" s="2942">
        <f t="shared" si="20"/>
        <v>0</v>
      </c>
      <c r="BF108" s="2942">
        <f t="shared" si="21"/>
        <v>0</v>
      </c>
      <c r="BG108" s="2942">
        <f t="shared" si="22"/>
        <v>0</v>
      </c>
      <c r="BH108" s="2942">
        <f t="shared" si="23"/>
        <v>0</v>
      </c>
      <c r="BI108" s="2942">
        <f t="shared" si="24"/>
        <v>0</v>
      </c>
      <c r="BJ108" s="2942">
        <f t="shared" si="25"/>
        <v>0</v>
      </c>
      <c r="BK108" s="2942">
        <f t="shared" si="26"/>
        <v>0</v>
      </c>
      <c r="BL108" s="2942">
        <f t="shared" si="27"/>
        <v>0</v>
      </c>
      <c r="BM108" s="2942">
        <f t="shared" si="28"/>
        <v>0</v>
      </c>
      <c r="BN108" s="2942">
        <f t="shared" si="29"/>
        <v>0</v>
      </c>
      <c r="BO108" s="2942">
        <f t="shared" si="30"/>
        <v>0</v>
      </c>
      <c r="BP108" s="2942">
        <f t="shared" si="31"/>
        <v>0</v>
      </c>
      <c r="BQ108" s="2942">
        <f t="shared" si="32"/>
        <v>0</v>
      </c>
      <c r="BR108" s="2942">
        <f t="shared" si="33"/>
        <v>0</v>
      </c>
      <c r="BS108" s="2942">
        <f t="shared" si="34"/>
        <v>0</v>
      </c>
      <c r="BT108" s="2994">
        <f t="shared" si="35"/>
        <v>0</v>
      </c>
    </row>
    <row r="109" spans="1:72">
      <c r="A109" s="2939"/>
      <c r="B109" s="2940"/>
      <c r="C109" s="2940"/>
      <c r="D109" s="2941"/>
      <c r="E109" s="2942">
        <f t="shared" si="7"/>
        <v>0</v>
      </c>
      <c r="F109" s="2943"/>
      <c r="G109" s="2944">
        <f t="shared" si="8"/>
        <v>0</v>
      </c>
      <c r="H109" s="2945">
        <f t="shared" si="9"/>
        <v>0</v>
      </c>
      <c r="I109" s="2952"/>
      <c r="J109" s="2952"/>
      <c r="K109" s="2952"/>
      <c r="L109" s="2952"/>
      <c r="M109" s="2952"/>
      <c r="N109" s="2952"/>
      <c r="O109" s="2952"/>
      <c r="P109" s="2952"/>
      <c r="Q109" s="2952"/>
      <c r="R109" s="2952"/>
      <c r="S109" s="2952"/>
      <c r="T109" s="2952"/>
      <c r="U109" s="2952"/>
      <c r="V109" s="2952"/>
      <c r="W109" s="2952"/>
      <c r="X109" s="2952"/>
      <c r="Y109" s="2952"/>
      <c r="Z109" s="2952"/>
      <c r="AA109" s="2952"/>
      <c r="AB109" s="2952"/>
      <c r="AC109" s="2942">
        <f t="shared" si="10"/>
        <v>0</v>
      </c>
      <c r="AD109" s="2962"/>
      <c r="AE109" s="2962"/>
      <c r="AF109" s="2962"/>
      <c r="AG109" s="2962"/>
      <c r="AH109" s="2962"/>
      <c r="AI109" s="2962"/>
      <c r="AJ109" s="2962"/>
      <c r="AK109" s="2962"/>
      <c r="AL109" s="2962"/>
      <c r="AM109" s="2962"/>
      <c r="AN109" s="2962"/>
      <c r="AO109" s="2962"/>
      <c r="AP109" s="2962"/>
      <c r="AQ109" s="2962"/>
      <c r="AR109" s="2962"/>
      <c r="AS109" s="2962"/>
      <c r="AT109" s="2972"/>
      <c r="AU109" s="2973"/>
      <c r="AV109" s="1120">
        <f t="shared" si="11"/>
        <v>0</v>
      </c>
      <c r="AW109" s="1120">
        <f t="shared" si="12"/>
        <v>0</v>
      </c>
      <c r="AX109" s="1120">
        <f t="shared" si="13"/>
        <v>0</v>
      </c>
      <c r="AY109" s="2987">
        <f t="shared" si="14"/>
        <v>0</v>
      </c>
      <c r="AZ109" s="2942">
        <f t="shared" si="15"/>
        <v>0</v>
      </c>
      <c r="BA109" s="2942">
        <f t="shared" si="16"/>
        <v>0</v>
      </c>
      <c r="BB109" s="2942">
        <f t="shared" si="17"/>
        <v>0</v>
      </c>
      <c r="BC109" s="2942">
        <f t="shared" si="18"/>
        <v>0</v>
      </c>
      <c r="BD109" s="2942">
        <f t="shared" si="19"/>
        <v>0</v>
      </c>
      <c r="BE109" s="2942">
        <f t="shared" si="20"/>
        <v>0</v>
      </c>
      <c r="BF109" s="2942">
        <f t="shared" si="21"/>
        <v>0</v>
      </c>
      <c r="BG109" s="2942">
        <f t="shared" si="22"/>
        <v>0</v>
      </c>
      <c r="BH109" s="2942">
        <f t="shared" si="23"/>
        <v>0</v>
      </c>
      <c r="BI109" s="2942">
        <f t="shared" si="24"/>
        <v>0</v>
      </c>
      <c r="BJ109" s="2942">
        <f t="shared" si="25"/>
        <v>0</v>
      </c>
      <c r="BK109" s="2942">
        <f t="shared" si="26"/>
        <v>0</v>
      </c>
      <c r="BL109" s="2942">
        <f t="shared" si="27"/>
        <v>0</v>
      </c>
      <c r="BM109" s="2942">
        <f t="shared" si="28"/>
        <v>0</v>
      </c>
      <c r="BN109" s="2942">
        <f t="shared" si="29"/>
        <v>0</v>
      </c>
      <c r="BO109" s="2942">
        <f t="shared" si="30"/>
        <v>0</v>
      </c>
      <c r="BP109" s="2942">
        <f t="shared" si="31"/>
        <v>0</v>
      </c>
      <c r="BQ109" s="2942">
        <f t="shared" si="32"/>
        <v>0</v>
      </c>
      <c r="BR109" s="2942">
        <f t="shared" si="33"/>
        <v>0</v>
      </c>
      <c r="BS109" s="2942">
        <f t="shared" si="34"/>
        <v>0</v>
      </c>
      <c r="BT109" s="2994">
        <f t="shared" si="35"/>
        <v>0</v>
      </c>
    </row>
    <row r="110" spans="1:72">
      <c r="A110" s="2939"/>
      <c r="B110" s="2939"/>
      <c r="C110" s="2939"/>
      <c r="D110" s="2941"/>
      <c r="E110" s="2942">
        <f t="shared" si="7"/>
        <v>0</v>
      </c>
      <c r="F110" s="2995"/>
      <c r="G110" s="2944">
        <f t="shared" ref="G110:G141" si="36">H110+AC110+AT110</f>
        <v>0</v>
      </c>
      <c r="H110" s="2945">
        <f t="shared" ref="H110:H141" si="37">SUMIF(I$12:AB$12,"总值",I110:AB110)</f>
        <v>0</v>
      </c>
      <c r="I110" s="2996"/>
      <c r="J110" s="2996"/>
      <c r="K110" s="2952"/>
      <c r="L110" s="2952"/>
      <c r="M110" s="2952"/>
      <c r="N110" s="2952"/>
      <c r="O110" s="2952"/>
      <c r="P110" s="2952"/>
      <c r="Q110" s="2952"/>
      <c r="R110" s="2952"/>
      <c r="S110" s="2952"/>
      <c r="T110" s="2952"/>
      <c r="U110" s="2952"/>
      <c r="V110" s="2952"/>
      <c r="W110" s="2952"/>
      <c r="X110" s="2952"/>
      <c r="Y110" s="2952"/>
      <c r="Z110" s="2952"/>
      <c r="AA110" s="2952"/>
      <c r="AB110" s="2952"/>
      <c r="AC110" s="2942">
        <f t="shared" ref="AC110:AC141" si="38">SUMIF(AD$12:AS$12,"总值",AD110:AS110)</f>
        <v>0</v>
      </c>
      <c r="AD110" s="2962"/>
      <c r="AE110" s="2962"/>
      <c r="AF110" s="2962"/>
      <c r="AG110" s="2962"/>
      <c r="AH110" s="2962"/>
      <c r="AI110" s="2962"/>
      <c r="AJ110" s="2962"/>
      <c r="AK110" s="2962"/>
      <c r="AL110" s="2962"/>
      <c r="AM110" s="2962"/>
      <c r="AN110" s="2962"/>
      <c r="AO110" s="2962"/>
      <c r="AP110" s="2962"/>
      <c r="AQ110" s="2962"/>
      <c r="AR110" s="2962"/>
      <c r="AS110" s="2962"/>
      <c r="AT110" s="2962"/>
      <c r="AU110" s="2997"/>
      <c r="AV110" s="1120">
        <f t="shared" si="11"/>
        <v>0</v>
      </c>
      <c r="AW110" s="1120">
        <f t="shared" si="12"/>
        <v>0</v>
      </c>
      <c r="AX110" s="1120">
        <f t="shared" si="13"/>
        <v>0</v>
      </c>
      <c r="AY110" s="2987">
        <f t="shared" ref="AY110:AY141" si="39">ROUND($AY$6*AZ110/$AZ$5,2)</f>
        <v>0</v>
      </c>
      <c r="AZ110" s="2942">
        <f t="shared" ref="AZ110:AZ141" si="40">BA110+BL110</f>
        <v>0</v>
      </c>
      <c r="BA110" s="2942">
        <f t="shared" ref="BA110:BA141" si="41">SUM(BB110:BK110)</f>
        <v>0</v>
      </c>
      <c r="BB110" s="2942">
        <f t="shared" ref="BB110:BB141" si="42">IF($D110="是",I110-J110,0)</f>
        <v>0</v>
      </c>
      <c r="BC110" s="2942">
        <f t="shared" ref="BC110:BC141" si="43">IF($D110="是",K110-L110,0)</f>
        <v>0</v>
      </c>
      <c r="BD110" s="2942">
        <f t="shared" ref="BD110:BD141" si="44">IF($D110="是",M110-N110,0)</f>
        <v>0</v>
      </c>
      <c r="BE110" s="2942">
        <f t="shared" ref="BE110:BE141" si="45">IF($D110="是",O110-P110,0)</f>
        <v>0</v>
      </c>
      <c r="BF110" s="2942">
        <f t="shared" ref="BF110:BF141" si="46">IF($D110="是",Q110-R110,0)</f>
        <v>0</v>
      </c>
      <c r="BG110" s="2942">
        <f t="shared" ref="BG110:BG141" si="47">IF($D110="是",S110-T110,0)</f>
        <v>0</v>
      </c>
      <c r="BH110" s="2942">
        <f t="shared" ref="BH110:BH141" si="48">IF($D110="是",U110-V110,0)</f>
        <v>0</v>
      </c>
      <c r="BI110" s="2942">
        <f t="shared" ref="BI110:BI141" si="49">IF($D110="是",W110-X110,0)</f>
        <v>0</v>
      </c>
      <c r="BJ110" s="2942">
        <f t="shared" ref="BJ110:BJ141" si="50">IF($D110="是",Y110-Z110,0)</f>
        <v>0</v>
      </c>
      <c r="BK110" s="2942">
        <f t="shared" ref="BK110:BK141" si="51">IF($D110="是",AA110-AB110,0)</f>
        <v>0</v>
      </c>
      <c r="BL110" s="2942">
        <f t="shared" ref="BL110:BL141" si="52">SUM(BM110:BT110)</f>
        <v>0</v>
      </c>
      <c r="BM110" s="2942">
        <f t="shared" ref="BM110:BM141" si="53">IF($D110="是",AD110-AE110,0)</f>
        <v>0</v>
      </c>
      <c r="BN110" s="2942">
        <f t="shared" ref="BN110:BN141" si="54">IF($D110="是",AF110-AG110,0)</f>
        <v>0</v>
      </c>
      <c r="BO110" s="2942">
        <f t="shared" ref="BO110:BO141" si="55">IF($D110="是",AH110-AI110,0)</f>
        <v>0</v>
      </c>
      <c r="BP110" s="2942">
        <f t="shared" ref="BP110:BP141" si="56">IF($D110="是",AJ110-AK110,0)</f>
        <v>0</v>
      </c>
      <c r="BQ110" s="2942">
        <f t="shared" ref="BQ110:BQ141" si="57">IF($D110="是",AL110-AM110,0)</f>
        <v>0</v>
      </c>
      <c r="BR110" s="2942">
        <f t="shared" ref="BR110:BR141" si="58">IF($D110="是",AN110-AO110,0)</f>
        <v>0</v>
      </c>
      <c r="BS110" s="2942">
        <f t="shared" ref="BS110:BS141" si="59">IF($D110="是",AP110-AQ110,0)</f>
        <v>0</v>
      </c>
      <c r="BT110" s="2994">
        <f t="shared" ref="BT110:BT141" si="60">IF($D110="是",AR110-AS110,0)</f>
        <v>0</v>
      </c>
    </row>
    <row r="111" spans="1:72">
      <c r="A111" s="2939"/>
      <c r="B111" s="2939"/>
      <c r="C111" s="2939"/>
      <c r="D111" s="2941"/>
      <c r="E111" s="2942">
        <f t="shared" si="7"/>
        <v>0</v>
      </c>
      <c r="F111" s="2995"/>
      <c r="G111" s="2944">
        <f t="shared" si="36"/>
        <v>0</v>
      </c>
      <c r="H111" s="2945">
        <f t="shared" si="37"/>
        <v>0</v>
      </c>
      <c r="I111" s="2952"/>
      <c r="J111" s="2952"/>
      <c r="K111" s="2952"/>
      <c r="L111" s="2952"/>
      <c r="M111" s="2952"/>
      <c r="N111" s="2952"/>
      <c r="O111" s="2952"/>
      <c r="P111" s="2952"/>
      <c r="Q111" s="2952"/>
      <c r="R111" s="2952"/>
      <c r="S111" s="2952"/>
      <c r="T111" s="2952"/>
      <c r="U111" s="2952"/>
      <c r="V111" s="2952"/>
      <c r="W111" s="2952"/>
      <c r="X111" s="2952"/>
      <c r="Y111" s="2952"/>
      <c r="Z111" s="2952"/>
      <c r="AA111" s="2952"/>
      <c r="AB111" s="2952"/>
      <c r="AC111" s="2942">
        <f t="shared" si="38"/>
        <v>0</v>
      </c>
      <c r="AD111" s="2962"/>
      <c r="AE111" s="2962"/>
      <c r="AF111" s="2962"/>
      <c r="AG111" s="2962"/>
      <c r="AH111" s="2962"/>
      <c r="AI111" s="2962"/>
      <c r="AJ111" s="2962"/>
      <c r="AK111" s="2962"/>
      <c r="AL111" s="2962"/>
      <c r="AM111" s="2962"/>
      <c r="AN111" s="2962"/>
      <c r="AO111" s="2962"/>
      <c r="AP111" s="2962"/>
      <c r="AQ111" s="2962"/>
      <c r="AR111" s="2962"/>
      <c r="AS111" s="2962"/>
      <c r="AT111" s="2962"/>
      <c r="AU111" s="2997"/>
      <c r="AV111" s="1120">
        <f t="shared" si="11"/>
        <v>0</v>
      </c>
      <c r="AW111" s="1120">
        <f t="shared" si="12"/>
        <v>0</v>
      </c>
      <c r="AX111" s="1120">
        <f t="shared" si="13"/>
        <v>0</v>
      </c>
      <c r="AY111" s="2987">
        <f t="shared" si="39"/>
        <v>0</v>
      </c>
      <c r="AZ111" s="2942">
        <f t="shared" si="40"/>
        <v>0</v>
      </c>
      <c r="BA111" s="2942">
        <f t="shared" si="41"/>
        <v>0</v>
      </c>
      <c r="BB111" s="2942">
        <f t="shared" si="42"/>
        <v>0</v>
      </c>
      <c r="BC111" s="2942">
        <f t="shared" si="43"/>
        <v>0</v>
      </c>
      <c r="BD111" s="2942">
        <f t="shared" si="44"/>
        <v>0</v>
      </c>
      <c r="BE111" s="2942">
        <f t="shared" si="45"/>
        <v>0</v>
      </c>
      <c r="BF111" s="2942">
        <f t="shared" si="46"/>
        <v>0</v>
      </c>
      <c r="BG111" s="2942">
        <f t="shared" si="47"/>
        <v>0</v>
      </c>
      <c r="BH111" s="2942">
        <f t="shared" si="48"/>
        <v>0</v>
      </c>
      <c r="BI111" s="2942">
        <f t="shared" si="49"/>
        <v>0</v>
      </c>
      <c r="BJ111" s="2942">
        <f t="shared" si="50"/>
        <v>0</v>
      </c>
      <c r="BK111" s="2942">
        <f t="shared" si="51"/>
        <v>0</v>
      </c>
      <c r="BL111" s="2942">
        <f t="shared" si="52"/>
        <v>0</v>
      </c>
      <c r="BM111" s="2942">
        <f t="shared" si="53"/>
        <v>0</v>
      </c>
      <c r="BN111" s="2942">
        <f t="shared" si="54"/>
        <v>0</v>
      </c>
      <c r="BO111" s="2942">
        <f t="shared" si="55"/>
        <v>0</v>
      </c>
      <c r="BP111" s="2942">
        <f t="shared" si="56"/>
        <v>0</v>
      </c>
      <c r="BQ111" s="2942">
        <f t="shared" si="57"/>
        <v>0</v>
      </c>
      <c r="BR111" s="2942">
        <f t="shared" si="58"/>
        <v>0</v>
      </c>
      <c r="BS111" s="2942">
        <f t="shared" si="59"/>
        <v>0</v>
      </c>
      <c r="BT111" s="2994">
        <f t="shared" si="60"/>
        <v>0</v>
      </c>
    </row>
    <row r="112" spans="1:72">
      <c r="A112" s="2939"/>
      <c r="B112" s="2939"/>
      <c r="C112" s="2939"/>
      <c r="D112" s="2941"/>
      <c r="E112" s="2942">
        <f t="shared" si="7"/>
        <v>0</v>
      </c>
      <c r="F112" s="2995"/>
      <c r="G112" s="2944">
        <f t="shared" si="36"/>
        <v>0</v>
      </c>
      <c r="H112" s="2945">
        <f t="shared" si="37"/>
        <v>0</v>
      </c>
      <c r="I112" s="2952"/>
      <c r="J112" s="2952"/>
      <c r="K112" s="2952"/>
      <c r="L112" s="2952"/>
      <c r="M112" s="2952"/>
      <c r="N112" s="2952"/>
      <c r="O112" s="2952"/>
      <c r="P112" s="2952"/>
      <c r="Q112" s="2952"/>
      <c r="R112" s="2952"/>
      <c r="S112" s="2952"/>
      <c r="T112" s="2952"/>
      <c r="U112" s="2952"/>
      <c r="V112" s="2952"/>
      <c r="W112" s="2952"/>
      <c r="X112" s="2952"/>
      <c r="Y112" s="2952"/>
      <c r="Z112" s="2952"/>
      <c r="AA112" s="2952"/>
      <c r="AB112" s="2952"/>
      <c r="AC112" s="2942">
        <f t="shared" si="38"/>
        <v>0</v>
      </c>
      <c r="AD112" s="2962"/>
      <c r="AE112" s="2962"/>
      <c r="AF112" s="2962"/>
      <c r="AG112" s="2962"/>
      <c r="AH112" s="2962"/>
      <c r="AI112" s="2962"/>
      <c r="AJ112" s="2962"/>
      <c r="AK112" s="2962"/>
      <c r="AL112" s="2962"/>
      <c r="AM112" s="2962"/>
      <c r="AN112" s="2962"/>
      <c r="AO112" s="2962"/>
      <c r="AP112" s="2962"/>
      <c r="AQ112" s="2962"/>
      <c r="AR112" s="2962"/>
      <c r="AS112" s="2962"/>
      <c r="AT112" s="2962"/>
      <c r="AU112" s="2997"/>
      <c r="AV112" s="1120">
        <f t="shared" si="11"/>
        <v>0</v>
      </c>
      <c r="AW112" s="1120">
        <f t="shared" si="12"/>
        <v>0</v>
      </c>
      <c r="AX112" s="1120">
        <f t="shared" si="13"/>
        <v>0</v>
      </c>
      <c r="AY112" s="2987">
        <f t="shared" si="39"/>
        <v>0</v>
      </c>
      <c r="AZ112" s="2942">
        <f t="shared" si="40"/>
        <v>0</v>
      </c>
      <c r="BA112" s="2942">
        <f t="shared" si="41"/>
        <v>0</v>
      </c>
      <c r="BB112" s="2942">
        <f t="shared" si="42"/>
        <v>0</v>
      </c>
      <c r="BC112" s="2942">
        <f t="shared" si="43"/>
        <v>0</v>
      </c>
      <c r="BD112" s="2942">
        <f t="shared" si="44"/>
        <v>0</v>
      </c>
      <c r="BE112" s="2942">
        <f t="shared" si="45"/>
        <v>0</v>
      </c>
      <c r="BF112" s="2942">
        <f t="shared" si="46"/>
        <v>0</v>
      </c>
      <c r="BG112" s="2942">
        <f t="shared" si="47"/>
        <v>0</v>
      </c>
      <c r="BH112" s="2942">
        <f t="shared" si="48"/>
        <v>0</v>
      </c>
      <c r="BI112" s="2942">
        <f t="shared" si="49"/>
        <v>0</v>
      </c>
      <c r="BJ112" s="2942">
        <f t="shared" si="50"/>
        <v>0</v>
      </c>
      <c r="BK112" s="2942">
        <f t="shared" si="51"/>
        <v>0</v>
      </c>
      <c r="BL112" s="2942">
        <f t="shared" si="52"/>
        <v>0</v>
      </c>
      <c r="BM112" s="2942">
        <f t="shared" si="53"/>
        <v>0</v>
      </c>
      <c r="BN112" s="2942">
        <f t="shared" si="54"/>
        <v>0</v>
      </c>
      <c r="BO112" s="2942">
        <f t="shared" si="55"/>
        <v>0</v>
      </c>
      <c r="BP112" s="2942">
        <f t="shared" si="56"/>
        <v>0</v>
      </c>
      <c r="BQ112" s="2942">
        <f t="shared" si="57"/>
        <v>0</v>
      </c>
      <c r="BR112" s="2942">
        <f t="shared" si="58"/>
        <v>0</v>
      </c>
      <c r="BS112" s="2942">
        <f t="shared" si="59"/>
        <v>0</v>
      </c>
      <c r="BT112" s="2994">
        <f t="shared" si="60"/>
        <v>0</v>
      </c>
    </row>
    <row r="113" spans="1:72">
      <c r="A113" s="2939"/>
      <c r="B113" s="2940"/>
      <c r="C113" s="2940"/>
      <c r="D113" s="2941"/>
      <c r="E113" s="2942">
        <f t="shared" ref="E113:E144" si="61">IF($C$3="是",ROUND($A$3*G113/$B$3,2),ROUND($A$3*(G113-AT113)/$B$3,2))</f>
        <v>0</v>
      </c>
      <c r="F113" s="2943"/>
      <c r="G113" s="2944">
        <f t="shared" si="36"/>
        <v>0</v>
      </c>
      <c r="H113" s="2945">
        <f t="shared" si="37"/>
        <v>0</v>
      </c>
      <c r="I113" s="2952"/>
      <c r="J113" s="2952"/>
      <c r="K113" s="2952"/>
      <c r="L113" s="2952"/>
      <c r="M113" s="2952"/>
      <c r="N113" s="2952"/>
      <c r="O113" s="2952"/>
      <c r="P113" s="2952"/>
      <c r="Q113" s="2952"/>
      <c r="R113" s="2952"/>
      <c r="S113" s="2952"/>
      <c r="T113" s="2952"/>
      <c r="U113" s="2952"/>
      <c r="V113" s="2952"/>
      <c r="W113" s="2952"/>
      <c r="X113" s="2952"/>
      <c r="Y113" s="2952"/>
      <c r="Z113" s="2952"/>
      <c r="AA113" s="2952"/>
      <c r="AB113" s="2952"/>
      <c r="AC113" s="2942">
        <f t="shared" si="38"/>
        <v>0</v>
      </c>
      <c r="AD113" s="2962"/>
      <c r="AE113" s="2962"/>
      <c r="AF113" s="2962"/>
      <c r="AG113" s="2962"/>
      <c r="AH113" s="2962"/>
      <c r="AI113" s="2962"/>
      <c r="AJ113" s="2962"/>
      <c r="AK113" s="2962"/>
      <c r="AL113" s="2962"/>
      <c r="AM113" s="2962"/>
      <c r="AN113" s="2962"/>
      <c r="AO113" s="2962"/>
      <c r="AP113" s="2962"/>
      <c r="AQ113" s="2962"/>
      <c r="AR113" s="2962"/>
      <c r="AS113" s="2962"/>
      <c r="AT113" s="2972"/>
      <c r="AU113" s="2973"/>
      <c r="AV113" s="1120">
        <f t="shared" ref="AV113:AV144" si="62">A113</f>
        <v>0</v>
      </c>
      <c r="AW113" s="1120">
        <f t="shared" ref="AW113:AW144" si="63">B113</f>
        <v>0</v>
      </c>
      <c r="AX113" s="1120">
        <f t="shared" ref="AX113:AX144" si="64">C113</f>
        <v>0</v>
      </c>
      <c r="AY113" s="2987">
        <f t="shared" si="39"/>
        <v>0</v>
      </c>
      <c r="AZ113" s="2942">
        <f t="shared" si="40"/>
        <v>0</v>
      </c>
      <c r="BA113" s="2942">
        <f t="shared" si="41"/>
        <v>0</v>
      </c>
      <c r="BB113" s="2942">
        <f t="shared" si="42"/>
        <v>0</v>
      </c>
      <c r="BC113" s="2942">
        <f t="shared" si="43"/>
        <v>0</v>
      </c>
      <c r="BD113" s="2942">
        <f t="shared" si="44"/>
        <v>0</v>
      </c>
      <c r="BE113" s="2942">
        <f t="shared" si="45"/>
        <v>0</v>
      </c>
      <c r="BF113" s="2942">
        <f t="shared" si="46"/>
        <v>0</v>
      </c>
      <c r="BG113" s="2942">
        <f t="shared" si="47"/>
        <v>0</v>
      </c>
      <c r="BH113" s="2942">
        <f t="shared" si="48"/>
        <v>0</v>
      </c>
      <c r="BI113" s="2942">
        <f t="shared" si="49"/>
        <v>0</v>
      </c>
      <c r="BJ113" s="2942">
        <f t="shared" si="50"/>
        <v>0</v>
      </c>
      <c r="BK113" s="2942">
        <f t="shared" si="51"/>
        <v>0</v>
      </c>
      <c r="BL113" s="2942">
        <f t="shared" si="52"/>
        <v>0</v>
      </c>
      <c r="BM113" s="2942">
        <f t="shared" si="53"/>
        <v>0</v>
      </c>
      <c r="BN113" s="2942">
        <f t="shared" si="54"/>
        <v>0</v>
      </c>
      <c r="BO113" s="2942">
        <f t="shared" si="55"/>
        <v>0</v>
      </c>
      <c r="BP113" s="2942">
        <f t="shared" si="56"/>
        <v>0</v>
      </c>
      <c r="BQ113" s="2942">
        <f t="shared" si="57"/>
        <v>0</v>
      </c>
      <c r="BR113" s="2942">
        <f t="shared" si="58"/>
        <v>0</v>
      </c>
      <c r="BS113" s="2942">
        <f t="shared" si="59"/>
        <v>0</v>
      </c>
      <c r="BT113" s="2994">
        <f t="shared" si="60"/>
        <v>0</v>
      </c>
    </row>
    <row r="114" spans="1:72">
      <c r="A114" s="2939"/>
      <c r="B114" s="2940"/>
      <c r="C114" s="2940"/>
      <c r="D114" s="2941"/>
      <c r="E114" s="2942">
        <f t="shared" si="61"/>
        <v>0</v>
      </c>
      <c r="F114" s="2943"/>
      <c r="G114" s="2944">
        <f t="shared" si="36"/>
        <v>0</v>
      </c>
      <c r="H114" s="2945">
        <f t="shared" si="37"/>
        <v>0</v>
      </c>
      <c r="I114" s="2952"/>
      <c r="J114" s="2952"/>
      <c r="K114" s="2952"/>
      <c r="L114" s="2952"/>
      <c r="M114" s="2952"/>
      <c r="N114" s="2952"/>
      <c r="O114" s="2952"/>
      <c r="P114" s="2952"/>
      <c r="Q114" s="2952"/>
      <c r="R114" s="2952"/>
      <c r="S114" s="2952"/>
      <c r="T114" s="2952"/>
      <c r="U114" s="2952"/>
      <c r="V114" s="2952"/>
      <c r="W114" s="2952"/>
      <c r="X114" s="2952"/>
      <c r="Y114" s="2952"/>
      <c r="Z114" s="2952"/>
      <c r="AA114" s="2952"/>
      <c r="AB114" s="2952"/>
      <c r="AC114" s="2942">
        <f t="shared" si="38"/>
        <v>0</v>
      </c>
      <c r="AD114" s="2962"/>
      <c r="AE114" s="2962"/>
      <c r="AF114" s="2962"/>
      <c r="AG114" s="2962"/>
      <c r="AH114" s="2962"/>
      <c r="AI114" s="2962"/>
      <c r="AJ114" s="2962"/>
      <c r="AK114" s="2962"/>
      <c r="AL114" s="2962"/>
      <c r="AM114" s="2962"/>
      <c r="AN114" s="2962"/>
      <c r="AO114" s="2962"/>
      <c r="AP114" s="2962"/>
      <c r="AQ114" s="2962"/>
      <c r="AR114" s="2962"/>
      <c r="AS114" s="2962"/>
      <c r="AT114" s="2972"/>
      <c r="AU114" s="2973"/>
      <c r="AV114" s="1120">
        <f t="shared" si="62"/>
        <v>0</v>
      </c>
      <c r="AW114" s="1120">
        <f t="shared" si="63"/>
        <v>0</v>
      </c>
      <c r="AX114" s="1120">
        <f t="shared" si="64"/>
        <v>0</v>
      </c>
      <c r="AY114" s="2987">
        <f t="shared" si="39"/>
        <v>0</v>
      </c>
      <c r="AZ114" s="2942">
        <f t="shared" si="40"/>
        <v>0</v>
      </c>
      <c r="BA114" s="2942">
        <f t="shared" si="41"/>
        <v>0</v>
      </c>
      <c r="BB114" s="2942">
        <f t="shared" si="42"/>
        <v>0</v>
      </c>
      <c r="BC114" s="2942">
        <f t="shared" si="43"/>
        <v>0</v>
      </c>
      <c r="BD114" s="2942">
        <f t="shared" si="44"/>
        <v>0</v>
      </c>
      <c r="BE114" s="2942">
        <f t="shared" si="45"/>
        <v>0</v>
      </c>
      <c r="BF114" s="2942">
        <f t="shared" si="46"/>
        <v>0</v>
      </c>
      <c r="BG114" s="2942">
        <f t="shared" si="47"/>
        <v>0</v>
      </c>
      <c r="BH114" s="2942">
        <f t="shared" si="48"/>
        <v>0</v>
      </c>
      <c r="BI114" s="2942">
        <f t="shared" si="49"/>
        <v>0</v>
      </c>
      <c r="BJ114" s="2942">
        <f t="shared" si="50"/>
        <v>0</v>
      </c>
      <c r="BK114" s="2942">
        <f t="shared" si="51"/>
        <v>0</v>
      </c>
      <c r="BL114" s="2942">
        <f t="shared" si="52"/>
        <v>0</v>
      </c>
      <c r="BM114" s="2942">
        <f t="shared" si="53"/>
        <v>0</v>
      </c>
      <c r="BN114" s="2942">
        <f t="shared" si="54"/>
        <v>0</v>
      </c>
      <c r="BO114" s="2942">
        <f t="shared" si="55"/>
        <v>0</v>
      </c>
      <c r="BP114" s="2942">
        <f t="shared" si="56"/>
        <v>0</v>
      </c>
      <c r="BQ114" s="2942">
        <f t="shared" si="57"/>
        <v>0</v>
      </c>
      <c r="BR114" s="2942">
        <f t="shared" si="58"/>
        <v>0</v>
      </c>
      <c r="BS114" s="2942">
        <f t="shared" si="59"/>
        <v>0</v>
      </c>
      <c r="BT114" s="2994">
        <f t="shared" si="60"/>
        <v>0</v>
      </c>
    </row>
    <row r="115" spans="1:72">
      <c r="A115" s="2939"/>
      <c r="B115" s="2940"/>
      <c r="C115" s="2940"/>
      <c r="D115" s="2941"/>
      <c r="E115" s="2942">
        <f t="shared" si="61"/>
        <v>0</v>
      </c>
      <c r="F115" s="2943"/>
      <c r="G115" s="2944">
        <f t="shared" si="36"/>
        <v>0</v>
      </c>
      <c r="H115" s="2945">
        <f t="shared" si="37"/>
        <v>0</v>
      </c>
      <c r="I115" s="2952"/>
      <c r="J115" s="2952"/>
      <c r="K115" s="2952"/>
      <c r="L115" s="2952"/>
      <c r="M115" s="2952"/>
      <c r="N115" s="2952"/>
      <c r="O115" s="2952"/>
      <c r="P115" s="2952"/>
      <c r="Q115" s="2952"/>
      <c r="R115" s="2952"/>
      <c r="S115" s="2952"/>
      <c r="T115" s="2952"/>
      <c r="U115" s="2952"/>
      <c r="V115" s="2952"/>
      <c r="W115" s="2952"/>
      <c r="X115" s="2952"/>
      <c r="Y115" s="2952"/>
      <c r="Z115" s="2952"/>
      <c r="AA115" s="2952"/>
      <c r="AB115" s="2952"/>
      <c r="AC115" s="2942">
        <f t="shared" si="38"/>
        <v>0</v>
      </c>
      <c r="AD115" s="2962"/>
      <c r="AE115" s="2962"/>
      <c r="AF115" s="2962"/>
      <c r="AG115" s="2962"/>
      <c r="AH115" s="2962"/>
      <c r="AI115" s="2962"/>
      <c r="AJ115" s="2962"/>
      <c r="AK115" s="2962"/>
      <c r="AL115" s="2962"/>
      <c r="AM115" s="2962"/>
      <c r="AN115" s="2962"/>
      <c r="AO115" s="2962"/>
      <c r="AP115" s="2962"/>
      <c r="AQ115" s="2962"/>
      <c r="AR115" s="2962"/>
      <c r="AS115" s="2962"/>
      <c r="AT115" s="2972"/>
      <c r="AU115" s="2973"/>
      <c r="AV115" s="1120">
        <f t="shared" si="62"/>
        <v>0</v>
      </c>
      <c r="AW115" s="1120">
        <f t="shared" si="63"/>
        <v>0</v>
      </c>
      <c r="AX115" s="1120">
        <f t="shared" si="64"/>
        <v>0</v>
      </c>
      <c r="AY115" s="2987">
        <f t="shared" si="39"/>
        <v>0</v>
      </c>
      <c r="AZ115" s="2942">
        <f t="shared" si="40"/>
        <v>0</v>
      </c>
      <c r="BA115" s="2942">
        <f t="shared" si="41"/>
        <v>0</v>
      </c>
      <c r="BB115" s="2942">
        <f t="shared" si="42"/>
        <v>0</v>
      </c>
      <c r="BC115" s="2942">
        <f t="shared" si="43"/>
        <v>0</v>
      </c>
      <c r="BD115" s="2942">
        <f t="shared" si="44"/>
        <v>0</v>
      </c>
      <c r="BE115" s="2942">
        <f t="shared" si="45"/>
        <v>0</v>
      </c>
      <c r="BF115" s="2942">
        <f t="shared" si="46"/>
        <v>0</v>
      </c>
      <c r="BG115" s="2942">
        <f t="shared" si="47"/>
        <v>0</v>
      </c>
      <c r="BH115" s="2942">
        <f t="shared" si="48"/>
        <v>0</v>
      </c>
      <c r="BI115" s="2942">
        <f t="shared" si="49"/>
        <v>0</v>
      </c>
      <c r="BJ115" s="2942">
        <f t="shared" si="50"/>
        <v>0</v>
      </c>
      <c r="BK115" s="2942">
        <f t="shared" si="51"/>
        <v>0</v>
      </c>
      <c r="BL115" s="2942">
        <f t="shared" si="52"/>
        <v>0</v>
      </c>
      <c r="BM115" s="2942">
        <f t="shared" si="53"/>
        <v>0</v>
      </c>
      <c r="BN115" s="2942">
        <f t="shared" si="54"/>
        <v>0</v>
      </c>
      <c r="BO115" s="2942">
        <f t="shared" si="55"/>
        <v>0</v>
      </c>
      <c r="BP115" s="2942">
        <f t="shared" si="56"/>
        <v>0</v>
      </c>
      <c r="BQ115" s="2942">
        <f t="shared" si="57"/>
        <v>0</v>
      </c>
      <c r="BR115" s="2942">
        <f t="shared" si="58"/>
        <v>0</v>
      </c>
      <c r="BS115" s="2942">
        <f t="shared" si="59"/>
        <v>0</v>
      </c>
      <c r="BT115" s="2994">
        <f t="shared" si="60"/>
        <v>0</v>
      </c>
    </row>
    <row r="116" spans="1:72">
      <c r="A116" s="2939"/>
      <c r="B116" s="2940"/>
      <c r="C116" s="2940"/>
      <c r="D116" s="2941"/>
      <c r="E116" s="2942">
        <f t="shared" si="61"/>
        <v>0</v>
      </c>
      <c r="F116" s="2943"/>
      <c r="G116" s="2944">
        <f t="shared" si="36"/>
        <v>0</v>
      </c>
      <c r="H116" s="2945">
        <f t="shared" si="37"/>
        <v>0</v>
      </c>
      <c r="I116" s="2952"/>
      <c r="J116" s="2952"/>
      <c r="K116" s="2952"/>
      <c r="L116" s="2952"/>
      <c r="M116" s="2952"/>
      <c r="N116" s="2952"/>
      <c r="O116" s="2952"/>
      <c r="P116" s="2952"/>
      <c r="Q116" s="2952"/>
      <c r="R116" s="2952"/>
      <c r="S116" s="2952"/>
      <c r="T116" s="2952"/>
      <c r="U116" s="2952"/>
      <c r="V116" s="2952"/>
      <c r="W116" s="2952"/>
      <c r="X116" s="2952"/>
      <c r="Y116" s="2952"/>
      <c r="Z116" s="2952"/>
      <c r="AA116" s="2952"/>
      <c r="AB116" s="2952"/>
      <c r="AC116" s="2942">
        <f t="shared" si="38"/>
        <v>0</v>
      </c>
      <c r="AD116" s="2962"/>
      <c r="AE116" s="2962"/>
      <c r="AF116" s="2962"/>
      <c r="AG116" s="2962"/>
      <c r="AH116" s="2962"/>
      <c r="AI116" s="2962"/>
      <c r="AJ116" s="2962"/>
      <c r="AK116" s="2962"/>
      <c r="AL116" s="2962"/>
      <c r="AM116" s="2962"/>
      <c r="AN116" s="2962"/>
      <c r="AO116" s="2962"/>
      <c r="AP116" s="2962"/>
      <c r="AQ116" s="2962"/>
      <c r="AR116" s="2962"/>
      <c r="AS116" s="2962"/>
      <c r="AT116" s="2972"/>
      <c r="AU116" s="2973"/>
      <c r="AV116" s="1120">
        <f t="shared" si="62"/>
        <v>0</v>
      </c>
      <c r="AW116" s="1120">
        <f t="shared" si="63"/>
        <v>0</v>
      </c>
      <c r="AX116" s="1120">
        <f t="shared" si="64"/>
        <v>0</v>
      </c>
      <c r="AY116" s="2987">
        <f t="shared" si="39"/>
        <v>0</v>
      </c>
      <c r="AZ116" s="2942">
        <f t="shared" si="40"/>
        <v>0</v>
      </c>
      <c r="BA116" s="2942">
        <f t="shared" si="41"/>
        <v>0</v>
      </c>
      <c r="BB116" s="2942">
        <f t="shared" si="42"/>
        <v>0</v>
      </c>
      <c r="BC116" s="2942">
        <f t="shared" si="43"/>
        <v>0</v>
      </c>
      <c r="BD116" s="2942">
        <f t="shared" si="44"/>
        <v>0</v>
      </c>
      <c r="BE116" s="2942">
        <f t="shared" si="45"/>
        <v>0</v>
      </c>
      <c r="BF116" s="2942">
        <f t="shared" si="46"/>
        <v>0</v>
      </c>
      <c r="BG116" s="2942">
        <f t="shared" si="47"/>
        <v>0</v>
      </c>
      <c r="BH116" s="2942">
        <f t="shared" si="48"/>
        <v>0</v>
      </c>
      <c r="BI116" s="2942">
        <f t="shared" si="49"/>
        <v>0</v>
      </c>
      <c r="BJ116" s="2942">
        <f t="shared" si="50"/>
        <v>0</v>
      </c>
      <c r="BK116" s="2942">
        <f t="shared" si="51"/>
        <v>0</v>
      </c>
      <c r="BL116" s="2942">
        <f t="shared" si="52"/>
        <v>0</v>
      </c>
      <c r="BM116" s="2942">
        <f t="shared" si="53"/>
        <v>0</v>
      </c>
      <c r="BN116" s="2942">
        <f t="shared" si="54"/>
        <v>0</v>
      </c>
      <c r="BO116" s="2942">
        <f t="shared" si="55"/>
        <v>0</v>
      </c>
      <c r="BP116" s="2942">
        <f t="shared" si="56"/>
        <v>0</v>
      </c>
      <c r="BQ116" s="2942">
        <f t="shared" si="57"/>
        <v>0</v>
      </c>
      <c r="BR116" s="2942">
        <f t="shared" si="58"/>
        <v>0</v>
      </c>
      <c r="BS116" s="2942">
        <f t="shared" si="59"/>
        <v>0</v>
      </c>
      <c r="BT116" s="2994">
        <f t="shared" si="60"/>
        <v>0</v>
      </c>
    </row>
    <row r="117" spans="1:72">
      <c r="A117" s="2939"/>
      <c r="B117" s="2940"/>
      <c r="C117" s="2940"/>
      <c r="D117" s="2941"/>
      <c r="E117" s="2942">
        <f t="shared" si="61"/>
        <v>0</v>
      </c>
      <c r="F117" s="2943"/>
      <c r="G117" s="2944">
        <f t="shared" si="36"/>
        <v>0</v>
      </c>
      <c r="H117" s="2945">
        <f t="shared" si="37"/>
        <v>0</v>
      </c>
      <c r="I117" s="2952"/>
      <c r="J117" s="2952"/>
      <c r="K117" s="2952"/>
      <c r="L117" s="2952"/>
      <c r="M117" s="2952"/>
      <c r="N117" s="2952"/>
      <c r="O117" s="2952"/>
      <c r="P117" s="2952"/>
      <c r="Q117" s="2952"/>
      <c r="R117" s="2952"/>
      <c r="S117" s="2952"/>
      <c r="T117" s="2952"/>
      <c r="U117" s="2952"/>
      <c r="V117" s="2952"/>
      <c r="W117" s="2952"/>
      <c r="X117" s="2952"/>
      <c r="Y117" s="2952"/>
      <c r="Z117" s="2952"/>
      <c r="AA117" s="2952"/>
      <c r="AB117" s="2952"/>
      <c r="AC117" s="2942">
        <f t="shared" si="38"/>
        <v>0</v>
      </c>
      <c r="AD117" s="2962"/>
      <c r="AE117" s="2962"/>
      <c r="AF117" s="2962"/>
      <c r="AG117" s="2962"/>
      <c r="AH117" s="2962"/>
      <c r="AI117" s="2962"/>
      <c r="AJ117" s="2962"/>
      <c r="AK117" s="2962"/>
      <c r="AL117" s="2962"/>
      <c r="AM117" s="2962"/>
      <c r="AN117" s="2962"/>
      <c r="AO117" s="2962"/>
      <c r="AP117" s="2962"/>
      <c r="AQ117" s="2962"/>
      <c r="AR117" s="2962"/>
      <c r="AS117" s="2962"/>
      <c r="AT117" s="2972"/>
      <c r="AU117" s="2973"/>
      <c r="AV117" s="1120">
        <f t="shared" si="62"/>
        <v>0</v>
      </c>
      <c r="AW117" s="1120">
        <f t="shared" si="63"/>
        <v>0</v>
      </c>
      <c r="AX117" s="1120">
        <f t="shared" si="64"/>
        <v>0</v>
      </c>
      <c r="AY117" s="2987">
        <f t="shared" si="39"/>
        <v>0</v>
      </c>
      <c r="AZ117" s="2942">
        <f t="shared" si="40"/>
        <v>0</v>
      </c>
      <c r="BA117" s="2942">
        <f t="shared" si="41"/>
        <v>0</v>
      </c>
      <c r="BB117" s="2942">
        <f t="shared" si="42"/>
        <v>0</v>
      </c>
      <c r="BC117" s="2942">
        <f t="shared" si="43"/>
        <v>0</v>
      </c>
      <c r="BD117" s="2942">
        <f t="shared" si="44"/>
        <v>0</v>
      </c>
      <c r="BE117" s="2942">
        <f t="shared" si="45"/>
        <v>0</v>
      </c>
      <c r="BF117" s="2942">
        <f t="shared" si="46"/>
        <v>0</v>
      </c>
      <c r="BG117" s="2942">
        <f t="shared" si="47"/>
        <v>0</v>
      </c>
      <c r="BH117" s="2942">
        <f t="shared" si="48"/>
        <v>0</v>
      </c>
      <c r="BI117" s="2942">
        <f t="shared" si="49"/>
        <v>0</v>
      </c>
      <c r="BJ117" s="2942">
        <f t="shared" si="50"/>
        <v>0</v>
      </c>
      <c r="BK117" s="2942">
        <f t="shared" si="51"/>
        <v>0</v>
      </c>
      <c r="BL117" s="2942">
        <f t="shared" si="52"/>
        <v>0</v>
      </c>
      <c r="BM117" s="2942">
        <f t="shared" si="53"/>
        <v>0</v>
      </c>
      <c r="BN117" s="2942">
        <f t="shared" si="54"/>
        <v>0</v>
      </c>
      <c r="BO117" s="2942">
        <f t="shared" si="55"/>
        <v>0</v>
      </c>
      <c r="BP117" s="2942">
        <f t="shared" si="56"/>
        <v>0</v>
      </c>
      <c r="BQ117" s="2942">
        <f t="shared" si="57"/>
        <v>0</v>
      </c>
      <c r="BR117" s="2942">
        <f t="shared" si="58"/>
        <v>0</v>
      </c>
      <c r="BS117" s="2942">
        <f t="shared" si="59"/>
        <v>0</v>
      </c>
      <c r="BT117" s="2994">
        <f t="shared" si="60"/>
        <v>0</v>
      </c>
    </row>
    <row r="118" spans="1:72">
      <c r="A118" s="2939"/>
      <c r="B118" s="2940"/>
      <c r="C118" s="2940"/>
      <c r="D118" s="2941"/>
      <c r="E118" s="2942">
        <f t="shared" si="61"/>
        <v>0</v>
      </c>
      <c r="F118" s="2943"/>
      <c r="G118" s="2944">
        <f t="shared" si="36"/>
        <v>0</v>
      </c>
      <c r="H118" s="2945">
        <f t="shared" si="37"/>
        <v>0</v>
      </c>
      <c r="I118" s="2952"/>
      <c r="J118" s="2952"/>
      <c r="K118" s="2952"/>
      <c r="L118" s="2952"/>
      <c r="M118" s="2952"/>
      <c r="N118" s="2952"/>
      <c r="O118" s="2952"/>
      <c r="P118" s="2952"/>
      <c r="Q118" s="2952"/>
      <c r="R118" s="2952"/>
      <c r="S118" s="2952"/>
      <c r="T118" s="2952"/>
      <c r="U118" s="2952"/>
      <c r="V118" s="2952"/>
      <c r="W118" s="2952"/>
      <c r="X118" s="2952"/>
      <c r="Y118" s="2952"/>
      <c r="Z118" s="2952"/>
      <c r="AA118" s="2952"/>
      <c r="AB118" s="2952"/>
      <c r="AC118" s="2942">
        <f t="shared" si="38"/>
        <v>0</v>
      </c>
      <c r="AD118" s="2962"/>
      <c r="AE118" s="2962"/>
      <c r="AF118" s="2962"/>
      <c r="AG118" s="2962"/>
      <c r="AH118" s="2962"/>
      <c r="AI118" s="2962"/>
      <c r="AJ118" s="2962"/>
      <c r="AK118" s="2962"/>
      <c r="AL118" s="2962"/>
      <c r="AM118" s="2962"/>
      <c r="AN118" s="2962"/>
      <c r="AO118" s="2962"/>
      <c r="AP118" s="2962"/>
      <c r="AQ118" s="2962"/>
      <c r="AR118" s="2962"/>
      <c r="AS118" s="2962"/>
      <c r="AT118" s="2972"/>
      <c r="AU118" s="2973"/>
      <c r="AV118" s="1120">
        <f t="shared" si="62"/>
        <v>0</v>
      </c>
      <c r="AW118" s="1120">
        <f t="shared" si="63"/>
        <v>0</v>
      </c>
      <c r="AX118" s="1120">
        <f t="shared" si="64"/>
        <v>0</v>
      </c>
      <c r="AY118" s="2987">
        <f t="shared" si="39"/>
        <v>0</v>
      </c>
      <c r="AZ118" s="2942">
        <f t="shared" si="40"/>
        <v>0</v>
      </c>
      <c r="BA118" s="2942">
        <f t="shared" si="41"/>
        <v>0</v>
      </c>
      <c r="BB118" s="2942">
        <f t="shared" si="42"/>
        <v>0</v>
      </c>
      <c r="BC118" s="2942">
        <f t="shared" si="43"/>
        <v>0</v>
      </c>
      <c r="BD118" s="2942">
        <f t="shared" si="44"/>
        <v>0</v>
      </c>
      <c r="BE118" s="2942">
        <f t="shared" si="45"/>
        <v>0</v>
      </c>
      <c r="BF118" s="2942">
        <f t="shared" si="46"/>
        <v>0</v>
      </c>
      <c r="BG118" s="2942">
        <f t="shared" si="47"/>
        <v>0</v>
      </c>
      <c r="BH118" s="2942">
        <f t="shared" si="48"/>
        <v>0</v>
      </c>
      <c r="BI118" s="2942">
        <f t="shared" si="49"/>
        <v>0</v>
      </c>
      <c r="BJ118" s="2942">
        <f t="shared" si="50"/>
        <v>0</v>
      </c>
      <c r="BK118" s="2942">
        <f t="shared" si="51"/>
        <v>0</v>
      </c>
      <c r="BL118" s="2942">
        <f t="shared" si="52"/>
        <v>0</v>
      </c>
      <c r="BM118" s="2942">
        <f t="shared" si="53"/>
        <v>0</v>
      </c>
      <c r="BN118" s="2942">
        <f t="shared" si="54"/>
        <v>0</v>
      </c>
      <c r="BO118" s="2942">
        <f t="shared" si="55"/>
        <v>0</v>
      </c>
      <c r="BP118" s="2942">
        <f t="shared" si="56"/>
        <v>0</v>
      </c>
      <c r="BQ118" s="2942">
        <f t="shared" si="57"/>
        <v>0</v>
      </c>
      <c r="BR118" s="2942">
        <f t="shared" si="58"/>
        <v>0</v>
      </c>
      <c r="BS118" s="2942">
        <f t="shared" si="59"/>
        <v>0</v>
      </c>
      <c r="BT118" s="2994">
        <f t="shared" si="60"/>
        <v>0</v>
      </c>
    </row>
    <row r="119" spans="1:72">
      <c r="A119" s="2939"/>
      <c r="B119" s="2940"/>
      <c r="C119" s="2940"/>
      <c r="D119" s="2941"/>
      <c r="E119" s="2942">
        <f t="shared" si="61"/>
        <v>0</v>
      </c>
      <c r="F119" s="2943"/>
      <c r="G119" s="2944">
        <f t="shared" si="36"/>
        <v>0</v>
      </c>
      <c r="H119" s="2945">
        <f t="shared" si="37"/>
        <v>0</v>
      </c>
      <c r="I119" s="2952"/>
      <c r="J119" s="2952"/>
      <c r="K119" s="2952"/>
      <c r="L119" s="2952"/>
      <c r="M119" s="2952"/>
      <c r="N119" s="2952"/>
      <c r="O119" s="2952"/>
      <c r="P119" s="2952"/>
      <c r="Q119" s="2952"/>
      <c r="R119" s="2952"/>
      <c r="S119" s="2952"/>
      <c r="T119" s="2952"/>
      <c r="U119" s="2952"/>
      <c r="V119" s="2952"/>
      <c r="W119" s="2952"/>
      <c r="X119" s="2952"/>
      <c r="Y119" s="2952"/>
      <c r="Z119" s="2952"/>
      <c r="AA119" s="2952"/>
      <c r="AB119" s="2952"/>
      <c r="AC119" s="2942">
        <f t="shared" si="38"/>
        <v>0</v>
      </c>
      <c r="AD119" s="2962"/>
      <c r="AE119" s="2962"/>
      <c r="AF119" s="2962"/>
      <c r="AG119" s="2962"/>
      <c r="AH119" s="2962"/>
      <c r="AI119" s="2962"/>
      <c r="AJ119" s="2962"/>
      <c r="AK119" s="2962"/>
      <c r="AL119" s="2962"/>
      <c r="AM119" s="2962"/>
      <c r="AN119" s="2962"/>
      <c r="AO119" s="2962"/>
      <c r="AP119" s="2962"/>
      <c r="AQ119" s="2962"/>
      <c r="AR119" s="2962"/>
      <c r="AS119" s="2962"/>
      <c r="AT119" s="2972"/>
      <c r="AU119" s="2973"/>
      <c r="AV119" s="1120">
        <f t="shared" si="62"/>
        <v>0</v>
      </c>
      <c r="AW119" s="1120">
        <f t="shared" si="63"/>
        <v>0</v>
      </c>
      <c r="AX119" s="1120">
        <f t="shared" si="64"/>
        <v>0</v>
      </c>
      <c r="AY119" s="2987">
        <f t="shared" si="39"/>
        <v>0</v>
      </c>
      <c r="AZ119" s="2942">
        <f t="shared" si="40"/>
        <v>0</v>
      </c>
      <c r="BA119" s="2942">
        <f t="shared" si="41"/>
        <v>0</v>
      </c>
      <c r="BB119" s="2942">
        <f t="shared" si="42"/>
        <v>0</v>
      </c>
      <c r="BC119" s="2942">
        <f t="shared" si="43"/>
        <v>0</v>
      </c>
      <c r="BD119" s="2942">
        <f t="shared" si="44"/>
        <v>0</v>
      </c>
      <c r="BE119" s="2942">
        <f t="shared" si="45"/>
        <v>0</v>
      </c>
      <c r="BF119" s="2942">
        <f t="shared" si="46"/>
        <v>0</v>
      </c>
      <c r="BG119" s="2942">
        <f t="shared" si="47"/>
        <v>0</v>
      </c>
      <c r="BH119" s="2942">
        <f t="shared" si="48"/>
        <v>0</v>
      </c>
      <c r="BI119" s="2942">
        <f t="shared" si="49"/>
        <v>0</v>
      </c>
      <c r="BJ119" s="2942">
        <f t="shared" si="50"/>
        <v>0</v>
      </c>
      <c r="BK119" s="2942">
        <f t="shared" si="51"/>
        <v>0</v>
      </c>
      <c r="BL119" s="2942">
        <f t="shared" si="52"/>
        <v>0</v>
      </c>
      <c r="BM119" s="2942">
        <f t="shared" si="53"/>
        <v>0</v>
      </c>
      <c r="BN119" s="2942">
        <f t="shared" si="54"/>
        <v>0</v>
      </c>
      <c r="BO119" s="2942">
        <f t="shared" si="55"/>
        <v>0</v>
      </c>
      <c r="BP119" s="2942">
        <f t="shared" si="56"/>
        <v>0</v>
      </c>
      <c r="BQ119" s="2942">
        <f t="shared" si="57"/>
        <v>0</v>
      </c>
      <c r="BR119" s="2942">
        <f t="shared" si="58"/>
        <v>0</v>
      </c>
      <c r="BS119" s="2942">
        <f t="shared" si="59"/>
        <v>0</v>
      </c>
      <c r="BT119" s="2994">
        <f t="shared" si="60"/>
        <v>0</v>
      </c>
    </row>
    <row r="120" spans="1:72">
      <c r="A120" s="2939"/>
      <c r="B120" s="2940"/>
      <c r="C120" s="2940"/>
      <c r="D120" s="2941"/>
      <c r="E120" s="2942">
        <f t="shared" si="61"/>
        <v>0</v>
      </c>
      <c r="F120" s="2943"/>
      <c r="G120" s="2944">
        <f t="shared" si="36"/>
        <v>0</v>
      </c>
      <c r="H120" s="2945">
        <f t="shared" si="37"/>
        <v>0</v>
      </c>
      <c r="I120" s="2952"/>
      <c r="J120" s="2952"/>
      <c r="K120" s="2952"/>
      <c r="L120" s="2952"/>
      <c r="M120" s="2952"/>
      <c r="N120" s="2952"/>
      <c r="O120" s="2952"/>
      <c r="P120" s="2952"/>
      <c r="Q120" s="2952"/>
      <c r="R120" s="2952"/>
      <c r="S120" s="2952"/>
      <c r="T120" s="2952"/>
      <c r="U120" s="2952"/>
      <c r="V120" s="2952"/>
      <c r="W120" s="2952"/>
      <c r="X120" s="2952"/>
      <c r="Y120" s="2952"/>
      <c r="Z120" s="2952"/>
      <c r="AA120" s="2952"/>
      <c r="AB120" s="2952"/>
      <c r="AC120" s="2942">
        <f t="shared" si="38"/>
        <v>0</v>
      </c>
      <c r="AD120" s="2962"/>
      <c r="AE120" s="2962"/>
      <c r="AF120" s="2962"/>
      <c r="AG120" s="2962"/>
      <c r="AH120" s="2962"/>
      <c r="AI120" s="2962"/>
      <c r="AJ120" s="2962"/>
      <c r="AK120" s="2962"/>
      <c r="AL120" s="2962"/>
      <c r="AM120" s="2962"/>
      <c r="AN120" s="2962"/>
      <c r="AO120" s="2962"/>
      <c r="AP120" s="2962"/>
      <c r="AQ120" s="2962"/>
      <c r="AR120" s="2962"/>
      <c r="AS120" s="2962"/>
      <c r="AT120" s="2972"/>
      <c r="AU120" s="2973"/>
      <c r="AV120" s="1120">
        <f t="shared" si="62"/>
        <v>0</v>
      </c>
      <c r="AW120" s="1120">
        <f t="shared" si="63"/>
        <v>0</v>
      </c>
      <c r="AX120" s="1120">
        <f t="shared" si="64"/>
        <v>0</v>
      </c>
      <c r="AY120" s="2987">
        <f t="shared" si="39"/>
        <v>0</v>
      </c>
      <c r="AZ120" s="2942">
        <f t="shared" si="40"/>
        <v>0</v>
      </c>
      <c r="BA120" s="2942">
        <f t="shared" si="41"/>
        <v>0</v>
      </c>
      <c r="BB120" s="2942">
        <f t="shared" si="42"/>
        <v>0</v>
      </c>
      <c r="BC120" s="2942">
        <f t="shared" si="43"/>
        <v>0</v>
      </c>
      <c r="BD120" s="2942">
        <f t="shared" si="44"/>
        <v>0</v>
      </c>
      <c r="BE120" s="2942">
        <f t="shared" si="45"/>
        <v>0</v>
      </c>
      <c r="BF120" s="2942">
        <f t="shared" si="46"/>
        <v>0</v>
      </c>
      <c r="BG120" s="2942">
        <f t="shared" si="47"/>
        <v>0</v>
      </c>
      <c r="BH120" s="2942">
        <f t="shared" si="48"/>
        <v>0</v>
      </c>
      <c r="BI120" s="2942">
        <f t="shared" si="49"/>
        <v>0</v>
      </c>
      <c r="BJ120" s="2942">
        <f t="shared" si="50"/>
        <v>0</v>
      </c>
      <c r="BK120" s="2942">
        <f t="shared" si="51"/>
        <v>0</v>
      </c>
      <c r="BL120" s="2942">
        <f t="shared" si="52"/>
        <v>0</v>
      </c>
      <c r="BM120" s="2942">
        <f t="shared" si="53"/>
        <v>0</v>
      </c>
      <c r="BN120" s="2942">
        <f t="shared" si="54"/>
        <v>0</v>
      </c>
      <c r="BO120" s="2942">
        <f t="shared" si="55"/>
        <v>0</v>
      </c>
      <c r="BP120" s="2942">
        <f t="shared" si="56"/>
        <v>0</v>
      </c>
      <c r="BQ120" s="2942">
        <f t="shared" si="57"/>
        <v>0</v>
      </c>
      <c r="BR120" s="2942">
        <f t="shared" si="58"/>
        <v>0</v>
      </c>
      <c r="BS120" s="2942">
        <f t="shared" si="59"/>
        <v>0</v>
      </c>
      <c r="BT120" s="2994">
        <f t="shared" si="60"/>
        <v>0</v>
      </c>
    </row>
    <row r="121" spans="1:72">
      <c r="A121" s="2939"/>
      <c r="B121" s="2940"/>
      <c r="C121" s="2940"/>
      <c r="D121" s="2941"/>
      <c r="E121" s="2942">
        <f t="shared" si="61"/>
        <v>0</v>
      </c>
      <c r="F121" s="2943"/>
      <c r="G121" s="2944">
        <f t="shared" si="36"/>
        <v>0</v>
      </c>
      <c r="H121" s="2945">
        <f t="shared" si="37"/>
        <v>0</v>
      </c>
      <c r="I121" s="2952"/>
      <c r="J121" s="2952"/>
      <c r="K121" s="2952"/>
      <c r="L121" s="2952"/>
      <c r="M121" s="2952"/>
      <c r="N121" s="2952"/>
      <c r="O121" s="2952"/>
      <c r="P121" s="2952"/>
      <c r="Q121" s="2952"/>
      <c r="R121" s="2952"/>
      <c r="S121" s="2952"/>
      <c r="T121" s="2952"/>
      <c r="U121" s="2952"/>
      <c r="V121" s="2952"/>
      <c r="W121" s="2952"/>
      <c r="X121" s="2952"/>
      <c r="Y121" s="2952"/>
      <c r="Z121" s="2952"/>
      <c r="AA121" s="2952"/>
      <c r="AB121" s="2952"/>
      <c r="AC121" s="2942">
        <f t="shared" si="38"/>
        <v>0</v>
      </c>
      <c r="AD121" s="2962"/>
      <c r="AE121" s="2962"/>
      <c r="AF121" s="2962"/>
      <c r="AG121" s="2962"/>
      <c r="AH121" s="2962"/>
      <c r="AI121" s="2962"/>
      <c r="AJ121" s="2962"/>
      <c r="AK121" s="2962"/>
      <c r="AL121" s="2962"/>
      <c r="AM121" s="2962"/>
      <c r="AN121" s="2962"/>
      <c r="AO121" s="2962"/>
      <c r="AP121" s="2962"/>
      <c r="AQ121" s="2962"/>
      <c r="AR121" s="2962"/>
      <c r="AS121" s="2962"/>
      <c r="AT121" s="2972"/>
      <c r="AU121" s="2973"/>
      <c r="AV121" s="1120">
        <f t="shared" si="62"/>
        <v>0</v>
      </c>
      <c r="AW121" s="1120">
        <f t="shared" si="63"/>
        <v>0</v>
      </c>
      <c r="AX121" s="1120">
        <f t="shared" si="64"/>
        <v>0</v>
      </c>
      <c r="AY121" s="2987">
        <f t="shared" si="39"/>
        <v>0</v>
      </c>
      <c r="AZ121" s="2942">
        <f t="shared" si="40"/>
        <v>0</v>
      </c>
      <c r="BA121" s="2942">
        <f t="shared" si="41"/>
        <v>0</v>
      </c>
      <c r="BB121" s="2942">
        <f t="shared" si="42"/>
        <v>0</v>
      </c>
      <c r="BC121" s="2942">
        <f t="shared" si="43"/>
        <v>0</v>
      </c>
      <c r="BD121" s="2942">
        <f t="shared" si="44"/>
        <v>0</v>
      </c>
      <c r="BE121" s="2942">
        <f t="shared" si="45"/>
        <v>0</v>
      </c>
      <c r="BF121" s="2942">
        <f t="shared" si="46"/>
        <v>0</v>
      </c>
      <c r="BG121" s="2942">
        <f t="shared" si="47"/>
        <v>0</v>
      </c>
      <c r="BH121" s="2942">
        <f t="shared" si="48"/>
        <v>0</v>
      </c>
      <c r="BI121" s="2942">
        <f t="shared" si="49"/>
        <v>0</v>
      </c>
      <c r="BJ121" s="2942">
        <f t="shared" si="50"/>
        <v>0</v>
      </c>
      <c r="BK121" s="2942">
        <f t="shared" si="51"/>
        <v>0</v>
      </c>
      <c r="BL121" s="2942">
        <f t="shared" si="52"/>
        <v>0</v>
      </c>
      <c r="BM121" s="2942">
        <f t="shared" si="53"/>
        <v>0</v>
      </c>
      <c r="BN121" s="2942">
        <f t="shared" si="54"/>
        <v>0</v>
      </c>
      <c r="BO121" s="2942">
        <f t="shared" si="55"/>
        <v>0</v>
      </c>
      <c r="BP121" s="2942">
        <f t="shared" si="56"/>
        <v>0</v>
      </c>
      <c r="BQ121" s="2942">
        <f t="shared" si="57"/>
        <v>0</v>
      </c>
      <c r="BR121" s="2942">
        <f t="shared" si="58"/>
        <v>0</v>
      </c>
      <c r="BS121" s="2942">
        <f t="shared" si="59"/>
        <v>0</v>
      </c>
      <c r="BT121" s="2994">
        <f t="shared" si="60"/>
        <v>0</v>
      </c>
    </row>
    <row r="122" spans="1:72">
      <c r="A122" s="2939"/>
      <c r="B122" s="2940"/>
      <c r="C122" s="2940"/>
      <c r="D122" s="2941"/>
      <c r="E122" s="2942">
        <f t="shared" si="61"/>
        <v>0</v>
      </c>
      <c r="F122" s="2943"/>
      <c r="G122" s="2944">
        <f t="shared" si="36"/>
        <v>0</v>
      </c>
      <c r="H122" s="2945">
        <f t="shared" si="37"/>
        <v>0</v>
      </c>
      <c r="I122" s="2952"/>
      <c r="J122" s="2952"/>
      <c r="K122" s="2952"/>
      <c r="L122" s="2952"/>
      <c r="M122" s="2952"/>
      <c r="N122" s="2952"/>
      <c r="O122" s="2952"/>
      <c r="P122" s="2952"/>
      <c r="Q122" s="2952"/>
      <c r="R122" s="2952"/>
      <c r="S122" s="2952"/>
      <c r="T122" s="2952"/>
      <c r="U122" s="2952"/>
      <c r="V122" s="2952"/>
      <c r="W122" s="2952"/>
      <c r="X122" s="2952"/>
      <c r="Y122" s="2952"/>
      <c r="Z122" s="2952"/>
      <c r="AA122" s="2952"/>
      <c r="AB122" s="2952"/>
      <c r="AC122" s="2942">
        <f t="shared" si="38"/>
        <v>0</v>
      </c>
      <c r="AD122" s="2962"/>
      <c r="AE122" s="2962"/>
      <c r="AF122" s="2962"/>
      <c r="AG122" s="2962"/>
      <c r="AH122" s="2962"/>
      <c r="AI122" s="2962"/>
      <c r="AJ122" s="2962"/>
      <c r="AK122" s="2962"/>
      <c r="AL122" s="2962"/>
      <c r="AM122" s="2962"/>
      <c r="AN122" s="2962"/>
      <c r="AO122" s="2962"/>
      <c r="AP122" s="2962"/>
      <c r="AQ122" s="2962"/>
      <c r="AR122" s="2962"/>
      <c r="AS122" s="2962"/>
      <c r="AT122" s="2972"/>
      <c r="AU122" s="2973"/>
      <c r="AV122" s="1120">
        <f t="shared" si="62"/>
        <v>0</v>
      </c>
      <c r="AW122" s="1120">
        <f t="shared" si="63"/>
        <v>0</v>
      </c>
      <c r="AX122" s="1120">
        <f t="shared" si="64"/>
        <v>0</v>
      </c>
      <c r="AY122" s="2987">
        <f t="shared" si="39"/>
        <v>0</v>
      </c>
      <c r="AZ122" s="2942">
        <f t="shared" si="40"/>
        <v>0</v>
      </c>
      <c r="BA122" s="2942">
        <f t="shared" si="41"/>
        <v>0</v>
      </c>
      <c r="BB122" s="2942">
        <f t="shared" si="42"/>
        <v>0</v>
      </c>
      <c r="BC122" s="2942">
        <f t="shared" si="43"/>
        <v>0</v>
      </c>
      <c r="BD122" s="2942">
        <f t="shared" si="44"/>
        <v>0</v>
      </c>
      <c r="BE122" s="2942">
        <f t="shared" si="45"/>
        <v>0</v>
      </c>
      <c r="BF122" s="2942">
        <f t="shared" si="46"/>
        <v>0</v>
      </c>
      <c r="BG122" s="2942">
        <f t="shared" si="47"/>
        <v>0</v>
      </c>
      <c r="BH122" s="2942">
        <f t="shared" si="48"/>
        <v>0</v>
      </c>
      <c r="BI122" s="2942">
        <f t="shared" si="49"/>
        <v>0</v>
      </c>
      <c r="BJ122" s="2942">
        <f t="shared" si="50"/>
        <v>0</v>
      </c>
      <c r="BK122" s="2942">
        <f t="shared" si="51"/>
        <v>0</v>
      </c>
      <c r="BL122" s="2942">
        <f t="shared" si="52"/>
        <v>0</v>
      </c>
      <c r="BM122" s="2942">
        <f t="shared" si="53"/>
        <v>0</v>
      </c>
      <c r="BN122" s="2942">
        <f t="shared" si="54"/>
        <v>0</v>
      </c>
      <c r="BO122" s="2942">
        <f t="shared" si="55"/>
        <v>0</v>
      </c>
      <c r="BP122" s="2942">
        <f t="shared" si="56"/>
        <v>0</v>
      </c>
      <c r="BQ122" s="2942">
        <f t="shared" si="57"/>
        <v>0</v>
      </c>
      <c r="BR122" s="2942">
        <f t="shared" si="58"/>
        <v>0</v>
      </c>
      <c r="BS122" s="2942">
        <f t="shared" si="59"/>
        <v>0</v>
      </c>
      <c r="BT122" s="2994">
        <f t="shared" si="60"/>
        <v>0</v>
      </c>
    </row>
    <row r="123" spans="1:72">
      <c r="A123" s="2939"/>
      <c r="B123" s="2940"/>
      <c r="C123" s="2940"/>
      <c r="D123" s="2941"/>
      <c r="E123" s="2942">
        <f t="shared" si="61"/>
        <v>0</v>
      </c>
      <c r="F123" s="2943"/>
      <c r="G123" s="2944">
        <f t="shared" si="36"/>
        <v>0</v>
      </c>
      <c r="H123" s="2945">
        <f t="shared" si="37"/>
        <v>0</v>
      </c>
      <c r="I123" s="2952"/>
      <c r="J123" s="2952"/>
      <c r="K123" s="2952"/>
      <c r="L123" s="2952"/>
      <c r="M123" s="2952"/>
      <c r="N123" s="2952"/>
      <c r="O123" s="2952"/>
      <c r="P123" s="2952"/>
      <c r="Q123" s="2952"/>
      <c r="R123" s="2952"/>
      <c r="S123" s="2952"/>
      <c r="T123" s="2952"/>
      <c r="U123" s="2952"/>
      <c r="V123" s="2952"/>
      <c r="W123" s="2952"/>
      <c r="X123" s="2952"/>
      <c r="Y123" s="2952"/>
      <c r="Z123" s="2952"/>
      <c r="AA123" s="2952"/>
      <c r="AB123" s="2952"/>
      <c r="AC123" s="2942">
        <f t="shared" si="38"/>
        <v>0</v>
      </c>
      <c r="AD123" s="2962"/>
      <c r="AE123" s="2962"/>
      <c r="AF123" s="2962"/>
      <c r="AG123" s="2962"/>
      <c r="AH123" s="2962"/>
      <c r="AI123" s="2962"/>
      <c r="AJ123" s="2962"/>
      <c r="AK123" s="2962"/>
      <c r="AL123" s="2962"/>
      <c r="AM123" s="2962"/>
      <c r="AN123" s="2962"/>
      <c r="AO123" s="2962"/>
      <c r="AP123" s="2962"/>
      <c r="AQ123" s="2962"/>
      <c r="AR123" s="2962"/>
      <c r="AS123" s="2962"/>
      <c r="AT123" s="2972"/>
      <c r="AU123" s="2973"/>
      <c r="AV123" s="1120">
        <f t="shared" si="62"/>
        <v>0</v>
      </c>
      <c r="AW123" s="1120">
        <f t="shared" si="63"/>
        <v>0</v>
      </c>
      <c r="AX123" s="1120">
        <f t="shared" si="64"/>
        <v>0</v>
      </c>
      <c r="AY123" s="2987">
        <f t="shared" si="39"/>
        <v>0</v>
      </c>
      <c r="AZ123" s="2942">
        <f t="shared" si="40"/>
        <v>0</v>
      </c>
      <c r="BA123" s="2942">
        <f t="shared" si="41"/>
        <v>0</v>
      </c>
      <c r="BB123" s="2942">
        <f t="shared" si="42"/>
        <v>0</v>
      </c>
      <c r="BC123" s="2942">
        <f t="shared" si="43"/>
        <v>0</v>
      </c>
      <c r="BD123" s="2942">
        <f t="shared" si="44"/>
        <v>0</v>
      </c>
      <c r="BE123" s="2942">
        <f t="shared" si="45"/>
        <v>0</v>
      </c>
      <c r="BF123" s="2942">
        <f t="shared" si="46"/>
        <v>0</v>
      </c>
      <c r="BG123" s="2942">
        <f t="shared" si="47"/>
        <v>0</v>
      </c>
      <c r="BH123" s="2942">
        <f t="shared" si="48"/>
        <v>0</v>
      </c>
      <c r="BI123" s="2942">
        <f t="shared" si="49"/>
        <v>0</v>
      </c>
      <c r="BJ123" s="2942">
        <f t="shared" si="50"/>
        <v>0</v>
      </c>
      <c r="BK123" s="2942">
        <f t="shared" si="51"/>
        <v>0</v>
      </c>
      <c r="BL123" s="2942">
        <f t="shared" si="52"/>
        <v>0</v>
      </c>
      <c r="BM123" s="2942">
        <f t="shared" si="53"/>
        <v>0</v>
      </c>
      <c r="BN123" s="2942">
        <f t="shared" si="54"/>
        <v>0</v>
      </c>
      <c r="BO123" s="2942">
        <f t="shared" si="55"/>
        <v>0</v>
      </c>
      <c r="BP123" s="2942">
        <f t="shared" si="56"/>
        <v>0</v>
      </c>
      <c r="BQ123" s="2942">
        <f t="shared" si="57"/>
        <v>0</v>
      </c>
      <c r="BR123" s="2942">
        <f t="shared" si="58"/>
        <v>0</v>
      </c>
      <c r="BS123" s="2942">
        <f t="shared" si="59"/>
        <v>0</v>
      </c>
      <c r="BT123" s="2994">
        <f t="shared" si="60"/>
        <v>0</v>
      </c>
    </row>
    <row r="124" spans="1:72">
      <c r="A124" s="2939"/>
      <c r="B124" s="2940"/>
      <c r="C124" s="2940"/>
      <c r="D124" s="2941"/>
      <c r="E124" s="2942">
        <f t="shared" si="61"/>
        <v>0</v>
      </c>
      <c r="F124" s="2943"/>
      <c r="G124" s="2944">
        <f t="shared" si="36"/>
        <v>0</v>
      </c>
      <c r="H124" s="2945">
        <f t="shared" si="37"/>
        <v>0</v>
      </c>
      <c r="I124" s="2952"/>
      <c r="J124" s="2952"/>
      <c r="K124" s="2952"/>
      <c r="L124" s="2952"/>
      <c r="M124" s="2952"/>
      <c r="N124" s="2952"/>
      <c r="O124" s="2952"/>
      <c r="P124" s="2952"/>
      <c r="Q124" s="2952"/>
      <c r="R124" s="2952"/>
      <c r="S124" s="2952"/>
      <c r="T124" s="2952"/>
      <c r="U124" s="2952"/>
      <c r="V124" s="2952"/>
      <c r="W124" s="2952"/>
      <c r="X124" s="2952"/>
      <c r="Y124" s="2952"/>
      <c r="Z124" s="2952"/>
      <c r="AA124" s="2952"/>
      <c r="AB124" s="2952"/>
      <c r="AC124" s="2942">
        <f t="shared" si="38"/>
        <v>0</v>
      </c>
      <c r="AD124" s="2962"/>
      <c r="AE124" s="2962"/>
      <c r="AF124" s="2962"/>
      <c r="AG124" s="2962"/>
      <c r="AH124" s="2962"/>
      <c r="AI124" s="2962"/>
      <c r="AJ124" s="2962"/>
      <c r="AK124" s="2962"/>
      <c r="AL124" s="2962"/>
      <c r="AM124" s="2962"/>
      <c r="AN124" s="2962"/>
      <c r="AO124" s="2962"/>
      <c r="AP124" s="2962"/>
      <c r="AQ124" s="2962"/>
      <c r="AR124" s="2962"/>
      <c r="AS124" s="2962"/>
      <c r="AT124" s="2972"/>
      <c r="AU124" s="2973"/>
      <c r="AV124" s="1120">
        <f t="shared" si="62"/>
        <v>0</v>
      </c>
      <c r="AW124" s="1120">
        <f t="shared" si="63"/>
        <v>0</v>
      </c>
      <c r="AX124" s="1120">
        <f t="shared" si="64"/>
        <v>0</v>
      </c>
      <c r="AY124" s="2987">
        <f t="shared" si="39"/>
        <v>0</v>
      </c>
      <c r="AZ124" s="2942">
        <f t="shared" si="40"/>
        <v>0</v>
      </c>
      <c r="BA124" s="2942">
        <f t="shared" si="41"/>
        <v>0</v>
      </c>
      <c r="BB124" s="2942">
        <f t="shared" si="42"/>
        <v>0</v>
      </c>
      <c r="BC124" s="2942">
        <f t="shared" si="43"/>
        <v>0</v>
      </c>
      <c r="BD124" s="2942">
        <f t="shared" si="44"/>
        <v>0</v>
      </c>
      <c r="BE124" s="2942">
        <f t="shared" si="45"/>
        <v>0</v>
      </c>
      <c r="BF124" s="2942">
        <f t="shared" si="46"/>
        <v>0</v>
      </c>
      <c r="BG124" s="2942">
        <f t="shared" si="47"/>
        <v>0</v>
      </c>
      <c r="BH124" s="2942">
        <f t="shared" si="48"/>
        <v>0</v>
      </c>
      <c r="BI124" s="2942">
        <f t="shared" si="49"/>
        <v>0</v>
      </c>
      <c r="BJ124" s="2942">
        <f t="shared" si="50"/>
        <v>0</v>
      </c>
      <c r="BK124" s="2942">
        <f t="shared" si="51"/>
        <v>0</v>
      </c>
      <c r="BL124" s="2942">
        <f t="shared" si="52"/>
        <v>0</v>
      </c>
      <c r="BM124" s="2942">
        <f t="shared" si="53"/>
        <v>0</v>
      </c>
      <c r="BN124" s="2942">
        <f t="shared" si="54"/>
        <v>0</v>
      </c>
      <c r="BO124" s="2942">
        <f t="shared" si="55"/>
        <v>0</v>
      </c>
      <c r="BP124" s="2942">
        <f t="shared" si="56"/>
        <v>0</v>
      </c>
      <c r="BQ124" s="2942">
        <f t="shared" si="57"/>
        <v>0</v>
      </c>
      <c r="BR124" s="2942">
        <f t="shared" si="58"/>
        <v>0</v>
      </c>
      <c r="BS124" s="2942">
        <f t="shared" si="59"/>
        <v>0</v>
      </c>
      <c r="BT124" s="2994">
        <f t="shared" si="60"/>
        <v>0</v>
      </c>
    </row>
    <row r="125" spans="1:72">
      <c r="A125" s="2939"/>
      <c r="B125" s="2940"/>
      <c r="C125" s="2940"/>
      <c r="D125" s="2941"/>
      <c r="E125" s="2942">
        <f t="shared" si="61"/>
        <v>0</v>
      </c>
      <c r="F125" s="2943"/>
      <c r="G125" s="2944">
        <f t="shared" si="36"/>
        <v>0</v>
      </c>
      <c r="H125" s="2945">
        <f t="shared" si="37"/>
        <v>0</v>
      </c>
      <c r="I125" s="2952"/>
      <c r="J125" s="2952"/>
      <c r="K125" s="2952"/>
      <c r="L125" s="2952"/>
      <c r="M125" s="2952"/>
      <c r="N125" s="2952"/>
      <c r="O125" s="2952"/>
      <c r="P125" s="2952"/>
      <c r="Q125" s="2952"/>
      <c r="R125" s="2952"/>
      <c r="S125" s="2952"/>
      <c r="T125" s="2952"/>
      <c r="U125" s="2952"/>
      <c r="V125" s="2952"/>
      <c r="W125" s="2952"/>
      <c r="X125" s="2952"/>
      <c r="Y125" s="2952"/>
      <c r="Z125" s="2952"/>
      <c r="AA125" s="2952"/>
      <c r="AB125" s="2952"/>
      <c r="AC125" s="2942">
        <f t="shared" si="38"/>
        <v>0</v>
      </c>
      <c r="AD125" s="2962"/>
      <c r="AE125" s="2962"/>
      <c r="AF125" s="2962"/>
      <c r="AG125" s="2962"/>
      <c r="AH125" s="2962"/>
      <c r="AI125" s="2962"/>
      <c r="AJ125" s="2962"/>
      <c r="AK125" s="2962"/>
      <c r="AL125" s="2962"/>
      <c r="AM125" s="2962"/>
      <c r="AN125" s="2962"/>
      <c r="AO125" s="2962"/>
      <c r="AP125" s="2962"/>
      <c r="AQ125" s="2962"/>
      <c r="AR125" s="2962"/>
      <c r="AS125" s="2962"/>
      <c r="AT125" s="2972"/>
      <c r="AU125" s="2973"/>
      <c r="AV125" s="1120">
        <f t="shared" si="62"/>
        <v>0</v>
      </c>
      <c r="AW125" s="1120">
        <f t="shared" si="63"/>
        <v>0</v>
      </c>
      <c r="AX125" s="1120">
        <f t="shared" si="64"/>
        <v>0</v>
      </c>
      <c r="AY125" s="2987">
        <f t="shared" si="39"/>
        <v>0</v>
      </c>
      <c r="AZ125" s="2942">
        <f t="shared" si="40"/>
        <v>0</v>
      </c>
      <c r="BA125" s="2942">
        <f t="shared" si="41"/>
        <v>0</v>
      </c>
      <c r="BB125" s="2942">
        <f t="shared" si="42"/>
        <v>0</v>
      </c>
      <c r="BC125" s="2942">
        <f t="shared" si="43"/>
        <v>0</v>
      </c>
      <c r="BD125" s="2942">
        <f t="shared" si="44"/>
        <v>0</v>
      </c>
      <c r="BE125" s="2942">
        <f t="shared" si="45"/>
        <v>0</v>
      </c>
      <c r="BF125" s="2942">
        <f t="shared" si="46"/>
        <v>0</v>
      </c>
      <c r="BG125" s="2942">
        <f t="shared" si="47"/>
        <v>0</v>
      </c>
      <c r="BH125" s="2942">
        <f t="shared" si="48"/>
        <v>0</v>
      </c>
      <c r="BI125" s="2942">
        <f t="shared" si="49"/>
        <v>0</v>
      </c>
      <c r="BJ125" s="2942">
        <f t="shared" si="50"/>
        <v>0</v>
      </c>
      <c r="BK125" s="2942">
        <f t="shared" si="51"/>
        <v>0</v>
      </c>
      <c r="BL125" s="2942">
        <f t="shared" si="52"/>
        <v>0</v>
      </c>
      <c r="BM125" s="2942">
        <f t="shared" si="53"/>
        <v>0</v>
      </c>
      <c r="BN125" s="2942">
        <f t="shared" si="54"/>
        <v>0</v>
      </c>
      <c r="BO125" s="2942">
        <f t="shared" si="55"/>
        <v>0</v>
      </c>
      <c r="BP125" s="2942">
        <f t="shared" si="56"/>
        <v>0</v>
      </c>
      <c r="BQ125" s="2942">
        <f t="shared" si="57"/>
        <v>0</v>
      </c>
      <c r="BR125" s="2942">
        <f t="shared" si="58"/>
        <v>0</v>
      </c>
      <c r="BS125" s="2942">
        <f t="shared" si="59"/>
        <v>0</v>
      </c>
      <c r="BT125" s="2994">
        <f t="shared" si="60"/>
        <v>0</v>
      </c>
    </row>
    <row r="126" spans="1:72">
      <c r="A126" s="2939"/>
      <c r="B126" s="2940"/>
      <c r="C126" s="2940"/>
      <c r="D126" s="2941"/>
      <c r="E126" s="2942">
        <f t="shared" si="61"/>
        <v>0</v>
      </c>
      <c r="F126" s="2943"/>
      <c r="G126" s="2944">
        <f t="shared" si="36"/>
        <v>0</v>
      </c>
      <c r="H126" s="2945">
        <f t="shared" si="37"/>
        <v>0</v>
      </c>
      <c r="I126" s="2952"/>
      <c r="J126" s="2952"/>
      <c r="K126" s="2952"/>
      <c r="L126" s="2952"/>
      <c r="M126" s="2952"/>
      <c r="N126" s="2952"/>
      <c r="O126" s="2952"/>
      <c r="P126" s="2952"/>
      <c r="Q126" s="2952"/>
      <c r="R126" s="2952"/>
      <c r="S126" s="2952"/>
      <c r="T126" s="2952"/>
      <c r="U126" s="2952"/>
      <c r="V126" s="2952"/>
      <c r="W126" s="2952"/>
      <c r="X126" s="2952"/>
      <c r="Y126" s="2952"/>
      <c r="Z126" s="2952"/>
      <c r="AA126" s="2952"/>
      <c r="AB126" s="2952"/>
      <c r="AC126" s="2942">
        <f t="shared" si="38"/>
        <v>0</v>
      </c>
      <c r="AD126" s="2962"/>
      <c r="AE126" s="2962"/>
      <c r="AF126" s="2962"/>
      <c r="AG126" s="2962"/>
      <c r="AH126" s="2962"/>
      <c r="AI126" s="2962"/>
      <c r="AJ126" s="2962"/>
      <c r="AK126" s="2962"/>
      <c r="AL126" s="2962"/>
      <c r="AM126" s="2962"/>
      <c r="AN126" s="2962"/>
      <c r="AO126" s="2962"/>
      <c r="AP126" s="2962"/>
      <c r="AQ126" s="2962"/>
      <c r="AR126" s="2962"/>
      <c r="AS126" s="2962"/>
      <c r="AT126" s="2972"/>
      <c r="AU126" s="2973"/>
      <c r="AV126" s="1120">
        <f t="shared" si="62"/>
        <v>0</v>
      </c>
      <c r="AW126" s="1120">
        <f t="shared" si="63"/>
        <v>0</v>
      </c>
      <c r="AX126" s="1120">
        <f t="shared" si="64"/>
        <v>0</v>
      </c>
      <c r="AY126" s="2987">
        <f t="shared" si="39"/>
        <v>0</v>
      </c>
      <c r="AZ126" s="2942">
        <f t="shared" si="40"/>
        <v>0</v>
      </c>
      <c r="BA126" s="2942">
        <f t="shared" si="41"/>
        <v>0</v>
      </c>
      <c r="BB126" s="2942">
        <f t="shared" si="42"/>
        <v>0</v>
      </c>
      <c r="BC126" s="2942">
        <f t="shared" si="43"/>
        <v>0</v>
      </c>
      <c r="BD126" s="2942">
        <f t="shared" si="44"/>
        <v>0</v>
      </c>
      <c r="BE126" s="2942">
        <f t="shared" si="45"/>
        <v>0</v>
      </c>
      <c r="BF126" s="2942">
        <f t="shared" si="46"/>
        <v>0</v>
      </c>
      <c r="BG126" s="2942">
        <f t="shared" si="47"/>
        <v>0</v>
      </c>
      <c r="BH126" s="2942">
        <f t="shared" si="48"/>
        <v>0</v>
      </c>
      <c r="BI126" s="2942">
        <f t="shared" si="49"/>
        <v>0</v>
      </c>
      <c r="BJ126" s="2942">
        <f t="shared" si="50"/>
        <v>0</v>
      </c>
      <c r="BK126" s="2942">
        <f t="shared" si="51"/>
        <v>0</v>
      </c>
      <c r="BL126" s="2942">
        <f t="shared" si="52"/>
        <v>0</v>
      </c>
      <c r="BM126" s="2942">
        <f t="shared" si="53"/>
        <v>0</v>
      </c>
      <c r="BN126" s="2942">
        <f t="shared" si="54"/>
        <v>0</v>
      </c>
      <c r="BO126" s="2942">
        <f t="shared" si="55"/>
        <v>0</v>
      </c>
      <c r="BP126" s="2942">
        <f t="shared" si="56"/>
        <v>0</v>
      </c>
      <c r="BQ126" s="2942">
        <f t="shared" si="57"/>
        <v>0</v>
      </c>
      <c r="BR126" s="2942">
        <f t="shared" si="58"/>
        <v>0</v>
      </c>
      <c r="BS126" s="2942">
        <f t="shared" si="59"/>
        <v>0</v>
      </c>
      <c r="BT126" s="2994">
        <f t="shared" si="60"/>
        <v>0</v>
      </c>
    </row>
    <row r="127" spans="1:72">
      <c r="A127" s="2939"/>
      <c r="B127" s="2940"/>
      <c r="C127" s="2940"/>
      <c r="D127" s="2941"/>
      <c r="E127" s="2942">
        <f t="shared" si="61"/>
        <v>0</v>
      </c>
      <c r="F127" s="2943"/>
      <c r="G127" s="2944">
        <f t="shared" si="36"/>
        <v>0</v>
      </c>
      <c r="H127" s="2945">
        <f t="shared" si="37"/>
        <v>0</v>
      </c>
      <c r="I127" s="2952"/>
      <c r="J127" s="2952"/>
      <c r="K127" s="2952"/>
      <c r="L127" s="2952"/>
      <c r="M127" s="2952"/>
      <c r="N127" s="2952"/>
      <c r="O127" s="2952"/>
      <c r="P127" s="2952"/>
      <c r="Q127" s="2952"/>
      <c r="R127" s="2952"/>
      <c r="S127" s="2952"/>
      <c r="T127" s="2952"/>
      <c r="U127" s="2952"/>
      <c r="V127" s="2952"/>
      <c r="W127" s="2952"/>
      <c r="X127" s="2952"/>
      <c r="Y127" s="2952"/>
      <c r="Z127" s="2952"/>
      <c r="AA127" s="2952"/>
      <c r="AB127" s="2952"/>
      <c r="AC127" s="2942">
        <f t="shared" si="38"/>
        <v>0</v>
      </c>
      <c r="AD127" s="2962"/>
      <c r="AE127" s="2962"/>
      <c r="AF127" s="2962"/>
      <c r="AG127" s="2962"/>
      <c r="AH127" s="2962"/>
      <c r="AI127" s="2962"/>
      <c r="AJ127" s="2962"/>
      <c r="AK127" s="2962"/>
      <c r="AL127" s="2962"/>
      <c r="AM127" s="2962"/>
      <c r="AN127" s="2962"/>
      <c r="AO127" s="2962"/>
      <c r="AP127" s="2962"/>
      <c r="AQ127" s="2962"/>
      <c r="AR127" s="2962"/>
      <c r="AS127" s="2962"/>
      <c r="AT127" s="2972"/>
      <c r="AU127" s="2973"/>
      <c r="AV127" s="1120">
        <f t="shared" si="62"/>
        <v>0</v>
      </c>
      <c r="AW127" s="1120">
        <f t="shared" si="63"/>
        <v>0</v>
      </c>
      <c r="AX127" s="1120">
        <f t="shared" si="64"/>
        <v>0</v>
      </c>
      <c r="AY127" s="2987">
        <f t="shared" si="39"/>
        <v>0</v>
      </c>
      <c r="AZ127" s="2942">
        <f t="shared" si="40"/>
        <v>0</v>
      </c>
      <c r="BA127" s="2942">
        <f t="shared" si="41"/>
        <v>0</v>
      </c>
      <c r="BB127" s="2942">
        <f t="shared" si="42"/>
        <v>0</v>
      </c>
      <c r="BC127" s="2942">
        <f t="shared" si="43"/>
        <v>0</v>
      </c>
      <c r="BD127" s="2942">
        <f t="shared" si="44"/>
        <v>0</v>
      </c>
      <c r="BE127" s="2942">
        <f t="shared" si="45"/>
        <v>0</v>
      </c>
      <c r="BF127" s="2942">
        <f t="shared" si="46"/>
        <v>0</v>
      </c>
      <c r="BG127" s="2942">
        <f t="shared" si="47"/>
        <v>0</v>
      </c>
      <c r="BH127" s="2942">
        <f t="shared" si="48"/>
        <v>0</v>
      </c>
      <c r="BI127" s="2942">
        <f t="shared" si="49"/>
        <v>0</v>
      </c>
      <c r="BJ127" s="2942">
        <f t="shared" si="50"/>
        <v>0</v>
      </c>
      <c r="BK127" s="2942">
        <f t="shared" si="51"/>
        <v>0</v>
      </c>
      <c r="BL127" s="2942">
        <f t="shared" si="52"/>
        <v>0</v>
      </c>
      <c r="BM127" s="2942">
        <f t="shared" si="53"/>
        <v>0</v>
      </c>
      <c r="BN127" s="2942">
        <f t="shared" si="54"/>
        <v>0</v>
      </c>
      <c r="BO127" s="2942">
        <f t="shared" si="55"/>
        <v>0</v>
      </c>
      <c r="BP127" s="2942">
        <f t="shared" si="56"/>
        <v>0</v>
      </c>
      <c r="BQ127" s="2942">
        <f t="shared" si="57"/>
        <v>0</v>
      </c>
      <c r="BR127" s="2942">
        <f t="shared" si="58"/>
        <v>0</v>
      </c>
      <c r="BS127" s="2942">
        <f t="shared" si="59"/>
        <v>0</v>
      </c>
      <c r="BT127" s="2994">
        <f t="shared" si="60"/>
        <v>0</v>
      </c>
    </row>
    <row r="128" spans="1:72">
      <c r="A128" s="2939"/>
      <c r="B128" s="2940"/>
      <c r="C128" s="2940"/>
      <c r="D128" s="2941"/>
      <c r="E128" s="2942">
        <f t="shared" si="61"/>
        <v>0</v>
      </c>
      <c r="F128" s="2943"/>
      <c r="G128" s="2944">
        <f t="shared" si="36"/>
        <v>0</v>
      </c>
      <c r="H128" s="2945">
        <f t="shared" si="37"/>
        <v>0</v>
      </c>
      <c r="I128" s="2952"/>
      <c r="J128" s="2952"/>
      <c r="K128" s="2952"/>
      <c r="L128" s="2952"/>
      <c r="M128" s="2952"/>
      <c r="N128" s="2952"/>
      <c r="O128" s="2952"/>
      <c r="P128" s="2952"/>
      <c r="Q128" s="2952"/>
      <c r="R128" s="2952"/>
      <c r="S128" s="2952"/>
      <c r="T128" s="2952"/>
      <c r="U128" s="2952"/>
      <c r="V128" s="2952"/>
      <c r="W128" s="2952"/>
      <c r="X128" s="2952"/>
      <c r="Y128" s="2952"/>
      <c r="Z128" s="2952"/>
      <c r="AA128" s="2952"/>
      <c r="AB128" s="2952"/>
      <c r="AC128" s="2942">
        <f t="shared" si="38"/>
        <v>0</v>
      </c>
      <c r="AD128" s="2962"/>
      <c r="AE128" s="2962"/>
      <c r="AF128" s="2962"/>
      <c r="AG128" s="2962"/>
      <c r="AH128" s="2962"/>
      <c r="AI128" s="2962"/>
      <c r="AJ128" s="2962"/>
      <c r="AK128" s="2962"/>
      <c r="AL128" s="2962"/>
      <c r="AM128" s="2962"/>
      <c r="AN128" s="2962"/>
      <c r="AO128" s="2962"/>
      <c r="AP128" s="2962"/>
      <c r="AQ128" s="2962"/>
      <c r="AR128" s="2962"/>
      <c r="AS128" s="2962"/>
      <c r="AT128" s="2972"/>
      <c r="AU128" s="2973"/>
      <c r="AV128" s="1120">
        <f t="shared" si="62"/>
        <v>0</v>
      </c>
      <c r="AW128" s="1120">
        <f t="shared" si="63"/>
        <v>0</v>
      </c>
      <c r="AX128" s="1120">
        <f t="shared" si="64"/>
        <v>0</v>
      </c>
      <c r="AY128" s="2987">
        <f t="shared" si="39"/>
        <v>0</v>
      </c>
      <c r="AZ128" s="2942">
        <f t="shared" si="40"/>
        <v>0</v>
      </c>
      <c r="BA128" s="2942">
        <f t="shared" si="41"/>
        <v>0</v>
      </c>
      <c r="BB128" s="2942">
        <f t="shared" si="42"/>
        <v>0</v>
      </c>
      <c r="BC128" s="2942">
        <f t="shared" si="43"/>
        <v>0</v>
      </c>
      <c r="BD128" s="2942">
        <f t="shared" si="44"/>
        <v>0</v>
      </c>
      <c r="BE128" s="2942">
        <f t="shared" si="45"/>
        <v>0</v>
      </c>
      <c r="BF128" s="2942">
        <f t="shared" si="46"/>
        <v>0</v>
      </c>
      <c r="BG128" s="2942">
        <f t="shared" si="47"/>
        <v>0</v>
      </c>
      <c r="BH128" s="2942">
        <f t="shared" si="48"/>
        <v>0</v>
      </c>
      <c r="BI128" s="2942">
        <f t="shared" si="49"/>
        <v>0</v>
      </c>
      <c r="BJ128" s="2942">
        <f t="shared" si="50"/>
        <v>0</v>
      </c>
      <c r="BK128" s="2942">
        <f t="shared" si="51"/>
        <v>0</v>
      </c>
      <c r="BL128" s="2942">
        <f t="shared" si="52"/>
        <v>0</v>
      </c>
      <c r="BM128" s="2942">
        <f t="shared" si="53"/>
        <v>0</v>
      </c>
      <c r="BN128" s="2942">
        <f t="shared" si="54"/>
        <v>0</v>
      </c>
      <c r="BO128" s="2942">
        <f t="shared" si="55"/>
        <v>0</v>
      </c>
      <c r="BP128" s="2942">
        <f t="shared" si="56"/>
        <v>0</v>
      </c>
      <c r="BQ128" s="2942">
        <f t="shared" si="57"/>
        <v>0</v>
      </c>
      <c r="BR128" s="2942">
        <f t="shared" si="58"/>
        <v>0</v>
      </c>
      <c r="BS128" s="2942">
        <f t="shared" si="59"/>
        <v>0</v>
      </c>
      <c r="BT128" s="2994">
        <f t="shared" si="60"/>
        <v>0</v>
      </c>
    </row>
    <row r="129" spans="1:72">
      <c r="A129" s="2939"/>
      <c r="B129" s="2940"/>
      <c r="C129" s="2940"/>
      <c r="D129" s="2941"/>
      <c r="E129" s="2942">
        <f t="shared" si="61"/>
        <v>0</v>
      </c>
      <c r="F129" s="2943"/>
      <c r="G129" s="2944">
        <f t="shared" si="36"/>
        <v>0</v>
      </c>
      <c r="H129" s="2945">
        <f t="shared" si="37"/>
        <v>0</v>
      </c>
      <c r="I129" s="2952"/>
      <c r="J129" s="2952"/>
      <c r="K129" s="2952"/>
      <c r="L129" s="2952"/>
      <c r="M129" s="2952"/>
      <c r="N129" s="2952"/>
      <c r="O129" s="2952"/>
      <c r="P129" s="2952"/>
      <c r="Q129" s="2952"/>
      <c r="R129" s="2952"/>
      <c r="S129" s="2952"/>
      <c r="T129" s="2952"/>
      <c r="U129" s="2952"/>
      <c r="V129" s="2952"/>
      <c r="W129" s="2952"/>
      <c r="X129" s="2952"/>
      <c r="Y129" s="2952"/>
      <c r="Z129" s="2952"/>
      <c r="AA129" s="2952"/>
      <c r="AB129" s="2952"/>
      <c r="AC129" s="2942">
        <f t="shared" si="38"/>
        <v>0</v>
      </c>
      <c r="AD129" s="2962"/>
      <c r="AE129" s="2962"/>
      <c r="AF129" s="2962"/>
      <c r="AG129" s="2962"/>
      <c r="AH129" s="2962"/>
      <c r="AI129" s="2962"/>
      <c r="AJ129" s="2962"/>
      <c r="AK129" s="2962"/>
      <c r="AL129" s="2962"/>
      <c r="AM129" s="2962"/>
      <c r="AN129" s="2962"/>
      <c r="AO129" s="2962"/>
      <c r="AP129" s="2962"/>
      <c r="AQ129" s="2962"/>
      <c r="AR129" s="2962"/>
      <c r="AS129" s="2962"/>
      <c r="AT129" s="2972"/>
      <c r="AU129" s="2973"/>
      <c r="AV129" s="1120">
        <f t="shared" si="62"/>
        <v>0</v>
      </c>
      <c r="AW129" s="1120">
        <f t="shared" si="63"/>
        <v>0</v>
      </c>
      <c r="AX129" s="1120">
        <f t="shared" si="64"/>
        <v>0</v>
      </c>
      <c r="AY129" s="2987">
        <f t="shared" si="39"/>
        <v>0</v>
      </c>
      <c r="AZ129" s="2942">
        <f t="shared" si="40"/>
        <v>0</v>
      </c>
      <c r="BA129" s="2942">
        <f t="shared" si="41"/>
        <v>0</v>
      </c>
      <c r="BB129" s="2942">
        <f t="shared" si="42"/>
        <v>0</v>
      </c>
      <c r="BC129" s="2942">
        <f t="shared" si="43"/>
        <v>0</v>
      </c>
      <c r="BD129" s="2942">
        <f t="shared" si="44"/>
        <v>0</v>
      </c>
      <c r="BE129" s="2942">
        <f t="shared" si="45"/>
        <v>0</v>
      </c>
      <c r="BF129" s="2942">
        <f t="shared" si="46"/>
        <v>0</v>
      </c>
      <c r="BG129" s="2942">
        <f t="shared" si="47"/>
        <v>0</v>
      </c>
      <c r="BH129" s="2942">
        <f t="shared" si="48"/>
        <v>0</v>
      </c>
      <c r="BI129" s="2942">
        <f t="shared" si="49"/>
        <v>0</v>
      </c>
      <c r="BJ129" s="2942">
        <f t="shared" si="50"/>
        <v>0</v>
      </c>
      <c r="BK129" s="2942">
        <f t="shared" si="51"/>
        <v>0</v>
      </c>
      <c r="BL129" s="2942">
        <f t="shared" si="52"/>
        <v>0</v>
      </c>
      <c r="BM129" s="2942">
        <f t="shared" si="53"/>
        <v>0</v>
      </c>
      <c r="BN129" s="2942">
        <f t="shared" si="54"/>
        <v>0</v>
      </c>
      <c r="BO129" s="2942">
        <f t="shared" si="55"/>
        <v>0</v>
      </c>
      <c r="BP129" s="2942">
        <f t="shared" si="56"/>
        <v>0</v>
      </c>
      <c r="BQ129" s="2942">
        <f t="shared" si="57"/>
        <v>0</v>
      </c>
      <c r="BR129" s="2942">
        <f t="shared" si="58"/>
        <v>0</v>
      </c>
      <c r="BS129" s="2942">
        <f t="shared" si="59"/>
        <v>0</v>
      </c>
      <c r="BT129" s="2994">
        <f t="shared" si="60"/>
        <v>0</v>
      </c>
    </row>
    <row r="130" spans="1:72">
      <c r="A130" s="2939"/>
      <c r="B130" s="2940"/>
      <c r="C130" s="2940"/>
      <c r="D130" s="2941"/>
      <c r="E130" s="2942">
        <f t="shared" si="61"/>
        <v>0</v>
      </c>
      <c r="F130" s="2943"/>
      <c r="G130" s="2944">
        <f t="shared" si="36"/>
        <v>0</v>
      </c>
      <c r="H130" s="2945">
        <f t="shared" si="37"/>
        <v>0</v>
      </c>
      <c r="I130" s="2952"/>
      <c r="J130" s="2952"/>
      <c r="K130" s="2952"/>
      <c r="L130" s="2952"/>
      <c r="M130" s="2952"/>
      <c r="N130" s="2952"/>
      <c r="O130" s="2952"/>
      <c r="P130" s="2952"/>
      <c r="Q130" s="2952"/>
      <c r="R130" s="2952"/>
      <c r="S130" s="2952"/>
      <c r="T130" s="2952"/>
      <c r="U130" s="2952"/>
      <c r="V130" s="2952"/>
      <c r="W130" s="2952"/>
      <c r="X130" s="2952"/>
      <c r="Y130" s="2952"/>
      <c r="Z130" s="2952"/>
      <c r="AA130" s="2952"/>
      <c r="AB130" s="2952"/>
      <c r="AC130" s="2942">
        <f t="shared" si="38"/>
        <v>0</v>
      </c>
      <c r="AD130" s="2962"/>
      <c r="AE130" s="2962"/>
      <c r="AF130" s="2962"/>
      <c r="AG130" s="2962"/>
      <c r="AH130" s="2962"/>
      <c r="AI130" s="2962"/>
      <c r="AJ130" s="2962"/>
      <c r="AK130" s="2962"/>
      <c r="AL130" s="2962"/>
      <c r="AM130" s="2962"/>
      <c r="AN130" s="2962"/>
      <c r="AO130" s="2962"/>
      <c r="AP130" s="2962"/>
      <c r="AQ130" s="2962"/>
      <c r="AR130" s="2962"/>
      <c r="AS130" s="2962"/>
      <c r="AT130" s="2972"/>
      <c r="AU130" s="2973"/>
      <c r="AV130" s="1120">
        <f t="shared" si="62"/>
        <v>0</v>
      </c>
      <c r="AW130" s="1120">
        <f t="shared" si="63"/>
        <v>0</v>
      </c>
      <c r="AX130" s="1120">
        <f t="shared" si="64"/>
        <v>0</v>
      </c>
      <c r="AY130" s="2987">
        <f t="shared" si="39"/>
        <v>0</v>
      </c>
      <c r="AZ130" s="2942">
        <f t="shared" si="40"/>
        <v>0</v>
      </c>
      <c r="BA130" s="2942">
        <f t="shared" si="41"/>
        <v>0</v>
      </c>
      <c r="BB130" s="2942">
        <f t="shared" si="42"/>
        <v>0</v>
      </c>
      <c r="BC130" s="2942">
        <f t="shared" si="43"/>
        <v>0</v>
      </c>
      <c r="BD130" s="2942">
        <f t="shared" si="44"/>
        <v>0</v>
      </c>
      <c r="BE130" s="2942">
        <f t="shared" si="45"/>
        <v>0</v>
      </c>
      <c r="BF130" s="2942">
        <f t="shared" si="46"/>
        <v>0</v>
      </c>
      <c r="BG130" s="2942">
        <f t="shared" si="47"/>
        <v>0</v>
      </c>
      <c r="BH130" s="2942">
        <f t="shared" si="48"/>
        <v>0</v>
      </c>
      <c r="BI130" s="2942">
        <f t="shared" si="49"/>
        <v>0</v>
      </c>
      <c r="BJ130" s="2942">
        <f t="shared" si="50"/>
        <v>0</v>
      </c>
      <c r="BK130" s="2942">
        <f t="shared" si="51"/>
        <v>0</v>
      </c>
      <c r="BL130" s="2942">
        <f t="shared" si="52"/>
        <v>0</v>
      </c>
      <c r="BM130" s="2942">
        <f t="shared" si="53"/>
        <v>0</v>
      </c>
      <c r="BN130" s="2942">
        <f t="shared" si="54"/>
        <v>0</v>
      </c>
      <c r="BO130" s="2942">
        <f t="shared" si="55"/>
        <v>0</v>
      </c>
      <c r="BP130" s="2942">
        <f t="shared" si="56"/>
        <v>0</v>
      </c>
      <c r="BQ130" s="2942">
        <f t="shared" si="57"/>
        <v>0</v>
      </c>
      <c r="BR130" s="2942">
        <f t="shared" si="58"/>
        <v>0</v>
      </c>
      <c r="BS130" s="2942">
        <f t="shared" si="59"/>
        <v>0</v>
      </c>
      <c r="BT130" s="2994">
        <f t="shared" si="60"/>
        <v>0</v>
      </c>
    </row>
    <row r="131" spans="1:72">
      <c r="A131" s="2939"/>
      <c r="B131" s="2940"/>
      <c r="C131" s="2940"/>
      <c r="D131" s="2941"/>
      <c r="E131" s="2942">
        <f t="shared" si="61"/>
        <v>0</v>
      </c>
      <c r="F131" s="2943"/>
      <c r="G131" s="2944">
        <f t="shared" si="36"/>
        <v>0</v>
      </c>
      <c r="H131" s="2945">
        <f t="shared" si="37"/>
        <v>0</v>
      </c>
      <c r="I131" s="2952"/>
      <c r="J131" s="2952"/>
      <c r="K131" s="2952"/>
      <c r="L131" s="2952"/>
      <c r="M131" s="2952"/>
      <c r="N131" s="2952"/>
      <c r="O131" s="2952"/>
      <c r="P131" s="2952"/>
      <c r="Q131" s="2952"/>
      <c r="R131" s="2952"/>
      <c r="S131" s="2952"/>
      <c r="T131" s="2952"/>
      <c r="U131" s="2952"/>
      <c r="V131" s="2952"/>
      <c r="W131" s="2952"/>
      <c r="X131" s="2952"/>
      <c r="Y131" s="2952"/>
      <c r="Z131" s="2952"/>
      <c r="AA131" s="2952"/>
      <c r="AB131" s="2952"/>
      <c r="AC131" s="2942">
        <f t="shared" si="38"/>
        <v>0</v>
      </c>
      <c r="AD131" s="2962"/>
      <c r="AE131" s="2962"/>
      <c r="AF131" s="2962"/>
      <c r="AG131" s="2962"/>
      <c r="AH131" s="2962"/>
      <c r="AI131" s="2962"/>
      <c r="AJ131" s="2962"/>
      <c r="AK131" s="2962"/>
      <c r="AL131" s="2962"/>
      <c r="AM131" s="2962"/>
      <c r="AN131" s="2962"/>
      <c r="AO131" s="2962"/>
      <c r="AP131" s="2962"/>
      <c r="AQ131" s="2962"/>
      <c r="AR131" s="2962"/>
      <c r="AS131" s="2962"/>
      <c r="AT131" s="2972"/>
      <c r="AU131" s="2973"/>
      <c r="AV131" s="1120">
        <f t="shared" si="62"/>
        <v>0</v>
      </c>
      <c r="AW131" s="1120">
        <f t="shared" si="63"/>
        <v>0</v>
      </c>
      <c r="AX131" s="1120">
        <f t="shared" si="64"/>
        <v>0</v>
      </c>
      <c r="AY131" s="2987">
        <f t="shared" si="39"/>
        <v>0</v>
      </c>
      <c r="AZ131" s="2942">
        <f t="shared" si="40"/>
        <v>0</v>
      </c>
      <c r="BA131" s="2942">
        <f t="shared" si="41"/>
        <v>0</v>
      </c>
      <c r="BB131" s="2942">
        <f t="shared" si="42"/>
        <v>0</v>
      </c>
      <c r="BC131" s="2942">
        <f t="shared" si="43"/>
        <v>0</v>
      </c>
      <c r="BD131" s="2942">
        <f t="shared" si="44"/>
        <v>0</v>
      </c>
      <c r="BE131" s="2942">
        <f t="shared" si="45"/>
        <v>0</v>
      </c>
      <c r="BF131" s="2942">
        <f t="shared" si="46"/>
        <v>0</v>
      </c>
      <c r="BG131" s="2942">
        <f t="shared" si="47"/>
        <v>0</v>
      </c>
      <c r="BH131" s="2942">
        <f t="shared" si="48"/>
        <v>0</v>
      </c>
      <c r="BI131" s="2942">
        <f t="shared" si="49"/>
        <v>0</v>
      </c>
      <c r="BJ131" s="2942">
        <f t="shared" si="50"/>
        <v>0</v>
      </c>
      <c r="BK131" s="2942">
        <f t="shared" si="51"/>
        <v>0</v>
      </c>
      <c r="BL131" s="2942">
        <f t="shared" si="52"/>
        <v>0</v>
      </c>
      <c r="BM131" s="2942">
        <f t="shared" si="53"/>
        <v>0</v>
      </c>
      <c r="BN131" s="2942">
        <f t="shared" si="54"/>
        <v>0</v>
      </c>
      <c r="BO131" s="2942">
        <f t="shared" si="55"/>
        <v>0</v>
      </c>
      <c r="BP131" s="2942">
        <f t="shared" si="56"/>
        <v>0</v>
      </c>
      <c r="BQ131" s="2942">
        <f t="shared" si="57"/>
        <v>0</v>
      </c>
      <c r="BR131" s="2942">
        <f t="shared" si="58"/>
        <v>0</v>
      </c>
      <c r="BS131" s="2942">
        <f t="shared" si="59"/>
        <v>0</v>
      </c>
      <c r="BT131" s="2994">
        <f t="shared" si="60"/>
        <v>0</v>
      </c>
    </row>
    <row r="132" spans="1:72">
      <c r="A132" s="2939"/>
      <c r="B132" s="2940"/>
      <c r="C132" s="2940"/>
      <c r="D132" s="2941"/>
      <c r="E132" s="2942">
        <f t="shared" si="61"/>
        <v>0</v>
      </c>
      <c r="F132" s="2943"/>
      <c r="G132" s="2944">
        <f t="shared" si="36"/>
        <v>0</v>
      </c>
      <c r="H132" s="2945">
        <f t="shared" si="37"/>
        <v>0</v>
      </c>
      <c r="I132" s="2952"/>
      <c r="J132" s="2952"/>
      <c r="K132" s="2952"/>
      <c r="L132" s="2952"/>
      <c r="M132" s="2952"/>
      <c r="N132" s="2952"/>
      <c r="O132" s="2952"/>
      <c r="P132" s="2952"/>
      <c r="Q132" s="2952"/>
      <c r="R132" s="2952"/>
      <c r="S132" s="2952"/>
      <c r="T132" s="2952"/>
      <c r="U132" s="2952"/>
      <c r="V132" s="2952"/>
      <c r="W132" s="2952"/>
      <c r="X132" s="2952"/>
      <c r="Y132" s="2952"/>
      <c r="Z132" s="2952"/>
      <c r="AA132" s="2952"/>
      <c r="AB132" s="2952"/>
      <c r="AC132" s="2942">
        <f t="shared" si="38"/>
        <v>0</v>
      </c>
      <c r="AD132" s="2962"/>
      <c r="AE132" s="2962"/>
      <c r="AF132" s="2962"/>
      <c r="AG132" s="2962"/>
      <c r="AH132" s="2962"/>
      <c r="AI132" s="2962"/>
      <c r="AJ132" s="2962"/>
      <c r="AK132" s="2962"/>
      <c r="AL132" s="2962"/>
      <c r="AM132" s="2962"/>
      <c r="AN132" s="2962"/>
      <c r="AO132" s="2962"/>
      <c r="AP132" s="2962"/>
      <c r="AQ132" s="2962"/>
      <c r="AR132" s="2962"/>
      <c r="AS132" s="2962"/>
      <c r="AT132" s="2972"/>
      <c r="AU132" s="2973"/>
      <c r="AV132" s="1120">
        <f t="shared" si="62"/>
        <v>0</v>
      </c>
      <c r="AW132" s="1120">
        <f t="shared" si="63"/>
        <v>0</v>
      </c>
      <c r="AX132" s="1120">
        <f t="shared" si="64"/>
        <v>0</v>
      </c>
      <c r="AY132" s="2987">
        <f t="shared" si="39"/>
        <v>0</v>
      </c>
      <c r="AZ132" s="2942">
        <f t="shared" si="40"/>
        <v>0</v>
      </c>
      <c r="BA132" s="2942">
        <f t="shared" si="41"/>
        <v>0</v>
      </c>
      <c r="BB132" s="2942">
        <f t="shared" si="42"/>
        <v>0</v>
      </c>
      <c r="BC132" s="2942">
        <f t="shared" si="43"/>
        <v>0</v>
      </c>
      <c r="BD132" s="2942">
        <f t="shared" si="44"/>
        <v>0</v>
      </c>
      <c r="BE132" s="2942">
        <f t="shared" si="45"/>
        <v>0</v>
      </c>
      <c r="BF132" s="2942">
        <f t="shared" si="46"/>
        <v>0</v>
      </c>
      <c r="BG132" s="2942">
        <f t="shared" si="47"/>
        <v>0</v>
      </c>
      <c r="BH132" s="2942">
        <f t="shared" si="48"/>
        <v>0</v>
      </c>
      <c r="BI132" s="2942">
        <f t="shared" si="49"/>
        <v>0</v>
      </c>
      <c r="BJ132" s="2942">
        <f t="shared" si="50"/>
        <v>0</v>
      </c>
      <c r="BK132" s="2942">
        <f t="shared" si="51"/>
        <v>0</v>
      </c>
      <c r="BL132" s="2942">
        <f t="shared" si="52"/>
        <v>0</v>
      </c>
      <c r="BM132" s="2942">
        <f t="shared" si="53"/>
        <v>0</v>
      </c>
      <c r="BN132" s="2942">
        <f t="shared" si="54"/>
        <v>0</v>
      </c>
      <c r="BO132" s="2942">
        <f t="shared" si="55"/>
        <v>0</v>
      </c>
      <c r="BP132" s="2942">
        <f t="shared" si="56"/>
        <v>0</v>
      </c>
      <c r="BQ132" s="2942">
        <f t="shared" si="57"/>
        <v>0</v>
      </c>
      <c r="BR132" s="2942">
        <f t="shared" si="58"/>
        <v>0</v>
      </c>
      <c r="BS132" s="2942">
        <f t="shared" si="59"/>
        <v>0</v>
      </c>
      <c r="BT132" s="2994">
        <f t="shared" si="60"/>
        <v>0</v>
      </c>
    </row>
    <row r="133" spans="1:72">
      <c r="A133" s="2939"/>
      <c r="B133" s="2940"/>
      <c r="C133" s="2940"/>
      <c r="D133" s="2941"/>
      <c r="E133" s="2942">
        <f t="shared" si="61"/>
        <v>0</v>
      </c>
      <c r="F133" s="2943"/>
      <c r="G133" s="2944">
        <f t="shared" si="36"/>
        <v>0</v>
      </c>
      <c r="H133" s="2945">
        <f t="shared" si="37"/>
        <v>0</v>
      </c>
      <c r="I133" s="2952"/>
      <c r="J133" s="2952"/>
      <c r="K133" s="2952"/>
      <c r="L133" s="2952"/>
      <c r="M133" s="2952"/>
      <c r="N133" s="2952"/>
      <c r="O133" s="2952"/>
      <c r="P133" s="2952"/>
      <c r="Q133" s="2952"/>
      <c r="R133" s="2952"/>
      <c r="S133" s="2952"/>
      <c r="T133" s="2952"/>
      <c r="U133" s="2952"/>
      <c r="V133" s="2952"/>
      <c r="W133" s="2952"/>
      <c r="X133" s="2952"/>
      <c r="Y133" s="2952"/>
      <c r="Z133" s="2952"/>
      <c r="AA133" s="2952"/>
      <c r="AB133" s="2952"/>
      <c r="AC133" s="2942">
        <f t="shared" si="38"/>
        <v>0</v>
      </c>
      <c r="AD133" s="2962"/>
      <c r="AE133" s="2962"/>
      <c r="AF133" s="2962"/>
      <c r="AG133" s="2962"/>
      <c r="AH133" s="2962"/>
      <c r="AI133" s="2962"/>
      <c r="AJ133" s="2962"/>
      <c r="AK133" s="2962"/>
      <c r="AL133" s="2962"/>
      <c r="AM133" s="2962"/>
      <c r="AN133" s="2962"/>
      <c r="AO133" s="2962"/>
      <c r="AP133" s="2962"/>
      <c r="AQ133" s="2962"/>
      <c r="AR133" s="2962"/>
      <c r="AS133" s="2962"/>
      <c r="AT133" s="2972"/>
      <c r="AU133" s="2973"/>
      <c r="AV133" s="1120">
        <f t="shared" si="62"/>
        <v>0</v>
      </c>
      <c r="AW133" s="1120">
        <f t="shared" si="63"/>
        <v>0</v>
      </c>
      <c r="AX133" s="1120">
        <f t="shared" si="64"/>
        <v>0</v>
      </c>
      <c r="AY133" s="2987">
        <f t="shared" si="39"/>
        <v>0</v>
      </c>
      <c r="AZ133" s="2942">
        <f t="shared" si="40"/>
        <v>0</v>
      </c>
      <c r="BA133" s="2942">
        <f t="shared" si="41"/>
        <v>0</v>
      </c>
      <c r="BB133" s="2942">
        <f t="shared" si="42"/>
        <v>0</v>
      </c>
      <c r="BC133" s="2942">
        <f t="shared" si="43"/>
        <v>0</v>
      </c>
      <c r="BD133" s="2942">
        <f t="shared" si="44"/>
        <v>0</v>
      </c>
      <c r="BE133" s="2942">
        <f t="shared" si="45"/>
        <v>0</v>
      </c>
      <c r="BF133" s="2942">
        <f t="shared" si="46"/>
        <v>0</v>
      </c>
      <c r="BG133" s="2942">
        <f t="shared" si="47"/>
        <v>0</v>
      </c>
      <c r="BH133" s="2942">
        <f t="shared" si="48"/>
        <v>0</v>
      </c>
      <c r="BI133" s="2942">
        <f t="shared" si="49"/>
        <v>0</v>
      </c>
      <c r="BJ133" s="2942">
        <f t="shared" si="50"/>
        <v>0</v>
      </c>
      <c r="BK133" s="2942">
        <f t="shared" si="51"/>
        <v>0</v>
      </c>
      <c r="BL133" s="2942">
        <f t="shared" si="52"/>
        <v>0</v>
      </c>
      <c r="BM133" s="2942">
        <f t="shared" si="53"/>
        <v>0</v>
      </c>
      <c r="BN133" s="2942">
        <f t="shared" si="54"/>
        <v>0</v>
      </c>
      <c r="BO133" s="2942">
        <f t="shared" si="55"/>
        <v>0</v>
      </c>
      <c r="BP133" s="2942">
        <f t="shared" si="56"/>
        <v>0</v>
      </c>
      <c r="BQ133" s="2942">
        <f t="shared" si="57"/>
        <v>0</v>
      </c>
      <c r="BR133" s="2942">
        <f t="shared" si="58"/>
        <v>0</v>
      </c>
      <c r="BS133" s="2942">
        <f t="shared" si="59"/>
        <v>0</v>
      </c>
      <c r="BT133" s="2994">
        <f t="shared" si="60"/>
        <v>0</v>
      </c>
    </row>
    <row r="134" spans="1:72">
      <c r="A134" s="2939"/>
      <c r="B134" s="2940"/>
      <c r="C134" s="2940"/>
      <c r="D134" s="2941"/>
      <c r="E134" s="2942">
        <f t="shared" si="61"/>
        <v>0</v>
      </c>
      <c r="F134" s="2943"/>
      <c r="G134" s="2944">
        <f t="shared" si="36"/>
        <v>0</v>
      </c>
      <c r="H134" s="2945">
        <f t="shared" si="37"/>
        <v>0</v>
      </c>
      <c r="I134" s="2952"/>
      <c r="J134" s="2952"/>
      <c r="K134" s="2952"/>
      <c r="L134" s="2952"/>
      <c r="M134" s="2952"/>
      <c r="N134" s="2952"/>
      <c r="O134" s="2952"/>
      <c r="P134" s="2952"/>
      <c r="Q134" s="2952"/>
      <c r="R134" s="2952"/>
      <c r="S134" s="2952"/>
      <c r="T134" s="2952"/>
      <c r="U134" s="2952"/>
      <c r="V134" s="2952"/>
      <c r="W134" s="2952"/>
      <c r="X134" s="2952"/>
      <c r="Y134" s="2952"/>
      <c r="Z134" s="2952"/>
      <c r="AA134" s="2952"/>
      <c r="AB134" s="2952"/>
      <c r="AC134" s="2942">
        <f t="shared" si="38"/>
        <v>0</v>
      </c>
      <c r="AD134" s="2962"/>
      <c r="AE134" s="2962"/>
      <c r="AF134" s="2962"/>
      <c r="AG134" s="2962"/>
      <c r="AH134" s="2962"/>
      <c r="AI134" s="2962"/>
      <c r="AJ134" s="2962"/>
      <c r="AK134" s="2962"/>
      <c r="AL134" s="2962"/>
      <c r="AM134" s="2962"/>
      <c r="AN134" s="2962"/>
      <c r="AO134" s="2962"/>
      <c r="AP134" s="2962"/>
      <c r="AQ134" s="2962"/>
      <c r="AR134" s="2962"/>
      <c r="AS134" s="2962"/>
      <c r="AT134" s="2972"/>
      <c r="AU134" s="2973"/>
      <c r="AV134" s="1120">
        <f t="shared" si="62"/>
        <v>0</v>
      </c>
      <c r="AW134" s="1120">
        <f t="shared" si="63"/>
        <v>0</v>
      </c>
      <c r="AX134" s="1120">
        <f t="shared" si="64"/>
        <v>0</v>
      </c>
      <c r="AY134" s="2987">
        <f t="shared" si="39"/>
        <v>0</v>
      </c>
      <c r="AZ134" s="2942">
        <f t="shared" si="40"/>
        <v>0</v>
      </c>
      <c r="BA134" s="2942">
        <f t="shared" si="41"/>
        <v>0</v>
      </c>
      <c r="BB134" s="2942">
        <f t="shared" si="42"/>
        <v>0</v>
      </c>
      <c r="BC134" s="2942">
        <f t="shared" si="43"/>
        <v>0</v>
      </c>
      <c r="BD134" s="2942">
        <f t="shared" si="44"/>
        <v>0</v>
      </c>
      <c r="BE134" s="2942">
        <f t="shared" si="45"/>
        <v>0</v>
      </c>
      <c r="BF134" s="2942">
        <f t="shared" si="46"/>
        <v>0</v>
      </c>
      <c r="BG134" s="2942">
        <f t="shared" si="47"/>
        <v>0</v>
      </c>
      <c r="BH134" s="2942">
        <f t="shared" si="48"/>
        <v>0</v>
      </c>
      <c r="BI134" s="2942">
        <f t="shared" si="49"/>
        <v>0</v>
      </c>
      <c r="BJ134" s="2942">
        <f t="shared" si="50"/>
        <v>0</v>
      </c>
      <c r="BK134" s="2942">
        <f t="shared" si="51"/>
        <v>0</v>
      </c>
      <c r="BL134" s="2942">
        <f t="shared" si="52"/>
        <v>0</v>
      </c>
      <c r="BM134" s="2942">
        <f t="shared" si="53"/>
        <v>0</v>
      </c>
      <c r="BN134" s="2942">
        <f t="shared" si="54"/>
        <v>0</v>
      </c>
      <c r="BO134" s="2942">
        <f t="shared" si="55"/>
        <v>0</v>
      </c>
      <c r="BP134" s="2942">
        <f t="shared" si="56"/>
        <v>0</v>
      </c>
      <c r="BQ134" s="2942">
        <f t="shared" si="57"/>
        <v>0</v>
      </c>
      <c r="BR134" s="2942">
        <f t="shared" si="58"/>
        <v>0</v>
      </c>
      <c r="BS134" s="2942">
        <f t="shared" si="59"/>
        <v>0</v>
      </c>
      <c r="BT134" s="2994">
        <f t="shared" si="60"/>
        <v>0</v>
      </c>
    </row>
    <row r="135" spans="1:72">
      <c r="A135" s="2939"/>
      <c r="B135" s="2940"/>
      <c r="C135" s="2940"/>
      <c r="D135" s="2941"/>
      <c r="E135" s="2942">
        <f t="shared" si="61"/>
        <v>0</v>
      </c>
      <c r="F135" s="2943"/>
      <c r="G135" s="2944">
        <f t="shared" si="36"/>
        <v>0</v>
      </c>
      <c r="H135" s="2945">
        <f t="shared" si="37"/>
        <v>0</v>
      </c>
      <c r="I135" s="2952"/>
      <c r="J135" s="2952"/>
      <c r="K135" s="2952"/>
      <c r="L135" s="2952"/>
      <c r="M135" s="2952"/>
      <c r="N135" s="2952"/>
      <c r="O135" s="2952"/>
      <c r="P135" s="2952"/>
      <c r="Q135" s="2952"/>
      <c r="R135" s="2952"/>
      <c r="S135" s="2952"/>
      <c r="T135" s="2952"/>
      <c r="U135" s="2952"/>
      <c r="V135" s="2952"/>
      <c r="W135" s="2952"/>
      <c r="X135" s="2952"/>
      <c r="Y135" s="2952"/>
      <c r="Z135" s="2952"/>
      <c r="AA135" s="2952"/>
      <c r="AB135" s="2952"/>
      <c r="AC135" s="2942">
        <f t="shared" si="38"/>
        <v>0</v>
      </c>
      <c r="AD135" s="2962"/>
      <c r="AE135" s="2962"/>
      <c r="AF135" s="2962"/>
      <c r="AG135" s="2962"/>
      <c r="AH135" s="2962"/>
      <c r="AI135" s="2962"/>
      <c r="AJ135" s="2962"/>
      <c r="AK135" s="2962"/>
      <c r="AL135" s="2962"/>
      <c r="AM135" s="2962"/>
      <c r="AN135" s="2962"/>
      <c r="AO135" s="2962"/>
      <c r="AP135" s="2962"/>
      <c r="AQ135" s="2962"/>
      <c r="AR135" s="2962"/>
      <c r="AS135" s="2962"/>
      <c r="AT135" s="2972"/>
      <c r="AU135" s="2973"/>
      <c r="AV135" s="1120">
        <f t="shared" si="62"/>
        <v>0</v>
      </c>
      <c r="AW135" s="1120">
        <f t="shared" si="63"/>
        <v>0</v>
      </c>
      <c r="AX135" s="1120">
        <f t="shared" si="64"/>
        <v>0</v>
      </c>
      <c r="AY135" s="2987">
        <f t="shared" si="39"/>
        <v>0</v>
      </c>
      <c r="AZ135" s="2942">
        <f t="shared" si="40"/>
        <v>0</v>
      </c>
      <c r="BA135" s="2942">
        <f t="shared" si="41"/>
        <v>0</v>
      </c>
      <c r="BB135" s="2942">
        <f t="shared" si="42"/>
        <v>0</v>
      </c>
      <c r="BC135" s="2942">
        <f t="shared" si="43"/>
        <v>0</v>
      </c>
      <c r="BD135" s="2942">
        <f t="shared" si="44"/>
        <v>0</v>
      </c>
      <c r="BE135" s="2942">
        <f t="shared" si="45"/>
        <v>0</v>
      </c>
      <c r="BF135" s="2942">
        <f t="shared" si="46"/>
        <v>0</v>
      </c>
      <c r="BG135" s="2942">
        <f t="shared" si="47"/>
        <v>0</v>
      </c>
      <c r="BH135" s="2942">
        <f t="shared" si="48"/>
        <v>0</v>
      </c>
      <c r="BI135" s="2942">
        <f t="shared" si="49"/>
        <v>0</v>
      </c>
      <c r="BJ135" s="2942">
        <f t="shared" si="50"/>
        <v>0</v>
      </c>
      <c r="BK135" s="2942">
        <f t="shared" si="51"/>
        <v>0</v>
      </c>
      <c r="BL135" s="2942">
        <f t="shared" si="52"/>
        <v>0</v>
      </c>
      <c r="BM135" s="2942">
        <f t="shared" si="53"/>
        <v>0</v>
      </c>
      <c r="BN135" s="2942">
        <f t="shared" si="54"/>
        <v>0</v>
      </c>
      <c r="BO135" s="2942">
        <f t="shared" si="55"/>
        <v>0</v>
      </c>
      <c r="BP135" s="2942">
        <f t="shared" si="56"/>
        <v>0</v>
      </c>
      <c r="BQ135" s="2942">
        <f t="shared" si="57"/>
        <v>0</v>
      </c>
      <c r="BR135" s="2942">
        <f t="shared" si="58"/>
        <v>0</v>
      </c>
      <c r="BS135" s="2942">
        <f t="shared" si="59"/>
        <v>0</v>
      </c>
      <c r="BT135" s="2994">
        <f t="shared" si="60"/>
        <v>0</v>
      </c>
    </row>
    <row r="136" spans="1:72">
      <c r="A136" s="2939"/>
      <c r="B136" s="2940"/>
      <c r="C136" s="2940"/>
      <c r="D136" s="2941"/>
      <c r="E136" s="2942">
        <f t="shared" si="61"/>
        <v>0</v>
      </c>
      <c r="F136" s="2943"/>
      <c r="G136" s="2944">
        <f t="shared" si="36"/>
        <v>0</v>
      </c>
      <c r="H136" s="2945">
        <f t="shared" si="37"/>
        <v>0</v>
      </c>
      <c r="I136" s="2952"/>
      <c r="J136" s="2952"/>
      <c r="K136" s="2952"/>
      <c r="L136" s="2952"/>
      <c r="M136" s="2952"/>
      <c r="N136" s="2952"/>
      <c r="O136" s="2952"/>
      <c r="P136" s="2952"/>
      <c r="Q136" s="2952"/>
      <c r="R136" s="2952"/>
      <c r="S136" s="2952"/>
      <c r="T136" s="2952"/>
      <c r="U136" s="2952"/>
      <c r="V136" s="2952"/>
      <c r="W136" s="2952"/>
      <c r="X136" s="2952"/>
      <c r="Y136" s="2952"/>
      <c r="Z136" s="2952"/>
      <c r="AA136" s="2952"/>
      <c r="AB136" s="2952"/>
      <c r="AC136" s="2942">
        <f t="shared" si="38"/>
        <v>0</v>
      </c>
      <c r="AD136" s="2962"/>
      <c r="AE136" s="2962"/>
      <c r="AF136" s="2962"/>
      <c r="AG136" s="2962"/>
      <c r="AH136" s="2962"/>
      <c r="AI136" s="2962"/>
      <c r="AJ136" s="2962"/>
      <c r="AK136" s="2962"/>
      <c r="AL136" s="2962"/>
      <c r="AM136" s="2962"/>
      <c r="AN136" s="2962"/>
      <c r="AO136" s="2962"/>
      <c r="AP136" s="2962"/>
      <c r="AQ136" s="2962"/>
      <c r="AR136" s="2962"/>
      <c r="AS136" s="2962"/>
      <c r="AT136" s="2972"/>
      <c r="AU136" s="2973"/>
      <c r="AV136" s="1120">
        <f t="shared" si="62"/>
        <v>0</v>
      </c>
      <c r="AW136" s="1120">
        <f t="shared" si="63"/>
        <v>0</v>
      </c>
      <c r="AX136" s="1120">
        <f t="shared" si="64"/>
        <v>0</v>
      </c>
      <c r="AY136" s="2987">
        <f t="shared" si="39"/>
        <v>0</v>
      </c>
      <c r="AZ136" s="2942">
        <f t="shared" si="40"/>
        <v>0</v>
      </c>
      <c r="BA136" s="2942">
        <f t="shared" si="41"/>
        <v>0</v>
      </c>
      <c r="BB136" s="2942">
        <f t="shared" si="42"/>
        <v>0</v>
      </c>
      <c r="BC136" s="2942">
        <f t="shared" si="43"/>
        <v>0</v>
      </c>
      <c r="BD136" s="2942">
        <f t="shared" si="44"/>
        <v>0</v>
      </c>
      <c r="BE136" s="2942">
        <f t="shared" si="45"/>
        <v>0</v>
      </c>
      <c r="BF136" s="2942">
        <f t="shared" si="46"/>
        <v>0</v>
      </c>
      <c r="BG136" s="2942">
        <f t="shared" si="47"/>
        <v>0</v>
      </c>
      <c r="BH136" s="2942">
        <f t="shared" si="48"/>
        <v>0</v>
      </c>
      <c r="BI136" s="2942">
        <f t="shared" si="49"/>
        <v>0</v>
      </c>
      <c r="BJ136" s="2942">
        <f t="shared" si="50"/>
        <v>0</v>
      </c>
      <c r="BK136" s="2942">
        <f t="shared" si="51"/>
        <v>0</v>
      </c>
      <c r="BL136" s="2942">
        <f t="shared" si="52"/>
        <v>0</v>
      </c>
      <c r="BM136" s="2942">
        <f t="shared" si="53"/>
        <v>0</v>
      </c>
      <c r="BN136" s="2942">
        <f t="shared" si="54"/>
        <v>0</v>
      </c>
      <c r="BO136" s="2942">
        <f t="shared" si="55"/>
        <v>0</v>
      </c>
      <c r="BP136" s="2942">
        <f t="shared" si="56"/>
        <v>0</v>
      </c>
      <c r="BQ136" s="2942">
        <f t="shared" si="57"/>
        <v>0</v>
      </c>
      <c r="BR136" s="2942">
        <f t="shared" si="58"/>
        <v>0</v>
      </c>
      <c r="BS136" s="2942">
        <f t="shared" si="59"/>
        <v>0</v>
      </c>
      <c r="BT136" s="2994">
        <f t="shared" si="60"/>
        <v>0</v>
      </c>
    </row>
    <row r="137" spans="1:72">
      <c r="A137" s="2939"/>
      <c r="B137" s="2940"/>
      <c r="C137" s="2940"/>
      <c r="D137" s="2941"/>
      <c r="E137" s="2942">
        <f t="shared" si="61"/>
        <v>0</v>
      </c>
      <c r="F137" s="2943"/>
      <c r="G137" s="2944">
        <f t="shared" si="36"/>
        <v>0</v>
      </c>
      <c r="H137" s="2945">
        <f t="shared" si="37"/>
        <v>0</v>
      </c>
      <c r="I137" s="2952"/>
      <c r="J137" s="2952"/>
      <c r="K137" s="2952"/>
      <c r="L137" s="2952"/>
      <c r="M137" s="2952"/>
      <c r="N137" s="2952"/>
      <c r="O137" s="2952"/>
      <c r="P137" s="2952"/>
      <c r="Q137" s="2952"/>
      <c r="R137" s="2952"/>
      <c r="S137" s="2952"/>
      <c r="T137" s="2952"/>
      <c r="U137" s="2952"/>
      <c r="V137" s="2952"/>
      <c r="W137" s="2952"/>
      <c r="X137" s="2952"/>
      <c r="Y137" s="2952"/>
      <c r="Z137" s="2952"/>
      <c r="AA137" s="2952"/>
      <c r="AB137" s="2952"/>
      <c r="AC137" s="2942">
        <f t="shared" si="38"/>
        <v>0</v>
      </c>
      <c r="AD137" s="2962"/>
      <c r="AE137" s="2962"/>
      <c r="AF137" s="2962"/>
      <c r="AG137" s="2962"/>
      <c r="AH137" s="2962"/>
      <c r="AI137" s="2962"/>
      <c r="AJ137" s="2962"/>
      <c r="AK137" s="2962"/>
      <c r="AL137" s="2962"/>
      <c r="AM137" s="2962"/>
      <c r="AN137" s="2962"/>
      <c r="AO137" s="2962"/>
      <c r="AP137" s="2962"/>
      <c r="AQ137" s="2962"/>
      <c r="AR137" s="2962"/>
      <c r="AS137" s="2962"/>
      <c r="AT137" s="2972"/>
      <c r="AU137" s="2973"/>
      <c r="AV137" s="1120">
        <f t="shared" si="62"/>
        <v>0</v>
      </c>
      <c r="AW137" s="1120">
        <f t="shared" si="63"/>
        <v>0</v>
      </c>
      <c r="AX137" s="1120">
        <f t="shared" si="64"/>
        <v>0</v>
      </c>
      <c r="AY137" s="2987">
        <f t="shared" si="39"/>
        <v>0</v>
      </c>
      <c r="AZ137" s="2942">
        <f t="shared" si="40"/>
        <v>0</v>
      </c>
      <c r="BA137" s="2942">
        <f t="shared" si="41"/>
        <v>0</v>
      </c>
      <c r="BB137" s="2942">
        <f t="shared" si="42"/>
        <v>0</v>
      </c>
      <c r="BC137" s="2942">
        <f t="shared" si="43"/>
        <v>0</v>
      </c>
      <c r="BD137" s="2942">
        <f t="shared" si="44"/>
        <v>0</v>
      </c>
      <c r="BE137" s="2942">
        <f t="shared" si="45"/>
        <v>0</v>
      </c>
      <c r="BF137" s="2942">
        <f t="shared" si="46"/>
        <v>0</v>
      </c>
      <c r="BG137" s="2942">
        <f t="shared" si="47"/>
        <v>0</v>
      </c>
      <c r="BH137" s="2942">
        <f t="shared" si="48"/>
        <v>0</v>
      </c>
      <c r="BI137" s="2942">
        <f t="shared" si="49"/>
        <v>0</v>
      </c>
      <c r="BJ137" s="2942">
        <f t="shared" si="50"/>
        <v>0</v>
      </c>
      <c r="BK137" s="2942">
        <f t="shared" si="51"/>
        <v>0</v>
      </c>
      <c r="BL137" s="2942">
        <f t="shared" si="52"/>
        <v>0</v>
      </c>
      <c r="BM137" s="2942">
        <f t="shared" si="53"/>
        <v>0</v>
      </c>
      <c r="BN137" s="2942">
        <f t="shared" si="54"/>
        <v>0</v>
      </c>
      <c r="BO137" s="2942">
        <f t="shared" si="55"/>
        <v>0</v>
      </c>
      <c r="BP137" s="2942">
        <f t="shared" si="56"/>
        <v>0</v>
      </c>
      <c r="BQ137" s="2942">
        <f t="shared" si="57"/>
        <v>0</v>
      </c>
      <c r="BR137" s="2942">
        <f t="shared" si="58"/>
        <v>0</v>
      </c>
      <c r="BS137" s="2942">
        <f t="shared" si="59"/>
        <v>0</v>
      </c>
      <c r="BT137" s="2994">
        <f t="shared" si="60"/>
        <v>0</v>
      </c>
    </row>
    <row r="138" spans="1:72">
      <c r="A138" s="2939"/>
      <c r="B138" s="2940"/>
      <c r="C138" s="2940"/>
      <c r="D138" s="2941"/>
      <c r="E138" s="2942">
        <f t="shared" si="61"/>
        <v>0</v>
      </c>
      <c r="F138" s="2943"/>
      <c r="G138" s="2944">
        <f t="shared" si="36"/>
        <v>0</v>
      </c>
      <c r="H138" s="2945">
        <f t="shared" si="37"/>
        <v>0</v>
      </c>
      <c r="I138" s="2952"/>
      <c r="J138" s="2952"/>
      <c r="K138" s="2952"/>
      <c r="L138" s="2952"/>
      <c r="M138" s="2952"/>
      <c r="N138" s="2952"/>
      <c r="O138" s="2952"/>
      <c r="P138" s="2952"/>
      <c r="Q138" s="2952"/>
      <c r="R138" s="2952"/>
      <c r="S138" s="2952"/>
      <c r="T138" s="2952"/>
      <c r="U138" s="2952"/>
      <c r="V138" s="2952"/>
      <c r="W138" s="2952"/>
      <c r="X138" s="2952"/>
      <c r="Y138" s="2952"/>
      <c r="Z138" s="2952"/>
      <c r="AA138" s="2952"/>
      <c r="AB138" s="2952"/>
      <c r="AC138" s="2942">
        <f t="shared" si="38"/>
        <v>0</v>
      </c>
      <c r="AD138" s="2962"/>
      <c r="AE138" s="2962"/>
      <c r="AF138" s="2962"/>
      <c r="AG138" s="2962"/>
      <c r="AH138" s="2962"/>
      <c r="AI138" s="2962"/>
      <c r="AJ138" s="2962"/>
      <c r="AK138" s="2962"/>
      <c r="AL138" s="2962"/>
      <c r="AM138" s="2962"/>
      <c r="AN138" s="2962"/>
      <c r="AO138" s="2962"/>
      <c r="AP138" s="2962"/>
      <c r="AQ138" s="2962"/>
      <c r="AR138" s="2962"/>
      <c r="AS138" s="2962"/>
      <c r="AT138" s="2972"/>
      <c r="AU138" s="2973"/>
      <c r="AV138" s="1120">
        <f t="shared" si="62"/>
        <v>0</v>
      </c>
      <c r="AW138" s="1120">
        <f t="shared" si="63"/>
        <v>0</v>
      </c>
      <c r="AX138" s="1120">
        <f t="shared" si="64"/>
        <v>0</v>
      </c>
      <c r="AY138" s="2987">
        <f t="shared" si="39"/>
        <v>0</v>
      </c>
      <c r="AZ138" s="2942">
        <f t="shared" si="40"/>
        <v>0</v>
      </c>
      <c r="BA138" s="2942">
        <f t="shared" si="41"/>
        <v>0</v>
      </c>
      <c r="BB138" s="2942">
        <f t="shared" si="42"/>
        <v>0</v>
      </c>
      <c r="BC138" s="2942">
        <f t="shared" si="43"/>
        <v>0</v>
      </c>
      <c r="BD138" s="2942">
        <f t="shared" si="44"/>
        <v>0</v>
      </c>
      <c r="BE138" s="2942">
        <f t="shared" si="45"/>
        <v>0</v>
      </c>
      <c r="BF138" s="2942">
        <f t="shared" si="46"/>
        <v>0</v>
      </c>
      <c r="BG138" s="2942">
        <f t="shared" si="47"/>
        <v>0</v>
      </c>
      <c r="BH138" s="2942">
        <f t="shared" si="48"/>
        <v>0</v>
      </c>
      <c r="BI138" s="2942">
        <f t="shared" si="49"/>
        <v>0</v>
      </c>
      <c r="BJ138" s="2942">
        <f t="shared" si="50"/>
        <v>0</v>
      </c>
      <c r="BK138" s="2942">
        <f t="shared" si="51"/>
        <v>0</v>
      </c>
      <c r="BL138" s="2942">
        <f t="shared" si="52"/>
        <v>0</v>
      </c>
      <c r="BM138" s="2942">
        <f t="shared" si="53"/>
        <v>0</v>
      </c>
      <c r="BN138" s="2942">
        <f t="shared" si="54"/>
        <v>0</v>
      </c>
      <c r="BO138" s="2942">
        <f t="shared" si="55"/>
        <v>0</v>
      </c>
      <c r="BP138" s="2942">
        <f t="shared" si="56"/>
        <v>0</v>
      </c>
      <c r="BQ138" s="2942">
        <f t="shared" si="57"/>
        <v>0</v>
      </c>
      <c r="BR138" s="2942">
        <f t="shared" si="58"/>
        <v>0</v>
      </c>
      <c r="BS138" s="2942">
        <f t="shared" si="59"/>
        <v>0</v>
      </c>
      <c r="BT138" s="2994">
        <f t="shared" si="60"/>
        <v>0</v>
      </c>
    </row>
    <row r="139" spans="1:72">
      <c r="A139" s="2939"/>
      <c r="B139" s="2940"/>
      <c r="C139" s="2940"/>
      <c r="D139" s="2941"/>
      <c r="E139" s="2942">
        <f t="shared" si="61"/>
        <v>0</v>
      </c>
      <c r="F139" s="2943"/>
      <c r="G139" s="2944">
        <f t="shared" si="36"/>
        <v>0</v>
      </c>
      <c r="H139" s="2945">
        <f t="shared" si="37"/>
        <v>0</v>
      </c>
      <c r="I139" s="2952"/>
      <c r="J139" s="2952"/>
      <c r="K139" s="2952"/>
      <c r="L139" s="2952"/>
      <c r="M139" s="2952"/>
      <c r="N139" s="2952"/>
      <c r="O139" s="2952"/>
      <c r="P139" s="2952"/>
      <c r="Q139" s="2952"/>
      <c r="R139" s="2952"/>
      <c r="S139" s="2952"/>
      <c r="T139" s="2952"/>
      <c r="U139" s="2952"/>
      <c r="V139" s="2952"/>
      <c r="W139" s="2952"/>
      <c r="X139" s="2952"/>
      <c r="Y139" s="2952"/>
      <c r="Z139" s="2952"/>
      <c r="AA139" s="2952"/>
      <c r="AB139" s="2952"/>
      <c r="AC139" s="2942">
        <f t="shared" si="38"/>
        <v>0</v>
      </c>
      <c r="AD139" s="2962"/>
      <c r="AE139" s="2962"/>
      <c r="AF139" s="2962"/>
      <c r="AG139" s="2962"/>
      <c r="AH139" s="2962"/>
      <c r="AI139" s="2962"/>
      <c r="AJ139" s="2962"/>
      <c r="AK139" s="2962"/>
      <c r="AL139" s="2962"/>
      <c r="AM139" s="2962"/>
      <c r="AN139" s="2962"/>
      <c r="AO139" s="2962"/>
      <c r="AP139" s="2962"/>
      <c r="AQ139" s="2962"/>
      <c r="AR139" s="2962"/>
      <c r="AS139" s="2962"/>
      <c r="AT139" s="2972"/>
      <c r="AU139" s="2973"/>
      <c r="AV139" s="1120">
        <f t="shared" si="62"/>
        <v>0</v>
      </c>
      <c r="AW139" s="1120">
        <f t="shared" si="63"/>
        <v>0</v>
      </c>
      <c r="AX139" s="1120">
        <f t="shared" si="64"/>
        <v>0</v>
      </c>
      <c r="AY139" s="2987">
        <f t="shared" si="39"/>
        <v>0</v>
      </c>
      <c r="AZ139" s="2942">
        <f t="shared" si="40"/>
        <v>0</v>
      </c>
      <c r="BA139" s="2942">
        <f t="shared" si="41"/>
        <v>0</v>
      </c>
      <c r="BB139" s="2942">
        <f t="shared" si="42"/>
        <v>0</v>
      </c>
      <c r="BC139" s="2942">
        <f t="shared" si="43"/>
        <v>0</v>
      </c>
      <c r="BD139" s="2942">
        <f t="shared" si="44"/>
        <v>0</v>
      </c>
      <c r="BE139" s="2942">
        <f t="shared" si="45"/>
        <v>0</v>
      </c>
      <c r="BF139" s="2942">
        <f t="shared" si="46"/>
        <v>0</v>
      </c>
      <c r="BG139" s="2942">
        <f t="shared" si="47"/>
        <v>0</v>
      </c>
      <c r="BH139" s="2942">
        <f t="shared" si="48"/>
        <v>0</v>
      </c>
      <c r="BI139" s="2942">
        <f t="shared" si="49"/>
        <v>0</v>
      </c>
      <c r="BJ139" s="2942">
        <f t="shared" si="50"/>
        <v>0</v>
      </c>
      <c r="BK139" s="2942">
        <f t="shared" si="51"/>
        <v>0</v>
      </c>
      <c r="BL139" s="2942">
        <f t="shared" si="52"/>
        <v>0</v>
      </c>
      <c r="BM139" s="2942">
        <f t="shared" si="53"/>
        <v>0</v>
      </c>
      <c r="BN139" s="2942">
        <f t="shared" si="54"/>
        <v>0</v>
      </c>
      <c r="BO139" s="2942">
        <f t="shared" si="55"/>
        <v>0</v>
      </c>
      <c r="BP139" s="2942">
        <f t="shared" si="56"/>
        <v>0</v>
      </c>
      <c r="BQ139" s="2942">
        <f t="shared" si="57"/>
        <v>0</v>
      </c>
      <c r="BR139" s="2942">
        <f t="shared" si="58"/>
        <v>0</v>
      </c>
      <c r="BS139" s="2942">
        <f t="shared" si="59"/>
        <v>0</v>
      </c>
      <c r="BT139" s="2994">
        <f t="shared" si="60"/>
        <v>0</v>
      </c>
    </row>
    <row r="140" spans="1:72">
      <c r="A140" s="2939"/>
      <c r="B140" s="2940"/>
      <c r="C140" s="2940"/>
      <c r="D140" s="2941"/>
      <c r="E140" s="2942">
        <f t="shared" si="61"/>
        <v>0</v>
      </c>
      <c r="F140" s="2943"/>
      <c r="G140" s="2944">
        <f t="shared" si="36"/>
        <v>0</v>
      </c>
      <c r="H140" s="2945">
        <f t="shared" si="37"/>
        <v>0</v>
      </c>
      <c r="I140" s="2952"/>
      <c r="J140" s="2952"/>
      <c r="K140" s="2952"/>
      <c r="L140" s="2952"/>
      <c r="M140" s="2952"/>
      <c r="N140" s="2952"/>
      <c r="O140" s="2952"/>
      <c r="P140" s="2952"/>
      <c r="Q140" s="2952"/>
      <c r="R140" s="2952"/>
      <c r="S140" s="2952"/>
      <c r="T140" s="2952"/>
      <c r="U140" s="2952"/>
      <c r="V140" s="2952"/>
      <c r="W140" s="2952"/>
      <c r="X140" s="2952"/>
      <c r="Y140" s="2952"/>
      <c r="Z140" s="2952"/>
      <c r="AA140" s="2952"/>
      <c r="AB140" s="2952"/>
      <c r="AC140" s="2942">
        <f t="shared" si="38"/>
        <v>0</v>
      </c>
      <c r="AD140" s="2962"/>
      <c r="AE140" s="2962"/>
      <c r="AF140" s="2962"/>
      <c r="AG140" s="2962"/>
      <c r="AH140" s="2962"/>
      <c r="AI140" s="2962"/>
      <c r="AJ140" s="2962"/>
      <c r="AK140" s="2962"/>
      <c r="AL140" s="2962"/>
      <c r="AM140" s="2962"/>
      <c r="AN140" s="2962"/>
      <c r="AO140" s="2962"/>
      <c r="AP140" s="2962"/>
      <c r="AQ140" s="2962"/>
      <c r="AR140" s="2962"/>
      <c r="AS140" s="2962"/>
      <c r="AT140" s="2972"/>
      <c r="AU140" s="2973"/>
      <c r="AV140" s="1120">
        <f t="shared" si="62"/>
        <v>0</v>
      </c>
      <c r="AW140" s="1120">
        <f t="shared" si="63"/>
        <v>0</v>
      </c>
      <c r="AX140" s="1120">
        <f t="shared" si="64"/>
        <v>0</v>
      </c>
      <c r="AY140" s="2987">
        <f t="shared" si="39"/>
        <v>0</v>
      </c>
      <c r="AZ140" s="2942">
        <f t="shared" si="40"/>
        <v>0</v>
      </c>
      <c r="BA140" s="2942">
        <f t="shared" si="41"/>
        <v>0</v>
      </c>
      <c r="BB140" s="2942">
        <f t="shared" si="42"/>
        <v>0</v>
      </c>
      <c r="BC140" s="2942">
        <f t="shared" si="43"/>
        <v>0</v>
      </c>
      <c r="BD140" s="2942">
        <f t="shared" si="44"/>
        <v>0</v>
      </c>
      <c r="BE140" s="2942">
        <f t="shared" si="45"/>
        <v>0</v>
      </c>
      <c r="BF140" s="2942">
        <f t="shared" si="46"/>
        <v>0</v>
      </c>
      <c r="BG140" s="2942">
        <f t="shared" si="47"/>
        <v>0</v>
      </c>
      <c r="BH140" s="2942">
        <f t="shared" si="48"/>
        <v>0</v>
      </c>
      <c r="BI140" s="2942">
        <f t="shared" si="49"/>
        <v>0</v>
      </c>
      <c r="BJ140" s="2942">
        <f t="shared" si="50"/>
        <v>0</v>
      </c>
      <c r="BK140" s="2942">
        <f t="shared" si="51"/>
        <v>0</v>
      </c>
      <c r="BL140" s="2942">
        <f t="shared" si="52"/>
        <v>0</v>
      </c>
      <c r="BM140" s="2942">
        <f t="shared" si="53"/>
        <v>0</v>
      </c>
      <c r="BN140" s="2942">
        <f t="shared" si="54"/>
        <v>0</v>
      </c>
      <c r="BO140" s="2942">
        <f t="shared" si="55"/>
        <v>0</v>
      </c>
      <c r="BP140" s="2942">
        <f t="shared" si="56"/>
        <v>0</v>
      </c>
      <c r="BQ140" s="2942">
        <f t="shared" si="57"/>
        <v>0</v>
      </c>
      <c r="BR140" s="2942">
        <f t="shared" si="58"/>
        <v>0</v>
      </c>
      <c r="BS140" s="2942">
        <f t="shared" si="59"/>
        <v>0</v>
      </c>
      <c r="BT140" s="2994">
        <f t="shared" si="60"/>
        <v>0</v>
      </c>
    </row>
    <row r="141" spans="1:72">
      <c r="A141" s="2939"/>
      <c r="B141" s="2940"/>
      <c r="C141" s="2940"/>
      <c r="D141" s="2941"/>
      <c r="E141" s="2942">
        <f t="shared" si="61"/>
        <v>0</v>
      </c>
      <c r="F141" s="2943"/>
      <c r="G141" s="2944">
        <f t="shared" si="36"/>
        <v>0</v>
      </c>
      <c r="H141" s="2945">
        <f t="shared" si="37"/>
        <v>0</v>
      </c>
      <c r="I141" s="2952"/>
      <c r="J141" s="2952"/>
      <c r="K141" s="2952"/>
      <c r="L141" s="2952"/>
      <c r="M141" s="2952"/>
      <c r="N141" s="2952"/>
      <c r="O141" s="2952"/>
      <c r="P141" s="2952"/>
      <c r="Q141" s="2952"/>
      <c r="R141" s="2952"/>
      <c r="S141" s="2952"/>
      <c r="T141" s="2952"/>
      <c r="U141" s="2952"/>
      <c r="V141" s="2952"/>
      <c r="W141" s="2952"/>
      <c r="X141" s="2952"/>
      <c r="Y141" s="2952"/>
      <c r="Z141" s="2952"/>
      <c r="AA141" s="2952"/>
      <c r="AB141" s="2952"/>
      <c r="AC141" s="2942">
        <f t="shared" si="38"/>
        <v>0</v>
      </c>
      <c r="AD141" s="2962"/>
      <c r="AE141" s="2962"/>
      <c r="AF141" s="2962"/>
      <c r="AG141" s="2962"/>
      <c r="AH141" s="2962"/>
      <c r="AI141" s="2962"/>
      <c r="AJ141" s="2962"/>
      <c r="AK141" s="2962"/>
      <c r="AL141" s="2962"/>
      <c r="AM141" s="2962"/>
      <c r="AN141" s="2962"/>
      <c r="AO141" s="2962"/>
      <c r="AP141" s="2962"/>
      <c r="AQ141" s="2962"/>
      <c r="AR141" s="2962"/>
      <c r="AS141" s="2962"/>
      <c r="AT141" s="2972"/>
      <c r="AU141" s="2973"/>
      <c r="AV141" s="1120">
        <f t="shared" si="62"/>
        <v>0</v>
      </c>
      <c r="AW141" s="1120">
        <f t="shared" si="63"/>
        <v>0</v>
      </c>
      <c r="AX141" s="1120">
        <f t="shared" si="64"/>
        <v>0</v>
      </c>
      <c r="AY141" s="2987">
        <f t="shared" si="39"/>
        <v>0</v>
      </c>
      <c r="AZ141" s="2942">
        <f t="shared" si="40"/>
        <v>0</v>
      </c>
      <c r="BA141" s="2942">
        <f t="shared" si="41"/>
        <v>0</v>
      </c>
      <c r="BB141" s="2942">
        <f t="shared" si="42"/>
        <v>0</v>
      </c>
      <c r="BC141" s="2942">
        <f t="shared" si="43"/>
        <v>0</v>
      </c>
      <c r="BD141" s="2942">
        <f t="shared" si="44"/>
        <v>0</v>
      </c>
      <c r="BE141" s="2942">
        <f t="shared" si="45"/>
        <v>0</v>
      </c>
      <c r="BF141" s="2942">
        <f t="shared" si="46"/>
        <v>0</v>
      </c>
      <c r="BG141" s="2942">
        <f t="shared" si="47"/>
        <v>0</v>
      </c>
      <c r="BH141" s="2942">
        <f t="shared" si="48"/>
        <v>0</v>
      </c>
      <c r="BI141" s="2942">
        <f t="shared" si="49"/>
        <v>0</v>
      </c>
      <c r="BJ141" s="2942">
        <f t="shared" si="50"/>
        <v>0</v>
      </c>
      <c r="BK141" s="2942">
        <f t="shared" si="51"/>
        <v>0</v>
      </c>
      <c r="BL141" s="2942">
        <f t="shared" si="52"/>
        <v>0</v>
      </c>
      <c r="BM141" s="2942">
        <f t="shared" si="53"/>
        <v>0</v>
      </c>
      <c r="BN141" s="2942">
        <f t="shared" si="54"/>
        <v>0</v>
      </c>
      <c r="BO141" s="2942">
        <f t="shared" si="55"/>
        <v>0</v>
      </c>
      <c r="BP141" s="2942">
        <f t="shared" si="56"/>
        <v>0</v>
      </c>
      <c r="BQ141" s="2942">
        <f t="shared" si="57"/>
        <v>0</v>
      </c>
      <c r="BR141" s="2942">
        <f t="shared" si="58"/>
        <v>0</v>
      </c>
      <c r="BS141" s="2942">
        <f t="shared" si="59"/>
        <v>0</v>
      </c>
      <c r="BT141" s="2994">
        <f t="shared" si="60"/>
        <v>0</v>
      </c>
    </row>
    <row r="142" spans="1:72">
      <c r="A142" s="2939"/>
      <c r="B142" s="2940"/>
      <c r="C142" s="2940"/>
      <c r="D142" s="2941"/>
      <c r="E142" s="2942">
        <f t="shared" si="61"/>
        <v>0</v>
      </c>
      <c r="F142" s="2943"/>
      <c r="G142" s="2944">
        <f t="shared" ref="G142:G173" si="65">H142+AC142+AT142</f>
        <v>0</v>
      </c>
      <c r="H142" s="2945">
        <f t="shared" ref="H142:H173" si="66">SUMIF(I$12:AB$12,"总值",I142:AB142)</f>
        <v>0</v>
      </c>
      <c r="I142" s="2952"/>
      <c r="J142" s="2952"/>
      <c r="K142" s="2952"/>
      <c r="L142" s="2952"/>
      <c r="M142" s="2952"/>
      <c r="N142" s="2952"/>
      <c r="O142" s="2952"/>
      <c r="P142" s="2952"/>
      <c r="Q142" s="2952"/>
      <c r="R142" s="2952"/>
      <c r="S142" s="2952"/>
      <c r="T142" s="2952"/>
      <c r="U142" s="2952"/>
      <c r="V142" s="2952"/>
      <c r="W142" s="2952"/>
      <c r="X142" s="2952"/>
      <c r="Y142" s="2952"/>
      <c r="Z142" s="2952"/>
      <c r="AA142" s="2952"/>
      <c r="AB142" s="2952"/>
      <c r="AC142" s="2942">
        <f t="shared" ref="AC142:AC173" si="67">SUMIF(AD$12:AS$12,"总值",AD142:AS142)</f>
        <v>0</v>
      </c>
      <c r="AD142" s="2962"/>
      <c r="AE142" s="2962"/>
      <c r="AF142" s="2962"/>
      <c r="AG142" s="2962"/>
      <c r="AH142" s="2962"/>
      <c r="AI142" s="2962"/>
      <c r="AJ142" s="2962"/>
      <c r="AK142" s="2962"/>
      <c r="AL142" s="2962"/>
      <c r="AM142" s="2962"/>
      <c r="AN142" s="2962"/>
      <c r="AO142" s="2962"/>
      <c r="AP142" s="2962"/>
      <c r="AQ142" s="2962"/>
      <c r="AR142" s="2962"/>
      <c r="AS142" s="2962"/>
      <c r="AT142" s="2972"/>
      <c r="AU142" s="2973"/>
      <c r="AV142" s="1120">
        <f t="shared" si="62"/>
        <v>0</v>
      </c>
      <c r="AW142" s="1120">
        <f t="shared" si="63"/>
        <v>0</v>
      </c>
      <c r="AX142" s="1120">
        <f t="shared" si="64"/>
        <v>0</v>
      </c>
      <c r="AY142" s="2987">
        <f t="shared" ref="AY142:AY173" si="68">ROUND($AY$6*AZ142/$AZ$5,2)</f>
        <v>0</v>
      </c>
      <c r="AZ142" s="2942">
        <f t="shared" ref="AZ142:AZ173" si="69">BA142+BL142</f>
        <v>0</v>
      </c>
      <c r="BA142" s="2942">
        <f t="shared" ref="BA142:BA173" si="70">SUM(BB142:BK142)</f>
        <v>0</v>
      </c>
      <c r="BB142" s="2942">
        <f t="shared" ref="BB142:BB173" si="71">IF($D142="是",I142-J142,0)</f>
        <v>0</v>
      </c>
      <c r="BC142" s="2942">
        <f t="shared" ref="BC142:BC173" si="72">IF($D142="是",K142-L142,0)</f>
        <v>0</v>
      </c>
      <c r="BD142" s="2942">
        <f t="shared" ref="BD142:BD173" si="73">IF($D142="是",M142-N142,0)</f>
        <v>0</v>
      </c>
      <c r="BE142" s="2942">
        <f t="shared" ref="BE142:BE173" si="74">IF($D142="是",O142-P142,0)</f>
        <v>0</v>
      </c>
      <c r="BF142" s="2942">
        <f t="shared" ref="BF142:BF173" si="75">IF($D142="是",Q142-R142,0)</f>
        <v>0</v>
      </c>
      <c r="BG142" s="2942">
        <f t="shared" ref="BG142:BG173" si="76">IF($D142="是",S142-T142,0)</f>
        <v>0</v>
      </c>
      <c r="BH142" s="2942">
        <f t="shared" ref="BH142:BH173" si="77">IF($D142="是",U142-V142,0)</f>
        <v>0</v>
      </c>
      <c r="BI142" s="2942">
        <f t="shared" ref="BI142:BI173" si="78">IF($D142="是",W142-X142,0)</f>
        <v>0</v>
      </c>
      <c r="BJ142" s="2942">
        <f t="shared" ref="BJ142:BJ173" si="79">IF($D142="是",Y142-Z142,0)</f>
        <v>0</v>
      </c>
      <c r="BK142" s="2942">
        <f t="shared" ref="BK142:BK173" si="80">IF($D142="是",AA142-AB142,0)</f>
        <v>0</v>
      </c>
      <c r="BL142" s="2942">
        <f t="shared" ref="BL142:BL173" si="81">SUM(BM142:BT142)</f>
        <v>0</v>
      </c>
      <c r="BM142" s="2942">
        <f t="shared" ref="BM142:BM173" si="82">IF($D142="是",AD142-AE142,0)</f>
        <v>0</v>
      </c>
      <c r="BN142" s="2942">
        <f t="shared" ref="BN142:BN173" si="83">IF($D142="是",AF142-AG142,0)</f>
        <v>0</v>
      </c>
      <c r="BO142" s="2942">
        <f t="shared" ref="BO142:BO173" si="84">IF($D142="是",AH142-AI142,0)</f>
        <v>0</v>
      </c>
      <c r="BP142" s="2942">
        <f t="shared" ref="BP142:BP173" si="85">IF($D142="是",AJ142-AK142,0)</f>
        <v>0</v>
      </c>
      <c r="BQ142" s="2942">
        <f t="shared" ref="BQ142:BQ173" si="86">IF($D142="是",AL142-AM142,0)</f>
        <v>0</v>
      </c>
      <c r="BR142" s="2942">
        <f t="shared" ref="BR142:BR173" si="87">IF($D142="是",AN142-AO142,0)</f>
        <v>0</v>
      </c>
      <c r="BS142" s="2942">
        <f t="shared" ref="BS142:BS173" si="88">IF($D142="是",AP142-AQ142,0)</f>
        <v>0</v>
      </c>
      <c r="BT142" s="2994">
        <f t="shared" ref="BT142:BT173" si="89">IF($D142="是",AR142-AS142,0)</f>
        <v>0</v>
      </c>
    </row>
    <row r="143" spans="1:72">
      <c r="A143" s="2939"/>
      <c r="B143" s="2940"/>
      <c r="C143" s="2940"/>
      <c r="D143" s="2941"/>
      <c r="E143" s="2942">
        <f t="shared" si="61"/>
        <v>0</v>
      </c>
      <c r="F143" s="2943"/>
      <c r="G143" s="2944">
        <f t="shared" si="65"/>
        <v>0</v>
      </c>
      <c r="H143" s="2945">
        <f t="shared" si="66"/>
        <v>0</v>
      </c>
      <c r="I143" s="2952"/>
      <c r="J143" s="2952"/>
      <c r="K143" s="2952"/>
      <c r="L143" s="2952"/>
      <c r="M143" s="2952"/>
      <c r="N143" s="2952"/>
      <c r="O143" s="2952"/>
      <c r="P143" s="2952"/>
      <c r="Q143" s="2952"/>
      <c r="R143" s="2952"/>
      <c r="S143" s="2952"/>
      <c r="T143" s="2952"/>
      <c r="U143" s="2952"/>
      <c r="V143" s="2952"/>
      <c r="W143" s="2952"/>
      <c r="X143" s="2952"/>
      <c r="Y143" s="2952"/>
      <c r="Z143" s="2952"/>
      <c r="AA143" s="2952"/>
      <c r="AB143" s="2952"/>
      <c r="AC143" s="2942">
        <f t="shared" si="67"/>
        <v>0</v>
      </c>
      <c r="AD143" s="2962"/>
      <c r="AE143" s="2962"/>
      <c r="AF143" s="2962"/>
      <c r="AG143" s="2962"/>
      <c r="AH143" s="2962"/>
      <c r="AI143" s="2962"/>
      <c r="AJ143" s="2962"/>
      <c r="AK143" s="2962"/>
      <c r="AL143" s="2962"/>
      <c r="AM143" s="2962"/>
      <c r="AN143" s="2962"/>
      <c r="AO143" s="2962"/>
      <c r="AP143" s="2962"/>
      <c r="AQ143" s="2962"/>
      <c r="AR143" s="2962"/>
      <c r="AS143" s="2962"/>
      <c r="AT143" s="2972"/>
      <c r="AU143" s="2973"/>
      <c r="AV143" s="1120">
        <f t="shared" si="62"/>
        <v>0</v>
      </c>
      <c r="AW143" s="1120">
        <f t="shared" si="63"/>
        <v>0</v>
      </c>
      <c r="AX143" s="1120">
        <f t="shared" si="64"/>
        <v>0</v>
      </c>
      <c r="AY143" s="2987">
        <f t="shared" si="68"/>
        <v>0</v>
      </c>
      <c r="AZ143" s="2942">
        <f t="shared" si="69"/>
        <v>0</v>
      </c>
      <c r="BA143" s="2942">
        <f t="shared" si="70"/>
        <v>0</v>
      </c>
      <c r="BB143" s="2942">
        <f t="shared" si="71"/>
        <v>0</v>
      </c>
      <c r="BC143" s="2942">
        <f t="shared" si="72"/>
        <v>0</v>
      </c>
      <c r="BD143" s="2942">
        <f t="shared" si="73"/>
        <v>0</v>
      </c>
      <c r="BE143" s="2942">
        <f t="shared" si="74"/>
        <v>0</v>
      </c>
      <c r="BF143" s="2942">
        <f t="shared" si="75"/>
        <v>0</v>
      </c>
      <c r="BG143" s="2942">
        <f t="shared" si="76"/>
        <v>0</v>
      </c>
      <c r="BH143" s="2942">
        <f t="shared" si="77"/>
        <v>0</v>
      </c>
      <c r="BI143" s="2942">
        <f t="shared" si="78"/>
        <v>0</v>
      </c>
      <c r="BJ143" s="2942">
        <f t="shared" si="79"/>
        <v>0</v>
      </c>
      <c r="BK143" s="2942">
        <f t="shared" si="80"/>
        <v>0</v>
      </c>
      <c r="BL143" s="2942">
        <f t="shared" si="81"/>
        <v>0</v>
      </c>
      <c r="BM143" s="2942">
        <f t="shared" si="82"/>
        <v>0</v>
      </c>
      <c r="BN143" s="2942">
        <f t="shared" si="83"/>
        <v>0</v>
      </c>
      <c r="BO143" s="2942">
        <f t="shared" si="84"/>
        <v>0</v>
      </c>
      <c r="BP143" s="2942">
        <f t="shared" si="85"/>
        <v>0</v>
      </c>
      <c r="BQ143" s="2942">
        <f t="shared" si="86"/>
        <v>0</v>
      </c>
      <c r="BR143" s="2942">
        <f t="shared" si="87"/>
        <v>0</v>
      </c>
      <c r="BS143" s="2942">
        <f t="shared" si="88"/>
        <v>0</v>
      </c>
      <c r="BT143" s="2994">
        <f t="shared" si="89"/>
        <v>0</v>
      </c>
    </row>
    <row r="144" spans="1:72">
      <c r="A144" s="2939"/>
      <c r="B144" s="2940"/>
      <c r="C144" s="2940"/>
      <c r="D144" s="2941"/>
      <c r="E144" s="2942">
        <f t="shared" si="61"/>
        <v>0</v>
      </c>
      <c r="F144" s="2943"/>
      <c r="G144" s="2944">
        <f t="shared" si="65"/>
        <v>0</v>
      </c>
      <c r="H144" s="2945">
        <f t="shared" si="66"/>
        <v>0</v>
      </c>
      <c r="I144" s="2952"/>
      <c r="J144" s="2952"/>
      <c r="K144" s="2952"/>
      <c r="L144" s="2952"/>
      <c r="M144" s="2952"/>
      <c r="N144" s="2952"/>
      <c r="O144" s="2952"/>
      <c r="P144" s="2952"/>
      <c r="Q144" s="2952"/>
      <c r="R144" s="2952"/>
      <c r="S144" s="2952"/>
      <c r="T144" s="2952"/>
      <c r="U144" s="2952"/>
      <c r="V144" s="2952"/>
      <c r="W144" s="2952"/>
      <c r="X144" s="2952"/>
      <c r="Y144" s="2952"/>
      <c r="Z144" s="2952"/>
      <c r="AA144" s="2952"/>
      <c r="AB144" s="2952"/>
      <c r="AC144" s="2942">
        <f t="shared" si="67"/>
        <v>0</v>
      </c>
      <c r="AD144" s="2962"/>
      <c r="AE144" s="2962"/>
      <c r="AF144" s="2962"/>
      <c r="AG144" s="2962"/>
      <c r="AH144" s="2962"/>
      <c r="AI144" s="2962"/>
      <c r="AJ144" s="2962"/>
      <c r="AK144" s="2962"/>
      <c r="AL144" s="2962"/>
      <c r="AM144" s="2962"/>
      <c r="AN144" s="2962"/>
      <c r="AO144" s="2962"/>
      <c r="AP144" s="2962"/>
      <c r="AQ144" s="2962"/>
      <c r="AR144" s="2962"/>
      <c r="AS144" s="2962"/>
      <c r="AT144" s="2972"/>
      <c r="AU144" s="2973"/>
      <c r="AV144" s="1120">
        <f t="shared" si="62"/>
        <v>0</v>
      </c>
      <c r="AW144" s="1120">
        <f t="shared" si="63"/>
        <v>0</v>
      </c>
      <c r="AX144" s="1120">
        <f t="shared" si="64"/>
        <v>0</v>
      </c>
      <c r="AY144" s="2987">
        <f t="shared" si="68"/>
        <v>0</v>
      </c>
      <c r="AZ144" s="2942">
        <f t="shared" si="69"/>
        <v>0</v>
      </c>
      <c r="BA144" s="2942">
        <f t="shared" si="70"/>
        <v>0</v>
      </c>
      <c r="BB144" s="2942">
        <f t="shared" si="71"/>
        <v>0</v>
      </c>
      <c r="BC144" s="2942">
        <f t="shared" si="72"/>
        <v>0</v>
      </c>
      <c r="BD144" s="2942">
        <f t="shared" si="73"/>
        <v>0</v>
      </c>
      <c r="BE144" s="2942">
        <f t="shared" si="74"/>
        <v>0</v>
      </c>
      <c r="BF144" s="2942">
        <f t="shared" si="75"/>
        <v>0</v>
      </c>
      <c r="BG144" s="2942">
        <f t="shared" si="76"/>
        <v>0</v>
      </c>
      <c r="BH144" s="2942">
        <f t="shared" si="77"/>
        <v>0</v>
      </c>
      <c r="BI144" s="2942">
        <f t="shared" si="78"/>
        <v>0</v>
      </c>
      <c r="BJ144" s="2942">
        <f t="shared" si="79"/>
        <v>0</v>
      </c>
      <c r="BK144" s="2942">
        <f t="shared" si="80"/>
        <v>0</v>
      </c>
      <c r="BL144" s="2942">
        <f t="shared" si="81"/>
        <v>0</v>
      </c>
      <c r="BM144" s="2942">
        <f t="shared" si="82"/>
        <v>0</v>
      </c>
      <c r="BN144" s="2942">
        <f t="shared" si="83"/>
        <v>0</v>
      </c>
      <c r="BO144" s="2942">
        <f t="shared" si="84"/>
        <v>0</v>
      </c>
      <c r="BP144" s="2942">
        <f t="shared" si="85"/>
        <v>0</v>
      </c>
      <c r="BQ144" s="2942">
        <f t="shared" si="86"/>
        <v>0</v>
      </c>
      <c r="BR144" s="2942">
        <f t="shared" si="87"/>
        <v>0</v>
      </c>
      <c r="BS144" s="2942">
        <f t="shared" si="88"/>
        <v>0</v>
      </c>
      <c r="BT144" s="2994">
        <f t="shared" si="89"/>
        <v>0</v>
      </c>
    </row>
    <row r="145" spans="1:72">
      <c r="A145" s="2939"/>
      <c r="B145" s="2940"/>
      <c r="C145" s="2940"/>
      <c r="D145" s="2941"/>
      <c r="E145" s="2942">
        <f t="shared" ref="E145:E176" si="90">IF($C$3="是",ROUND($A$3*G145/$B$3,2),ROUND($A$3*(G145-AT145)/$B$3,2))</f>
        <v>0</v>
      </c>
      <c r="F145" s="2943"/>
      <c r="G145" s="2944">
        <f t="shared" si="65"/>
        <v>0</v>
      </c>
      <c r="H145" s="2945">
        <f t="shared" si="66"/>
        <v>0</v>
      </c>
      <c r="I145" s="2952"/>
      <c r="J145" s="2952"/>
      <c r="K145" s="2952"/>
      <c r="L145" s="2952"/>
      <c r="M145" s="2952"/>
      <c r="N145" s="2952"/>
      <c r="O145" s="2952"/>
      <c r="P145" s="2952"/>
      <c r="Q145" s="2952"/>
      <c r="R145" s="2952"/>
      <c r="S145" s="2952"/>
      <c r="T145" s="2952"/>
      <c r="U145" s="2952"/>
      <c r="V145" s="2952"/>
      <c r="W145" s="2952"/>
      <c r="X145" s="2952"/>
      <c r="Y145" s="2952"/>
      <c r="Z145" s="2952"/>
      <c r="AA145" s="2952"/>
      <c r="AB145" s="2952"/>
      <c r="AC145" s="2942">
        <f t="shared" si="67"/>
        <v>0</v>
      </c>
      <c r="AD145" s="2962"/>
      <c r="AE145" s="2962"/>
      <c r="AF145" s="2962"/>
      <c r="AG145" s="2962"/>
      <c r="AH145" s="2962"/>
      <c r="AI145" s="2962"/>
      <c r="AJ145" s="2962"/>
      <c r="AK145" s="2962"/>
      <c r="AL145" s="2962"/>
      <c r="AM145" s="2962"/>
      <c r="AN145" s="2962"/>
      <c r="AO145" s="2962"/>
      <c r="AP145" s="2962"/>
      <c r="AQ145" s="2962"/>
      <c r="AR145" s="2962"/>
      <c r="AS145" s="2962"/>
      <c r="AT145" s="2972"/>
      <c r="AU145" s="2973"/>
      <c r="AV145" s="1120">
        <f t="shared" ref="AV145:AV176" si="91">A145</f>
        <v>0</v>
      </c>
      <c r="AW145" s="1120">
        <f t="shared" ref="AW145:AW176" si="92">B145</f>
        <v>0</v>
      </c>
      <c r="AX145" s="1120">
        <f t="shared" ref="AX145:AX176" si="93">C145</f>
        <v>0</v>
      </c>
      <c r="AY145" s="2987">
        <f t="shared" si="68"/>
        <v>0</v>
      </c>
      <c r="AZ145" s="2942">
        <f t="shared" si="69"/>
        <v>0</v>
      </c>
      <c r="BA145" s="2942">
        <f t="shared" si="70"/>
        <v>0</v>
      </c>
      <c r="BB145" s="2942">
        <f t="shared" si="71"/>
        <v>0</v>
      </c>
      <c r="BC145" s="2942">
        <f t="shared" si="72"/>
        <v>0</v>
      </c>
      <c r="BD145" s="2942">
        <f t="shared" si="73"/>
        <v>0</v>
      </c>
      <c r="BE145" s="2942">
        <f t="shared" si="74"/>
        <v>0</v>
      </c>
      <c r="BF145" s="2942">
        <f t="shared" si="75"/>
        <v>0</v>
      </c>
      <c r="BG145" s="2942">
        <f t="shared" si="76"/>
        <v>0</v>
      </c>
      <c r="BH145" s="2942">
        <f t="shared" si="77"/>
        <v>0</v>
      </c>
      <c r="BI145" s="2942">
        <f t="shared" si="78"/>
        <v>0</v>
      </c>
      <c r="BJ145" s="2942">
        <f t="shared" si="79"/>
        <v>0</v>
      </c>
      <c r="BK145" s="2942">
        <f t="shared" si="80"/>
        <v>0</v>
      </c>
      <c r="BL145" s="2942">
        <f t="shared" si="81"/>
        <v>0</v>
      </c>
      <c r="BM145" s="2942">
        <f t="shared" si="82"/>
        <v>0</v>
      </c>
      <c r="BN145" s="2942">
        <f t="shared" si="83"/>
        <v>0</v>
      </c>
      <c r="BO145" s="2942">
        <f t="shared" si="84"/>
        <v>0</v>
      </c>
      <c r="BP145" s="2942">
        <f t="shared" si="85"/>
        <v>0</v>
      </c>
      <c r="BQ145" s="2942">
        <f t="shared" si="86"/>
        <v>0</v>
      </c>
      <c r="BR145" s="2942">
        <f t="shared" si="87"/>
        <v>0</v>
      </c>
      <c r="BS145" s="2942">
        <f t="shared" si="88"/>
        <v>0</v>
      </c>
      <c r="BT145" s="2994">
        <f t="shared" si="89"/>
        <v>0</v>
      </c>
    </row>
    <row r="146" spans="1:72">
      <c r="A146" s="2939"/>
      <c r="B146" s="2940"/>
      <c r="C146" s="2940"/>
      <c r="D146" s="2941"/>
      <c r="E146" s="2942">
        <f t="shared" si="90"/>
        <v>0</v>
      </c>
      <c r="F146" s="2943"/>
      <c r="G146" s="2944">
        <f t="shared" si="65"/>
        <v>0</v>
      </c>
      <c r="H146" s="2945">
        <f t="shared" si="66"/>
        <v>0</v>
      </c>
      <c r="I146" s="2952"/>
      <c r="J146" s="2952"/>
      <c r="K146" s="2952"/>
      <c r="L146" s="2952"/>
      <c r="M146" s="2952"/>
      <c r="N146" s="2952"/>
      <c r="O146" s="2952"/>
      <c r="P146" s="2952"/>
      <c r="Q146" s="2952"/>
      <c r="R146" s="2952"/>
      <c r="S146" s="2952"/>
      <c r="T146" s="2952"/>
      <c r="U146" s="2952"/>
      <c r="V146" s="2952"/>
      <c r="W146" s="2952"/>
      <c r="X146" s="2952"/>
      <c r="Y146" s="2952"/>
      <c r="Z146" s="2952"/>
      <c r="AA146" s="2952"/>
      <c r="AB146" s="2952"/>
      <c r="AC146" s="2942">
        <f t="shared" si="67"/>
        <v>0</v>
      </c>
      <c r="AD146" s="2962"/>
      <c r="AE146" s="2962"/>
      <c r="AF146" s="2962"/>
      <c r="AG146" s="2962"/>
      <c r="AH146" s="2962"/>
      <c r="AI146" s="2962"/>
      <c r="AJ146" s="2962"/>
      <c r="AK146" s="2962"/>
      <c r="AL146" s="2962"/>
      <c r="AM146" s="2962"/>
      <c r="AN146" s="2962"/>
      <c r="AO146" s="2962"/>
      <c r="AP146" s="2962"/>
      <c r="AQ146" s="2962"/>
      <c r="AR146" s="2962"/>
      <c r="AS146" s="2962"/>
      <c r="AT146" s="2972"/>
      <c r="AU146" s="2973"/>
      <c r="AV146" s="1120">
        <f t="shared" si="91"/>
        <v>0</v>
      </c>
      <c r="AW146" s="1120">
        <f t="shared" si="92"/>
        <v>0</v>
      </c>
      <c r="AX146" s="1120">
        <f t="shared" si="93"/>
        <v>0</v>
      </c>
      <c r="AY146" s="2987">
        <f t="shared" si="68"/>
        <v>0</v>
      </c>
      <c r="AZ146" s="2942">
        <f t="shared" si="69"/>
        <v>0</v>
      </c>
      <c r="BA146" s="2942">
        <f t="shared" si="70"/>
        <v>0</v>
      </c>
      <c r="BB146" s="2942">
        <f t="shared" si="71"/>
        <v>0</v>
      </c>
      <c r="BC146" s="2942">
        <f t="shared" si="72"/>
        <v>0</v>
      </c>
      <c r="BD146" s="2942">
        <f t="shared" si="73"/>
        <v>0</v>
      </c>
      <c r="BE146" s="2942">
        <f t="shared" si="74"/>
        <v>0</v>
      </c>
      <c r="BF146" s="2942">
        <f t="shared" si="75"/>
        <v>0</v>
      </c>
      <c r="BG146" s="2942">
        <f t="shared" si="76"/>
        <v>0</v>
      </c>
      <c r="BH146" s="2942">
        <f t="shared" si="77"/>
        <v>0</v>
      </c>
      <c r="BI146" s="2942">
        <f t="shared" si="78"/>
        <v>0</v>
      </c>
      <c r="BJ146" s="2942">
        <f t="shared" si="79"/>
        <v>0</v>
      </c>
      <c r="BK146" s="2942">
        <f t="shared" si="80"/>
        <v>0</v>
      </c>
      <c r="BL146" s="2942">
        <f t="shared" si="81"/>
        <v>0</v>
      </c>
      <c r="BM146" s="2942">
        <f t="shared" si="82"/>
        <v>0</v>
      </c>
      <c r="BN146" s="2942">
        <f t="shared" si="83"/>
        <v>0</v>
      </c>
      <c r="BO146" s="2942">
        <f t="shared" si="84"/>
        <v>0</v>
      </c>
      <c r="BP146" s="2942">
        <f t="shared" si="85"/>
        <v>0</v>
      </c>
      <c r="BQ146" s="2942">
        <f t="shared" si="86"/>
        <v>0</v>
      </c>
      <c r="BR146" s="2942">
        <f t="shared" si="87"/>
        <v>0</v>
      </c>
      <c r="BS146" s="2942">
        <f t="shared" si="88"/>
        <v>0</v>
      </c>
      <c r="BT146" s="2994">
        <f t="shared" si="89"/>
        <v>0</v>
      </c>
    </row>
    <row r="147" spans="1:72">
      <c r="A147" s="2939"/>
      <c r="B147" s="2940"/>
      <c r="C147" s="2940"/>
      <c r="D147" s="2941"/>
      <c r="E147" s="2942">
        <f t="shared" si="90"/>
        <v>0</v>
      </c>
      <c r="F147" s="2943"/>
      <c r="G147" s="2944">
        <f t="shared" si="65"/>
        <v>0</v>
      </c>
      <c r="H147" s="2945">
        <f t="shared" si="66"/>
        <v>0</v>
      </c>
      <c r="I147" s="2952"/>
      <c r="J147" s="2952"/>
      <c r="K147" s="2952"/>
      <c r="L147" s="2952"/>
      <c r="M147" s="2952"/>
      <c r="N147" s="2952"/>
      <c r="O147" s="2952"/>
      <c r="P147" s="2952"/>
      <c r="Q147" s="2952"/>
      <c r="R147" s="2952"/>
      <c r="S147" s="2952"/>
      <c r="T147" s="2952"/>
      <c r="U147" s="2952"/>
      <c r="V147" s="2952"/>
      <c r="W147" s="2952"/>
      <c r="X147" s="2952"/>
      <c r="Y147" s="2952"/>
      <c r="Z147" s="2952"/>
      <c r="AA147" s="2952"/>
      <c r="AB147" s="2952"/>
      <c r="AC147" s="2942">
        <f t="shared" si="67"/>
        <v>0</v>
      </c>
      <c r="AD147" s="2962"/>
      <c r="AE147" s="2962"/>
      <c r="AF147" s="2962"/>
      <c r="AG147" s="2962"/>
      <c r="AH147" s="2962"/>
      <c r="AI147" s="2962"/>
      <c r="AJ147" s="2962"/>
      <c r="AK147" s="2962"/>
      <c r="AL147" s="2962"/>
      <c r="AM147" s="2962"/>
      <c r="AN147" s="2962"/>
      <c r="AO147" s="2962"/>
      <c r="AP147" s="2962"/>
      <c r="AQ147" s="2962"/>
      <c r="AR147" s="2962"/>
      <c r="AS147" s="2962"/>
      <c r="AT147" s="2972"/>
      <c r="AU147" s="2973"/>
      <c r="AV147" s="1120">
        <f t="shared" si="91"/>
        <v>0</v>
      </c>
      <c r="AW147" s="1120">
        <f t="shared" si="92"/>
        <v>0</v>
      </c>
      <c r="AX147" s="1120">
        <f t="shared" si="93"/>
        <v>0</v>
      </c>
      <c r="AY147" s="2987">
        <f t="shared" si="68"/>
        <v>0</v>
      </c>
      <c r="AZ147" s="2942">
        <f t="shared" si="69"/>
        <v>0</v>
      </c>
      <c r="BA147" s="2942">
        <f t="shared" si="70"/>
        <v>0</v>
      </c>
      <c r="BB147" s="2942">
        <f t="shared" si="71"/>
        <v>0</v>
      </c>
      <c r="BC147" s="2942">
        <f t="shared" si="72"/>
        <v>0</v>
      </c>
      <c r="BD147" s="2942">
        <f t="shared" si="73"/>
        <v>0</v>
      </c>
      <c r="BE147" s="2942">
        <f t="shared" si="74"/>
        <v>0</v>
      </c>
      <c r="BF147" s="2942">
        <f t="shared" si="75"/>
        <v>0</v>
      </c>
      <c r="BG147" s="2942">
        <f t="shared" si="76"/>
        <v>0</v>
      </c>
      <c r="BH147" s="2942">
        <f t="shared" si="77"/>
        <v>0</v>
      </c>
      <c r="BI147" s="2942">
        <f t="shared" si="78"/>
        <v>0</v>
      </c>
      <c r="BJ147" s="2942">
        <f t="shared" si="79"/>
        <v>0</v>
      </c>
      <c r="BK147" s="2942">
        <f t="shared" si="80"/>
        <v>0</v>
      </c>
      <c r="BL147" s="2942">
        <f t="shared" si="81"/>
        <v>0</v>
      </c>
      <c r="BM147" s="2942">
        <f t="shared" si="82"/>
        <v>0</v>
      </c>
      <c r="BN147" s="2942">
        <f t="shared" si="83"/>
        <v>0</v>
      </c>
      <c r="BO147" s="2942">
        <f t="shared" si="84"/>
        <v>0</v>
      </c>
      <c r="BP147" s="2942">
        <f t="shared" si="85"/>
        <v>0</v>
      </c>
      <c r="BQ147" s="2942">
        <f t="shared" si="86"/>
        <v>0</v>
      </c>
      <c r="BR147" s="2942">
        <f t="shared" si="87"/>
        <v>0</v>
      </c>
      <c r="BS147" s="2942">
        <f t="shared" si="88"/>
        <v>0</v>
      </c>
      <c r="BT147" s="2994">
        <f t="shared" si="89"/>
        <v>0</v>
      </c>
    </row>
    <row r="148" spans="1:72">
      <c r="A148" s="2939"/>
      <c r="B148" s="2940"/>
      <c r="C148" s="2940"/>
      <c r="D148" s="2941"/>
      <c r="E148" s="2942">
        <f t="shared" si="90"/>
        <v>0</v>
      </c>
      <c r="F148" s="2943"/>
      <c r="G148" s="2944">
        <f t="shared" si="65"/>
        <v>0</v>
      </c>
      <c r="H148" s="2945">
        <f t="shared" si="66"/>
        <v>0</v>
      </c>
      <c r="I148" s="2952"/>
      <c r="J148" s="2952"/>
      <c r="K148" s="2952"/>
      <c r="L148" s="2952"/>
      <c r="M148" s="2952"/>
      <c r="N148" s="2952"/>
      <c r="O148" s="2952"/>
      <c r="P148" s="2952"/>
      <c r="Q148" s="2952"/>
      <c r="R148" s="2952"/>
      <c r="S148" s="2952"/>
      <c r="T148" s="2952"/>
      <c r="U148" s="2952"/>
      <c r="V148" s="2952"/>
      <c r="W148" s="2952"/>
      <c r="X148" s="2952"/>
      <c r="Y148" s="2952"/>
      <c r="Z148" s="2952"/>
      <c r="AA148" s="2952"/>
      <c r="AB148" s="2952"/>
      <c r="AC148" s="2942">
        <f t="shared" si="67"/>
        <v>0</v>
      </c>
      <c r="AD148" s="2962"/>
      <c r="AE148" s="2962"/>
      <c r="AF148" s="2962"/>
      <c r="AG148" s="2962"/>
      <c r="AH148" s="2962"/>
      <c r="AI148" s="2962"/>
      <c r="AJ148" s="2962"/>
      <c r="AK148" s="2962"/>
      <c r="AL148" s="2962"/>
      <c r="AM148" s="2962"/>
      <c r="AN148" s="2962"/>
      <c r="AO148" s="2962"/>
      <c r="AP148" s="2962"/>
      <c r="AQ148" s="2962"/>
      <c r="AR148" s="2962"/>
      <c r="AS148" s="2962"/>
      <c r="AT148" s="2972"/>
      <c r="AU148" s="2973"/>
      <c r="AV148" s="1120">
        <f t="shared" si="91"/>
        <v>0</v>
      </c>
      <c r="AW148" s="1120">
        <f t="shared" si="92"/>
        <v>0</v>
      </c>
      <c r="AX148" s="1120">
        <f t="shared" si="93"/>
        <v>0</v>
      </c>
      <c r="AY148" s="2987">
        <f t="shared" si="68"/>
        <v>0</v>
      </c>
      <c r="AZ148" s="2942">
        <f t="shared" si="69"/>
        <v>0</v>
      </c>
      <c r="BA148" s="2942">
        <f t="shared" si="70"/>
        <v>0</v>
      </c>
      <c r="BB148" s="2942">
        <f t="shared" si="71"/>
        <v>0</v>
      </c>
      <c r="BC148" s="2942">
        <f t="shared" si="72"/>
        <v>0</v>
      </c>
      <c r="BD148" s="2942">
        <f t="shared" si="73"/>
        <v>0</v>
      </c>
      <c r="BE148" s="2942">
        <f t="shared" si="74"/>
        <v>0</v>
      </c>
      <c r="BF148" s="2942">
        <f t="shared" si="75"/>
        <v>0</v>
      </c>
      <c r="BG148" s="2942">
        <f t="shared" si="76"/>
        <v>0</v>
      </c>
      <c r="BH148" s="2942">
        <f t="shared" si="77"/>
        <v>0</v>
      </c>
      <c r="BI148" s="2942">
        <f t="shared" si="78"/>
        <v>0</v>
      </c>
      <c r="BJ148" s="2942">
        <f t="shared" si="79"/>
        <v>0</v>
      </c>
      <c r="BK148" s="2942">
        <f t="shared" si="80"/>
        <v>0</v>
      </c>
      <c r="BL148" s="2942">
        <f t="shared" si="81"/>
        <v>0</v>
      </c>
      <c r="BM148" s="2942">
        <f t="shared" si="82"/>
        <v>0</v>
      </c>
      <c r="BN148" s="2942">
        <f t="shared" si="83"/>
        <v>0</v>
      </c>
      <c r="BO148" s="2942">
        <f t="shared" si="84"/>
        <v>0</v>
      </c>
      <c r="BP148" s="2942">
        <f t="shared" si="85"/>
        <v>0</v>
      </c>
      <c r="BQ148" s="2942">
        <f t="shared" si="86"/>
        <v>0</v>
      </c>
      <c r="BR148" s="2942">
        <f t="shared" si="87"/>
        <v>0</v>
      </c>
      <c r="BS148" s="2942">
        <f t="shared" si="88"/>
        <v>0</v>
      </c>
      <c r="BT148" s="2994">
        <f t="shared" si="89"/>
        <v>0</v>
      </c>
    </row>
    <row r="149" spans="1:72">
      <c r="A149" s="2939"/>
      <c r="B149" s="2940"/>
      <c r="C149" s="2940"/>
      <c r="D149" s="2941"/>
      <c r="E149" s="2942">
        <f t="shared" si="90"/>
        <v>0</v>
      </c>
      <c r="F149" s="2943"/>
      <c r="G149" s="2944">
        <f t="shared" si="65"/>
        <v>0</v>
      </c>
      <c r="H149" s="2945">
        <f t="shared" si="66"/>
        <v>0</v>
      </c>
      <c r="I149" s="2952"/>
      <c r="J149" s="2952"/>
      <c r="K149" s="2952"/>
      <c r="L149" s="2952"/>
      <c r="M149" s="2952"/>
      <c r="N149" s="2952"/>
      <c r="O149" s="2952"/>
      <c r="P149" s="2952"/>
      <c r="Q149" s="2952"/>
      <c r="R149" s="2952"/>
      <c r="S149" s="2952"/>
      <c r="T149" s="2952"/>
      <c r="U149" s="2952"/>
      <c r="V149" s="2952"/>
      <c r="W149" s="2952"/>
      <c r="X149" s="2952"/>
      <c r="Y149" s="2952"/>
      <c r="Z149" s="2952"/>
      <c r="AA149" s="2952"/>
      <c r="AB149" s="2952"/>
      <c r="AC149" s="2942">
        <f t="shared" si="67"/>
        <v>0</v>
      </c>
      <c r="AD149" s="2962"/>
      <c r="AE149" s="2962"/>
      <c r="AF149" s="2962"/>
      <c r="AG149" s="2962"/>
      <c r="AH149" s="2962"/>
      <c r="AI149" s="2962"/>
      <c r="AJ149" s="2962"/>
      <c r="AK149" s="2962"/>
      <c r="AL149" s="2962"/>
      <c r="AM149" s="2962"/>
      <c r="AN149" s="2962"/>
      <c r="AO149" s="2962"/>
      <c r="AP149" s="2962"/>
      <c r="AQ149" s="2962"/>
      <c r="AR149" s="2962"/>
      <c r="AS149" s="2962"/>
      <c r="AT149" s="2972"/>
      <c r="AU149" s="2973"/>
      <c r="AV149" s="1120">
        <f t="shared" si="91"/>
        <v>0</v>
      </c>
      <c r="AW149" s="1120">
        <f t="shared" si="92"/>
        <v>0</v>
      </c>
      <c r="AX149" s="1120">
        <f t="shared" si="93"/>
        <v>0</v>
      </c>
      <c r="AY149" s="2987">
        <f t="shared" si="68"/>
        <v>0</v>
      </c>
      <c r="AZ149" s="2942">
        <f t="shared" si="69"/>
        <v>0</v>
      </c>
      <c r="BA149" s="2942">
        <f t="shared" si="70"/>
        <v>0</v>
      </c>
      <c r="BB149" s="2942">
        <f t="shared" si="71"/>
        <v>0</v>
      </c>
      <c r="BC149" s="2942">
        <f t="shared" si="72"/>
        <v>0</v>
      </c>
      <c r="BD149" s="2942">
        <f t="shared" si="73"/>
        <v>0</v>
      </c>
      <c r="BE149" s="2942">
        <f t="shared" si="74"/>
        <v>0</v>
      </c>
      <c r="BF149" s="2942">
        <f t="shared" si="75"/>
        <v>0</v>
      </c>
      <c r="BG149" s="2942">
        <f t="shared" si="76"/>
        <v>0</v>
      </c>
      <c r="BH149" s="2942">
        <f t="shared" si="77"/>
        <v>0</v>
      </c>
      <c r="BI149" s="2942">
        <f t="shared" si="78"/>
        <v>0</v>
      </c>
      <c r="BJ149" s="2942">
        <f t="shared" si="79"/>
        <v>0</v>
      </c>
      <c r="BK149" s="2942">
        <f t="shared" si="80"/>
        <v>0</v>
      </c>
      <c r="BL149" s="2942">
        <f t="shared" si="81"/>
        <v>0</v>
      </c>
      <c r="BM149" s="2942">
        <f t="shared" si="82"/>
        <v>0</v>
      </c>
      <c r="BN149" s="2942">
        <f t="shared" si="83"/>
        <v>0</v>
      </c>
      <c r="BO149" s="2942">
        <f t="shared" si="84"/>
        <v>0</v>
      </c>
      <c r="BP149" s="2942">
        <f t="shared" si="85"/>
        <v>0</v>
      </c>
      <c r="BQ149" s="2942">
        <f t="shared" si="86"/>
        <v>0</v>
      </c>
      <c r="BR149" s="2942">
        <f t="shared" si="87"/>
        <v>0</v>
      </c>
      <c r="BS149" s="2942">
        <f t="shared" si="88"/>
        <v>0</v>
      </c>
      <c r="BT149" s="2994">
        <f t="shared" si="89"/>
        <v>0</v>
      </c>
    </row>
    <row r="150" spans="1:72">
      <c r="A150" s="2939"/>
      <c r="B150" s="2940"/>
      <c r="C150" s="2940"/>
      <c r="D150" s="2941"/>
      <c r="E150" s="2942">
        <f t="shared" si="90"/>
        <v>0</v>
      </c>
      <c r="F150" s="2943"/>
      <c r="G150" s="2944">
        <f t="shared" si="65"/>
        <v>0</v>
      </c>
      <c r="H150" s="2945">
        <f t="shared" si="66"/>
        <v>0</v>
      </c>
      <c r="I150" s="2952"/>
      <c r="J150" s="2952"/>
      <c r="K150" s="2952"/>
      <c r="L150" s="2952"/>
      <c r="M150" s="2952"/>
      <c r="N150" s="2952"/>
      <c r="O150" s="2952"/>
      <c r="P150" s="2952"/>
      <c r="Q150" s="2952"/>
      <c r="R150" s="2952"/>
      <c r="S150" s="2952"/>
      <c r="T150" s="2952"/>
      <c r="U150" s="2952"/>
      <c r="V150" s="2952"/>
      <c r="W150" s="2952"/>
      <c r="X150" s="2952"/>
      <c r="Y150" s="2952"/>
      <c r="Z150" s="2952"/>
      <c r="AA150" s="2952"/>
      <c r="AB150" s="2952"/>
      <c r="AC150" s="2942">
        <f t="shared" si="67"/>
        <v>0</v>
      </c>
      <c r="AD150" s="2962"/>
      <c r="AE150" s="2962"/>
      <c r="AF150" s="2962"/>
      <c r="AG150" s="2962"/>
      <c r="AH150" s="2962"/>
      <c r="AI150" s="2962"/>
      <c r="AJ150" s="2962"/>
      <c r="AK150" s="2962"/>
      <c r="AL150" s="2962"/>
      <c r="AM150" s="2962"/>
      <c r="AN150" s="2962"/>
      <c r="AO150" s="2962"/>
      <c r="AP150" s="2962"/>
      <c r="AQ150" s="2962"/>
      <c r="AR150" s="2962"/>
      <c r="AS150" s="2962"/>
      <c r="AT150" s="2972"/>
      <c r="AU150" s="2973"/>
      <c r="AV150" s="1120">
        <f t="shared" si="91"/>
        <v>0</v>
      </c>
      <c r="AW150" s="1120">
        <f t="shared" si="92"/>
        <v>0</v>
      </c>
      <c r="AX150" s="1120">
        <f t="shared" si="93"/>
        <v>0</v>
      </c>
      <c r="AY150" s="2987">
        <f t="shared" si="68"/>
        <v>0</v>
      </c>
      <c r="AZ150" s="2942">
        <f t="shared" si="69"/>
        <v>0</v>
      </c>
      <c r="BA150" s="2942">
        <f t="shared" si="70"/>
        <v>0</v>
      </c>
      <c r="BB150" s="2942">
        <f t="shared" si="71"/>
        <v>0</v>
      </c>
      <c r="BC150" s="2942">
        <f t="shared" si="72"/>
        <v>0</v>
      </c>
      <c r="BD150" s="2942">
        <f t="shared" si="73"/>
        <v>0</v>
      </c>
      <c r="BE150" s="2942">
        <f t="shared" si="74"/>
        <v>0</v>
      </c>
      <c r="BF150" s="2942">
        <f t="shared" si="75"/>
        <v>0</v>
      </c>
      <c r="BG150" s="2942">
        <f t="shared" si="76"/>
        <v>0</v>
      </c>
      <c r="BH150" s="2942">
        <f t="shared" si="77"/>
        <v>0</v>
      </c>
      <c r="BI150" s="2942">
        <f t="shared" si="78"/>
        <v>0</v>
      </c>
      <c r="BJ150" s="2942">
        <f t="shared" si="79"/>
        <v>0</v>
      </c>
      <c r="BK150" s="2942">
        <f t="shared" si="80"/>
        <v>0</v>
      </c>
      <c r="BL150" s="2942">
        <f t="shared" si="81"/>
        <v>0</v>
      </c>
      <c r="BM150" s="2942">
        <f t="shared" si="82"/>
        <v>0</v>
      </c>
      <c r="BN150" s="2942">
        <f t="shared" si="83"/>
        <v>0</v>
      </c>
      <c r="BO150" s="2942">
        <f t="shared" si="84"/>
        <v>0</v>
      </c>
      <c r="BP150" s="2942">
        <f t="shared" si="85"/>
        <v>0</v>
      </c>
      <c r="BQ150" s="2942">
        <f t="shared" si="86"/>
        <v>0</v>
      </c>
      <c r="BR150" s="2942">
        <f t="shared" si="87"/>
        <v>0</v>
      </c>
      <c r="BS150" s="2942">
        <f t="shared" si="88"/>
        <v>0</v>
      </c>
      <c r="BT150" s="2994">
        <f t="shared" si="89"/>
        <v>0</v>
      </c>
    </row>
    <row r="151" spans="1:72">
      <c r="A151" s="2939"/>
      <c r="B151" s="2940"/>
      <c r="C151" s="2940"/>
      <c r="D151" s="2941"/>
      <c r="E151" s="2942">
        <f t="shared" si="90"/>
        <v>0</v>
      </c>
      <c r="F151" s="2943"/>
      <c r="G151" s="2944">
        <f t="shared" si="65"/>
        <v>0</v>
      </c>
      <c r="H151" s="2945">
        <f t="shared" si="66"/>
        <v>0</v>
      </c>
      <c r="I151" s="2952"/>
      <c r="J151" s="2952"/>
      <c r="K151" s="2952"/>
      <c r="L151" s="2952"/>
      <c r="M151" s="2952"/>
      <c r="N151" s="2952"/>
      <c r="O151" s="2952"/>
      <c r="P151" s="2952"/>
      <c r="Q151" s="2952"/>
      <c r="R151" s="2952"/>
      <c r="S151" s="2952"/>
      <c r="T151" s="2952"/>
      <c r="U151" s="2952"/>
      <c r="V151" s="2952"/>
      <c r="W151" s="2952"/>
      <c r="X151" s="2952"/>
      <c r="Y151" s="2952"/>
      <c r="Z151" s="2952"/>
      <c r="AA151" s="2952"/>
      <c r="AB151" s="2952"/>
      <c r="AC151" s="2942">
        <f t="shared" si="67"/>
        <v>0</v>
      </c>
      <c r="AD151" s="2962"/>
      <c r="AE151" s="2962"/>
      <c r="AF151" s="2962"/>
      <c r="AG151" s="2962"/>
      <c r="AH151" s="2962"/>
      <c r="AI151" s="2962"/>
      <c r="AJ151" s="2962"/>
      <c r="AK151" s="2962"/>
      <c r="AL151" s="2962"/>
      <c r="AM151" s="2962"/>
      <c r="AN151" s="2962"/>
      <c r="AO151" s="2962"/>
      <c r="AP151" s="2962"/>
      <c r="AQ151" s="2962"/>
      <c r="AR151" s="2962"/>
      <c r="AS151" s="2962"/>
      <c r="AT151" s="2972"/>
      <c r="AU151" s="2973"/>
      <c r="AV151" s="1120">
        <f t="shared" si="91"/>
        <v>0</v>
      </c>
      <c r="AW151" s="1120">
        <f t="shared" si="92"/>
        <v>0</v>
      </c>
      <c r="AX151" s="1120">
        <f t="shared" si="93"/>
        <v>0</v>
      </c>
      <c r="AY151" s="2987">
        <f t="shared" si="68"/>
        <v>0</v>
      </c>
      <c r="AZ151" s="2942">
        <f t="shared" si="69"/>
        <v>0</v>
      </c>
      <c r="BA151" s="2942">
        <f t="shared" si="70"/>
        <v>0</v>
      </c>
      <c r="BB151" s="2942">
        <f t="shared" si="71"/>
        <v>0</v>
      </c>
      <c r="BC151" s="2942">
        <f t="shared" si="72"/>
        <v>0</v>
      </c>
      <c r="BD151" s="2942">
        <f t="shared" si="73"/>
        <v>0</v>
      </c>
      <c r="BE151" s="2942">
        <f t="shared" si="74"/>
        <v>0</v>
      </c>
      <c r="BF151" s="2942">
        <f t="shared" si="75"/>
        <v>0</v>
      </c>
      <c r="BG151" s="2942">
        <f t="shared" si="76"/>
        <v>0</v>
      </c>
      <c r="BH151" s="2942">
        <f t="shared" si="77"/>
        <v>0</v>
      </c>
      <c r="BI151" s="2942">
        <f t="shared" si="78"/>
        <v>0</v>
      </c>
      <c r="BJ151" s="2942">
        <f t="shared" si="79"/>
        <v>0</v>
      </c>
      <c r="BK151" s="2942">
        <f t="shared" si="80"/>
        <v>0</v>
      </c>
      <c r="BL151" s="2942">
        <f t="shared" si="81"/>
        <v>0</v>
      </c>
      <c r="BM151" s="2942">
        <f t="shared" si="82"/>
        <v>0</v>
      </c>
      <c r="BN151" s="2942">
        <f t="shared" si="83"/>
        <v>0</v>
      </c>
      <c r="BO151" s="2942">
        <f t="shared" si="84"/>
        <v>0</v>
      </c>
      <c r="BP151" s="2942">
        <f t="shared" si="85"/>
        <v>0</v>
      </c>
      <c r="BQ151" s="2942">
        <f t="shared" si="86"/>
        <v>0</v>
      </c>
      <c r="BR151" s="2942">
        <f t="shared" si="87"/>
        <v>0</v>
      </c>
      <c r="BS151" s="2942">
        <f t="shared" si="88"/>
        <v>0</v>
      </c>
      <c r="BT151" s="2994">
        <f t="shared" si="89"/>
        <v>0</v>
      </c>
    </row>
    <row r="152" spans="1:72">
      <c r="A152" s="2939"/>
      <c r="B152" s="2940"/>
      <c r="C152" s="2940"/>
      <c r="D152" s="2941"/>
      <c r="E152" s="2942">
        <f t="shared" si="90"/>
        <v>0</v>
      </c>
      <c r="F152" s="2943"/>
      <c r="G152" s="2944">
        <f t="shared" si="65"/>
        <v>0</v>
      </c>
      <c r="H152" s="2945">
        <f t="shared" si="66"/>
        <v>0</v>
      </c>
      <c r="I152" s="2952"/>
      <c r="J152" s="2952"/>
      <c r="K152" s="2952"/>
      <c r="L152" s="2952"/>
      <c r="M152" s="2952"/>
      <c r="N152" s="2952"/>
      <c r="O152" s="2952"/>
      <c r="P152" s="2952"/>
      <c r="Q152" s="2952"/>
      <c r="R152" s="2952"/>
      <c r="S152" s="2952"/>
      <c r="T152" s="2952"/>
      <c r="U152" s="2952"/>
      <c r="V152" s="2952"/>
      <c r="W152" s="2952"/>
      <c r="X152" s="2952"/>
      <c r="Y152" s="2952"/>
      <c r="Z152" s="2952"/>
      <c r="AA152" s="2952"/>
      <c r="AB152" s="2952"/>
      <c r="AC152" s="2942">
        <f t="shared" si="67"/>
        <v>0</v>
      </c>
      <c r="AD152" s="2962"/>
      <c r="AE152" s="2962"/>
      <c r="AF152" s="2962"/>
      <c r="AG152" s="2962"/>
      <c r="AH152" s="2962"/>
      <c r="AI152" s="2962"/>
      <c r="AJ152" s="2962"/>
      <c r="AK152" s="2962"/>
      <c r="AL152" s="2962"/>
      <c r="AM152" s="2962"/>
      <c r="AN152" s="2962"/>
      <c r="AO152" s="2962"/>
      <c r="AP152" s="2962"/>
      <c r="AQ152" s="2962"/>
      <c r="AR152" s="2962"/>
      <c r="AS152" s="2962"/>
      <c r="AT152" s="2972"/>
      <c r="AU152" s="2973"/>
      <c r="AV152" s="1120">
        <f t="shared" si="91"/>
        <v>0</v>
      </c>
      <c r="AW152" s="1120">
        <f t="shared" si="92"/>
        <v>0</v>
      </c>
      <c r="AX152" s="1120">
        <f t="shared" si="93"/>
        <v>0</v>
      </c>
      <c r="AY152" s="2987">
        <f t="shared" si="68"/>
        <v>0</v>
      </c>
      <c r="AZ152" s="2942">
        <f t="shared" si="69"/>
        <v>0</v>
      </c>
      <c r="BA152" s="2942">
        <f t="shared" si="70"/>
        <v>0</v>
      </c>
      <c r="BB152" s="2942">
        <f t="shared" si="71"/>
        <v>0</v>
      </c>
      <c r="BC152" s="2942">
        <f t="shared" si="72"/>
        <v>0</v>
      </c>
      <c r="BD152" s="2942">
        <f t="shared" si="73"/>
        <v>0</v>
      </c>
      <c r="BE152" s="2942">
        <f t="shared" si="74"/>
        <v>0</v>
      </c>
      <c r="BF152" s="2942">
        <f t="shared" si="75"/>
        <v>0</v>
      </c>
      <c r="BG152" s="2942">
        <f t="shared" si="76"/>
        <v>0</v>
      </c>
      <c r="BH152" s="2942">
        <f t="shared" si="77"/>
        <v>0</v>
      </c>
      <c r="BI152" s="2942">
        <f t="shared" si="78"/>
        <v>0</v>
      </c>
      <c r="BJ152" s="2942">
        <f t="shared" si="79"/>
        <v>0</v>
      </c>
      <c r="BK152" s="2942">
        <f t="shared" si="80"/>
        <v>0</v>
      </c>
      <c r="BL152" s="2942">
        <f t="shared" si="81"/>
        <v>0</v>
      </c>
      <c r="BM152" s="2942">
        <f t="shared" si="82"/>
        <v>0</v>
      </c>
      <c r="BN152" s="2942">
        <f t="shared" si="83"/>
        <v>0</v>
      </c>
      <c r="BO152" s="2942">
        <f t="shared" si="84"/>
        <v>0</v>
      </c>
      <c r="BP152" s="2942">
        <f t="shared" si="85"/>
        <v>0</v>
      </c>
      <c r="BQ152" s="2942">
        <f t="shared" si="86"/>
        <v>0</v>
      </c>
      <c r="BR152" s="2942">
        <f t="shared" si="87"/>
        <v>0</v>
      </c>
      <c r="BS152" s="2942">
        <f t="shared" si="88"/>
        <v>0</v>
      </c>
      <c r="BT152" s="2994">
        <f t="shared" si="89"/>
        <v>0</v>
      </c>
    </row>
    <row r="153" spans="1:72">
      <c r="A153" s="2939"/>
      <c r="B153" s="2940"/>
      <c r="C153" s="2940"/>
      <c r="D153" s="2941"/>
      <c r="E153" s="2942">
        <f t="shared" si="90"/>
        <v>0</v>
      </c>
      <c r="F153" s="2943"/>
      <c r="G153" s="2944">
        <f t="shared" si="65"/>
        <v>0</v>
      </c>
      <c r="H153" s="2945">
        <f t="shared" si="66"/>
        <v>0</v>
      </c>
      <c r="I153" s="2952"/>
      <c r="J153" s="2952"/>
      <c r="K153" s="2952"/>
      <c r="L153" s="2952"/>
      <c r="M153" s="2952"/>
      <c r="N153" s="2952"/>
      <c r="O153" s="2952"/>
      <c r="P153" s="2952"/>
      <c r="Q153" s="2952"/>
      <c r="R153" s="2952"/>
      <c r="S153" s="2952"/>
      <c r="T153" s="2952"/>
      <c r="U153" s="2952"/>
      <c r="V153" s="2952"/>
      <c r="W153" s="2952"/>
      <c r="X153" s="2952"/>
      <c r="Y153" s="2952"/>
      <c r="Z153" s="2952"/>
      <c r="AA153" s="2952"/>
      <c r="AB153" s="2952"/>
      <c r="AC153" s="2942">
        <f t="shared" si="67"/>
        <v>0</v>
      </c>
      <c r="AD153" s="2962"/>
      <c r="AE153" s="2962"/>
      <c r="AF153" s="2962"/>
      <c r="AG153" s="2962"/>
      <c r="AH153" s="2962"/>
      <c r="AI153" s="2962"/>
      <c r="AJ153" s="2962"/>
      <c r="AK153" s="2962"/>
      <c r="AL153" s="2962"/>
      <c r="AM153" s="2962"/>
      <c r="AN153" s="2962"/>
      <c r="AO153" s="2962"/>
      <c r="AP153" s="2962"/>
      <c r="AQ153" s="2962"/>
      <c r="AR153" s="2962"/>
      <c r="AS153" s="2962"/>
      <c r="AT153" s="2972"/>
      <c r="AU153" s="2973"/>
      <c r="AV153" s="1120">
        <f t="shared" si="91"/>
        <v>0</v>
      </c>
      <c r="AW153" s="1120">
        <f t="shared" si="92"/>
        <v>0</v>
      </c>
      <c r="AX153" s="1120">
        <f t="shared" si="93"/>
        <v>0</v>
      </c>
      <c r="AY153" s="2987">
        <f t="shared" si="68"/>
        <v>0</v>
      </c>
      <c r="AZ153" s="2942">
        <f t="shared" si="69"/>
        <v>0</v>
      </c>
      <c r="BA153" s="2942">
        <f t="shared" si="70"/>
        <v>0</v>
      </c>
      <c r="BB153" s="2942">
        <f t="shared" si="71"/>
        <v>0</v>
      </c>
      <c r="BC153" s="2942">
        <f t="shared" si="72"/>
        <v>0</v>
      </c>
      <c r="BD153" s="2942">
        <f t="shared" si="73"/>
        <v>0</v>
      </c>
      <c r="BE153" s="2942">
        <f t="shared" si="74"/>
        <v>0</v>
      </c>
      <c r="BF153" s="2942">
        <f t="shared" si="75"/>
        <v>0</v>
      </c>
      <c r="BG153" s="2942">
        <f t="shared" si="76"/>
        <v>0</v>
      </c>
      <c r="BH153" s="2942">
        <f t="shared" si="77"/>
        <v>0</v>
      </c>
      <c r="BI153" s="2942">
        <f t="shared" si="78"/>
        <v>0</v>
      </c>
      <c r="BJ153" s="2942">
        <f t="shared" si="79"/>
        <v>0</v>
      </c>
      <c r="BK153" s="2942">
        <f t="shared" si="80"/>
        <v>0</v>
      </c>
      <c r="BL153" s="2942">
        <f t="shared" si="81"/>
        <v>0</v>
      </c>
      <c r="BM153" s="2942">
        <f t="shared" si="82"/>
        <v>0</v>
      </c>
      <c r="BN153" s="2942">
        <f t="shared" si="83"/>
        <v>0</v>
      </c>
      <c r="BO153" s="2942">
        <f t="shared" si="84"/>
        <v>0</v>
      </c>
      <c r="BP153" s="2942">
        <f t="shared" si="85"/>
        <v>0</v>
      </c>
      <c r="BQ153" s="2942">
        <f t="shared" si="86"/>
        <v>0</v>
      </c>
      <c r="BR153" s="2942">
        <f t="shared" si="87"/>
        <v>0</v>
      </c>
      <c r="BS153" s="2942">
        <f t="shared" si="88"/>
        <v>0</v>
      </c>
      <c r="BT153" s="2994">
        <f t="shared" si="89"/>
        <v>0</v>
      </c>
    </row>
    <row r="154" spans="1:72">
      <c r="A154" s="2939"/>
      <c r="B154" s="2940"/>
      <c r="C154" s="2940"/>
      <c r="D154" s="2941"/>
      <c r="E154" s="2942">
        <f t="shared" si="90"/>
        <v>0</v>
      </c>
      <c r="F154" s="2943"/>
      <c r="G154" s="2944">
        <f t="shared" si="65"/>
        <v>0</v>
      </c>
      <c r="H154" s="2945">
        <f t="shared" si="66"/>
        <v>0</v>
      </c>
      <c r="I154" s="2952"/>
      <c r="J154" s="2952"/>
      <c r="K154" s="2952"/>
      <c r="L154" s="2952"/>
      <c r="M154" s="2952"/>
      <c r="N154" s="2952"/>
      <c r="O154" s="2952"/>
      <c r="P154" s="2952"/>
      <c r="Q154" s="2952"/>
      <c r="R154" s="2952"/>
      <c r="S154" s="2952"/>
      <c r="T154" s="2952"/>
      <c r="U154" s="2952"/>
      <c r="V154" s="2952"/>
      <c r="W154" s="2952"/>
      <c r="X154" s="2952"/>
      <c r="Y154" s="2952"/>
      <c r="Z154" s="2952"/>
      <c r="AA154" s="2952"/>
      <c r="AB154" s="2952"/>
      <c r="AC154" s="2942">
        <f t="shared" si="67"/>
        <v>0</v>
      </c>
      <c r="AD154" s="2962"/>
      <c r="AE154" s="2962"/>
      <c r="AF154" s="2962"/>
      <c r="AG154" s="2962"/>
      <c r="AH154" s="2962"/>
      <c r="AI154" s="2962"/>
      <c r="AJ154" s="2962"/>
      <c r="AK154" s="2962"/>
      <c r="AL154" s="2962"/>
      <c r="AM154" s="2962"/>
      <c r="AN154" s="2962"/>
      <c r="AO154" s="2962"/>
      <c r="AP154" s="2962"/>
      <c r="AQ154" s="2962"/>
      <c r="AR154" s="2962"/>
      <c r="AS154" s="2962"/>
      <c r="AT154" s="2972"/>
      <c r="AU154" s="2973"/>
      <c r="AV154" s="1120">
        <f t="shared" si="91"/>
        <v>0</v>
      </c>
      <c r="AW154" s="1120">
        <f t="shared" si="92"/>
        <v>0</v>
      </c>
      <c r="AX154" s="1120">
        <f t="shared" si="93"/>
        <v>0</v>
      </c>
      <c r="AY154" s="2987">
        <f t="shared" si="68"/>
        <v>0</v>
      </c>
      <c r="AZ154" s="2942">
        <f t="shared" si="69"/>
        <v>0</v>
      </c>
      <c r="BA154" s="2942">
        <f t="shared" si="70"/>
        <v>0</v>
      </c>
      <c r="BB154" s="2942">
        <f t="shared" si="71"/>
        <v>0</v>
      </c>
      <c r="BC154" s="2942">
        <f t="shared" si="72"/>
        <v>0</v>
      </c>
      <c r="BD154" s="2942">
        <f t="shared" si="73"/>
        <v>0</v>
      </c>
      <c r="BE154" s="2942">
        <f t="shared" si="74"/>
        <v>0</v>
      </c>
      <c r="BF154" s="2942">
        <f t="shared" si="75"/>
        <v>0</v>
      </c>
      <c r="BG154" s="2942">
        <f t="shared" si="76"/>
        <v>0</v>
      </c>
      <c r="BH154" s="2942">
        <f t="shared" si="77"/>
        <v>0</v>
      </c>
      <c r="BI154" s="2942">
        <f t="shared" si="78"/>
        <v>0</v>
      </c>
      <c r="BJ154" s="2942">
        <f t="shared" si="79"/>
        <v>0</v>
      </c>
      <c r="BK154" s="2942">
        <f t="shared" si="80"/>
        <v>0</v>
      </c>
      <c r="BL154" s="2942">
        <f t="shared" si="81"/>
        <v>0</v>
      </c>
      <c r="BM154" s="2942">
        <f t="shared" si="82"/>
        <v>0</v>
      </c>
      <c r="BN154" s="2942">
        <f t="shared" si="83"/>
        <v>0</v>
      </c>
      <c r="BO154" s="2942">
        <f t="shared" si="84"/>
        <v>0</v>
      </c>
      <c r="BP154" s="2942">
        <f t="shared" si="85"/>
        <v>0</v>
      </c>
      <c r="BQ154" s="2942">
        <f t="shared" si="86"/>
        <v>0</v>
      </c>
      <c r="BR154" s="2942">
        <f t="shared" si="87"/>
        <v>0</v>
      </c>
      <c r="BS154" s="2942">
        <f t="shared" si="88"/>
        <v>0</v>
      </c>
      <c r="BT154" s="2994">
        <f t="shared" si="89"/>
        <v>0</v>
      </c>
    </row>
    <row r="155" spans="1:72">
      <c r="A155" s="2939"/>
      <c r="B155" s="2940"/>
      <c r="C155" s="2940"/>
      <c r="D155" s="2941"/>
      <c r="E155" s="2942">
        <f t="shared" si="90"/>
        <v>0</v>
      </c>
      <c r="F155" s="2943"/>
      <c r="G155" s="2944">
        <f t="shared" si="65"/>
        <v>0</v>
      </c>
      <c r="H155" s="2945">
        <f t="shared" si="66"/>
        <v>0</v>
      </c>
      <c r="I155" s="2952"/>
      <c r="J155" s="2952"/>
      <c r="K155" s="2952"/>
      <c r="L155" s="2952"/>
      <c r="M155" s="2952"/>
      <c r="N155" s="2952"/>
      <c r="O155" s="2952"/>
      <c r="P155" s="2952"/>
      <c r="Q155" s="2952"/>
      <c r="R155" s="2952"/>
      <c r="S155" s="2952"/>
      <c r="T155" s="2952"/>
      <c r="U155" s="2952"/>
      <c r="V155" s="2952"/>
      <c r="W155" s="2952"/>
      <c r="X155" s="2952"/>
      <c r="Y155" s="2952"/>
      <c r="Z155" s="2952"/>
      <c r="AA155" s="2952"/>
      <c r="AB155" s="2952"/>
      <c r="AC155" s="2942">
        <f t="shared" si="67"/>
        <v>0</v>
      </c>
      <c r="AD155" s="2962"/>
      <c r="AE155" s="2962"/>
      <c r="AF155" s="2962"/>
      <c r="AG155" s="2962"/>
      <c r="AH155" s="2962"/>
      <c r="AI155" s="2962"/>
      <c r="AJ155" s="2962"/>
      <c r="AK155" s="2962"/>
      <c r="AL155" s="2962"/>
      <c r="AM155" s="2962"/>
      <c r="AN155" s="2962"/>
      <c r="AO155" s="2962"/>
      <c r="AP155" s="2962"/>
      <c r="AQ155" s="2962"/>
      <c r="AR155" s="2962"/>
      <c r="AS155" s="2962"/>
      <c r="AT155" s="2972"/>
      <c r="AU155" s="2973"/>
      <c r="AV155" s="1120">
        <f t="shared" si="91"/>
        <v>0</v>
      </c>
      <c r="AW155" s="1120">
        <f t="shared" si="92"/>
        <v>0</v>
      </c>
      <c r="AX155" s="1120">
        <f t="shared" si="93"/>
        <v>0</v>
      </c>
      <c r="AY155" s="2987">
        <f t="shared" si="68"/>
        <v>0</v>
      </c>
      <c r="AZ155" s="2942">
        <f t="shared" si="69"/>
        <v>0</v>
      </c>
      <c r="BA155" s="2942">
        <f t="shared" si="70"/>
        <v>0</v>
      </c>
      <c r="BB155" s="2942">
        <f t="shared" si="71"/>
        <v>0</v>
      </c>
      <c r="BC155" s="2942">
        <f t="shared" si="72"/>
        <v>0</v>
      </c>
      <c r="BD155" s="2942">
        <f t="shared" si="73"/>
        <v>0</v>
      </c>
      <c r="BE155" s="2942">
        <f t="shared" si="74"/>
        <v>0</v>
      </c>
      <c r="BF155" s="2942">
        <f t="shared" si="75"/>
        <v>0</v>
      </c>
      <c r="BG155" s="2942">
        <f t="shared" si="76"/>
        <v>0</v>
      </c>
      <c r="BH155" s="2942">
        <f t="shared" si="77"/>
        <v>0</v>
      </c>
      <c r="BI155" s="2942">
        <f t="shared" si="78"/>
        <v>0</v>
      </c>
      <c r="BJ155" s="2942">
        <f t="shared" si="79"/>
        <v>0</v>
      </c>
      <c r="BK155" s="2942">
        <f t="shared" si="80"/>
        <v>0</v>
      </c>
      <c r="BL155" s="2942">
        <f t="shared" si="81"/>
        <v>0</v>
      </c>
      <c r="BM155" s="2942">
        <f t="shared" si="82"/>
        <v>0</v>
      </c>
      <c r="BN155" s="2942">
        <f t="shared" si="83"/>
        <v>0</v>
      </c>
      <c r="BO155" s="2942">
        <f t="shared" si="84"/>
        <v>0</v>
      </c>
      <c r="BP155" s="2942">
        <f t="shared" si="85"/>
        <v>0</v>
      </c>
      <c r="BQ155" s="2942">
        <f t="shared" si="86"/>
        <v>0</v>
      </c>
      <c r="BR155" s="2942">
        <f t="shared" si="87"/>
        <v>0</v>
      </c>
      <c r="BS155" s="2942">
        <f t="shared" si="88"/>
        <v>0</v>
      </c>
      <c r="BT155" s="2994">
        <f t="shared" si="89"/>
        <v>0</v>
      </c>
    </row>
    <row r="156" spans="1:72">
      <c r="A156" s="2939"/>
      <c r="B156" s="2940"/>
      <c r="C156" s="2940"/>
      <c r="D156" s="2941"/>
      <c r="E156" s="2942">
        <f t="shared" si="90"/>
        <v>0</v>
      </c>
      <c r="F156" s="2943"/>
      <c r="G156" s="2944">
        <f t="shared" si="65"/>
        <v>0</v>
      </c>
      <c r="H156" s="2945">
        <f t="shared" si="66"/>
        <v>0</v>
      </c>
      <c r="I156" s="2952"/>
      <c r="J156" s="2952"/>
      <c r="K156" s="2952"/>
      <c r="L156" s="2952"/>
      <c r="M156" s="2952"/>
      <c r="N156" s="2952"/>
      <c r="O156" s="2952"/>
      <c r="P156" s="2952"/>
      <c r="Q156" s="2952"/>
      <c r="R156" s="2952"/>
      <c r="S156" s="2952"/>
      <c r="T156" s="2952"/>
      <c r="U156" s="2952"/>
      <c r="V156" s="2952"/>
      <c r="W156" s="2952"/>
      <c r="X156" s="2952"/>
      <c r="Y156" s="2952"/>
      <c r="Z156" s="2952"/>
      <c r="AA156" s="2952"/>
      <c r="AB156" s="2952"/>
      <c r="AC156" s="2942">
        <f t="shared" si="67"/>
        <v>0</v>
      </c>
      <c r="AD156" s="2962"/>
      <c r="AE156" s="2962"/>
      <c r="AF156" s="2962"/>
      <c r="AG156" s="2962"/>
      <c r="AH156" s="2962"/>
      <c r="AI156" s="2962"/>
      <c r="AJ156" s="2962"/>
      <c r="AK156" s="2962"/>
      <c r="AL156" s="2962"/>
      <c r="AM156" s="2962"/>
      <c r="AN156" s="2962"/>
      <c r="AO156" s="2962"/>
      <c r="AP156" s="2962"/>
      <c r="AQ156" s="2962"/>
      <c r="AR156" s="2962"/>
      <c r="AS156" s="2962"/>
      <c r="AT156" s="2972"/>
      <c r="AU156" s="2973"/>
      <c r="AV156" s="1120">
        <f t="shared" si="91"/>
        <v>0</v>
      </c>
      <c r="AW156" s="1120">
        <f t="shared" si="92"/>
        <v>0</v>
      </c>
      <c r="AX156" s="1120">
        <f t="shared" si="93"/>
        <v>0</v>
      </c>
      <c r="AY156" s="2987">
        <f t="shared" si="68"/>
        <v>0</v>
      </c>
      <c r="AZ156" s="2942">
        <f t="shared" si="69"/>
        <v>0</v>
      </c>
      <c r="BA156" s="2942">
        <f t="shared" si="70"/>
        <v>0</v>
      </c>
      <c r="BB156" s="2942">
        <f t="shared" si="71"/>
        <v>0</v>
      </c>
      <c r="BC156" s="2942">
        <f t="shared" si="72"/>
        <v>0</v>
      </c>
      <c r="BD156" s="2942">
        <f t="shared" si="73"/>
        <v>0</v>
      </c>
      <c r="BE156" s="2942">
        <f t="shared" si="74"/>
        <v>0</v>
      </c>
      <c r="BF156" s="2942">
        <f t="shared" si="75"/>
        <v>0</v>
      </c>
      <c r="BG156" s="2942">
        <f t="shared" si="76"/>
        <v>0</v>
      </c>
      <c r="BH156" s="2942">
        <f t="shared" si="77"/>
        <v>0</v>
      </c>
      <c r="BI156" s="2942">
        <f t="shared" si="78"/>
        <v>0</v>
      </c>
      <c r="BJ156" s="2942">
        <f t="shared" si="79"/>
        <v>0</v>
      </c>
      <c r="BK156" s="2942">
        <f t="shared" si="80"/>
        <v>0</v>
      </c>
      <c r="BL156" s="2942">
        <f t="shared" si="81"/>
        <v>0</v>
      </c>
      <c r="BM156" s="2942">
        <f t="shared" si="82"/>
        <v>0</v>
      </c>
      <c r="BN156" s="2942">
        <f t="shared" si="83"/>
        <v>0</v>
      </c>
      <c r="BO156" s="2942">
        <f t="shared" si="84"/>
        <v>0</v>
      </c>
      <c r="BP156" s="2942">
        <f t="shared" si="85"/>
        <v>0</v>
      </c>
      <c r="BQ156" s="2942">
        <f t="shared" si="86"/>
        <v>0</v>
      </c>
      <c r="BR156" s="2942">
        <f t="shared" si="87"/>
        <v>0</v>
      </c>
      <c r="BS156" s="2942">
        <f t="shared" si="88"/>
        <v>0</v>
      </c>
      <c r="BT156" s="2994">
        <f t="shared" si="89"/>
        <v>0</v>
      </c>
    </row>
    <row r="157" spans="1:72">
      <c r="A157" s="2939"/>
      <c r="B157" s="2940"/>
      <c r="C157" s="2940"/>
      <c r="D157" s="2941"/>
      <c r="E157" s="2942">
        <f t="shared" si="90"/>
        <v>0</v>
      </c>
      <c r="F157" s="2943"/>
      <c r="G157" s="2944">
        <f t="shared" si="65"/>
        <v>0</v>
      </c>
      <c r="H157" s="2945">
        <f t="shared" si="66"/>
        <v>0</v>
      </c>
      <c r="I157" s="2952"/>
      <c r="J157" s="2952"/>
      <c r="K157" s="2952"/>
      <c r="L157" s="2952"/>
      <c r="M157" s="2952"/>
      <c r="N157" s="2952"/>
      <c r="O157" s="2952"/>
      <c r="P157" s="2952"/>
      <c r="Q157" s="2952"/>
      <c r="R157" s="2952"/>
      <c r="S157" s="2952"/>
      <c r="T157" s="2952"/>
      <c r="U157" s="2952"/>
      <c r="V157" s="2952"/>
      <c r="W157" s="2952"/>
      <c r="X157" s="2952"/>
      <c r="Y157" s="2952"/>
      <c r="Z157" s="2952"/>
      <c r="AA157" s="2952"/>
      <c r="AB157" s="2952"/>
      <c r="AC157" s="2942">
        <f t="shared" si="67"/>
        <v>0</v>
      </c>
      <c r="AD157" s="2962"/>
      <c r="AE157" s="2962"/>
      <c r="AF157" s="2962"/>
      <c r="AG157" s="2962"/>
      <c r="AH157" s="2962"/>
      <c r="AI157" s="2962"/>
      <c r="AJ157" s="2962"/>
      <c r="AK157" s="2962"/>
      <c r="AL157" s="2962"/>
      <c r="AM157" s="2962"/>
      <c r="AN157" s="2962"/>
      <c r="AO157" s="2962"/>
      <c r="AP157" s="2962"/>
      <c r="AQ157" s="2962"/>
      <c r="AR157" s="2962"/>
      <c r="AS157" s="2962"/>
      <c r="AT157" s="2972"/>
      <c r="AU157" s="2973"/>
      <c r="AV157" s="1120">
        <f t="shared" si="91"/>
        <v>0</v>
      </c>
      <c r="AW157" s="1120">
        <f t="shared" si="92"/>
        <v>0</v>
      </c>
      <c r="AX157" s="1120">
        <f t="shared" si="93"/>
        <v>0</v>
      </c>
      <c r="AY157" s="2987">
        <f t="shared" si="68"/>
        <v>0</v>
      </c>
      <c r="AZ157" s="2942">
        <f t="shared" si="69"/>
        <v>0</v>
      </c>
      <c r="BA157" s="2942">
        <f t="shared" si="70"/>
        <v>0</v>
      </c>
      <c r="BB157" s="2942">
        <f t="shared" si="71"/>
        <v>0</v>
      </c>
      <c r="BC157" s="2942">
        <f t="shared" si="72"/>
        <v>0</v>
      </c>
      <c r="BD157" s="2942">
        <f t="shared" si="73"/>
        <v>0</v>
      </c>
      <c r="BE157" s="2942">
        <f t="shared" si="74"/>
        <v>0</v>
      </c>
      <c r="BF157" s="2942">
        <f t="shared" si="75"/>
        <v>0</v>
      </c>
      <c r="BG157" s="2942">
        <f t="shared" si="76"/>
        <v>0</v>
      </c>
      <c r="BH157" s="2942">
        <f t="shared" si="77"/>
        <v>0</v>
      </c>
      <c r="BI157" s="2942">
        <f t="shared" si="78"/>
        <v>0</v>
      </c>
      <c r="BJ157" s="2942">
        <f t="shared" si="79"/>
        <v>0</v>
      </c>
      <c r="BK157" s="2942">
        <f t="shared" si="80"/>
        <v>0</v>
      </c>
      <c r="BL157" s="2942">
        <f t="shared" si="81"/>
        <v>0</v>
      </c>
      <c r="BM157" s="2942">
        <f t="shared" si="82"/>
        <v>0</v>
      </c>
      <c r="BN157" s="2942">
        <f t="shared" si="83"/>
        <v>0</v>
      </c>
      <c r="BO157" s="2942">
        <f t="shared" si="84"/>
        <v>0</v>
      </c>
      <c r="BP157" s="2942">
        <f t="shared" si="85"/>
        <v>0</v>
      </c>
      <c r="BQ157" s="2942">
        <f t="shared" si="86"/>
        <v>0</v>
      </c>
      <c r="BR157" s="2942">
        <f t="shared" si="87"/>
        <v>0</v>
      </c>
      <c r="BS157" s="2942">
        <f t="shared" si="88"/>
        <v>0</v>
      </c>
      <c r="BT157" s="2994">
        <f t="shared" si="89"/>
        <v>0</v>
      </c>
    </row>
    <row r="158" spans="1:72">
      <c r="A158" s="2939"/>
      <c r="B158" s="2940"/>
      <c r="C158" s="2940"/>
      <c r="D158" s="2941"/>
      <c r="E158" s="2942">
        <f t="shared" si="90"/>
        <v>0</v>
      </c>
      <c r="F158" s="2943"/>
      <c r="G158" s="2944">
        <f t="shared" si="65"/>
        <v>0</v>
      </c>
      <c r="H158" s="2945">
        <f t="shared" si="66"/>
        <v>0</v>
      </c>
      <c r="I158" s="2952"/>
      <c r="J158" s="2952"/>
      <c r="K158" s="2952"/>
      <c r="L158" s="2952"/>
      <c r="M158" s="2952"/>
      <c r="N158" s="2952"/>
      <c r="O158" s="2952"/>
      <c r="P158" s="2952"/>
      <c r="Q158" s="2952"/>
      <c r="R158" s="2952"/>
      <c r="S158" s="2952"/>
      <c r="T158" s="2952"/>
      <c r="U158" s="2952"/>
      <c r="V158" s="2952"/>
      <c r="W158" s="2952"/>
      <c r="X158" s="2952"/>
      <c r="Y158" s="2952"/>
      <c r="Z158" s="2952"/>
      <c r="AA158" s="2952"/>
      <c r="AB158" s="2952"/>
      <c r="AC158" s="2942">
        <f t="shared" si="67"/>
        <v>0</v>
      </c>
      <c r="AD158" s="2962"/>
      <c r="AE158" s="2962"/>
      <c r="AF158" s="2962"/>
      <c r="AG158" s="2962"/>
      <c r="AH158" s="2962"/>
      <c r="AI158" s="2962"/>
      <c r="AJ158" s="2962"/>
      <c r="AK158" s="2962"/>
      <c r="AL158" s="2962"/>
      <c r="AM158" s="2962"/>
      <c r="AN158" s="2962"/>
      <c r="AO158" s="2962"/>
      <c r="AP158" s="2962"/>
      <c r="AQ158" s="2962"/>
      <c r="AR158" s="2962"/>
      <c r="AS158" s="2962"/>
      <c r="AT158" s="2972"/>
      <c r="AU158" s="2973"/>
      <c r="AV158" s="1120">
        <f t="shared" si="91"/>
        <v>0</v>
      </c>
      <c r="AW158" s="1120">
        <f t="shared" si="92"/>
        <v>0</v>
      </c>
      <c r="AX158" s="1120">
        <f t="shared" si="93"/>
        <v>0</v>
      </c>
      <c r="AY158" s="2987">
        <f t="shared" si="68"/>
        <v>0</v>
      </c>
      <c r="AZ158" s="2942">
        <f t="shared" si="69"/>
        <v>0</v>
      </c>
      <c r="BA158" s="2942">
        <f t="shared" si="70"/>
        <v>0</v>
      </c>
      <c r="BB158" s="2942">
        <f t="shared" si="71"/>
        <v>0</v>
      </c>
      <c r="BC158" s="2942">
        <f t="shared" si="72"/>
        <v>0</v>
      </c>
      <c r="BD158" s="2942">
        <f t="shared" si="73"/>
        <v>0</v>
      </c>
      <c r="BE158" s="2942">
        <f t="shared" si="74"/>
        <v>0</v>
      </c>
      <c r="BF158" s="2942">
        <f t="shared" si="75"/>
        <v>0</v>
      </c>
      <c r="BG158" s="2942">
        <f t="shared" si="76"/>
        <v>0</v>
      </c>
      <c r="BH158" s="2942">
        <f t="shared" si="77"/>
        <v>0</v>
      </c>
      <c r="BI158" s="2942">
        <f t="shared" si="78"/>
        <v>0</v>
      </c>
      <c r="BJ158" s="2942">
        <f t="shared" si="79"/>
        <v>0</v>
      </c>
      <c r="BK158" s="2942">
        <f t="shared" si="80"/>
        <v>0</v>
      </c>
      <c r="BL158" s="2942">
        <f t="shared" si="81"/>
        <v>0</v>
      </c>
      <c r="BM158" s="2942">
        <f t="shared" si="82"/>
        <v>0</v>
      </c>
      <c r="BN158" s="2942">
        <f t="shared" si="83"/>
        <v>0</v>
      </c>
      <c r="BO158" s="2942">
        <f t="shared" si="84"/>
        <v>0</v>
      </c>
      <c r="BP158" s="2942">
        <f t="shared" si="85"/>
        <v>0</v>
      </c>
      <c r="BQ158" s="2942">
        <f t="shared" si="86"/>
        <v>0</v>
      </c>
      <c r="BR158" s="2942">
        <f t="shared" si="87"/>
        <v>0</v>
      </c>
      <c r="BS158" s="2942">
        <f t="shared" si="88"/>
        <v>0</v>
      </c>
      <c r="BT158" s="2994">
        <f t="shared" si="89"/>
        <v>0</v>
      </c>
    </row>
    <row r="159" spans="1:72">
      <c r="A159" s="2939"/>
      <c r="B159" s="2940"/>
      <c r="C159" s="2940"/>
      <c r="D159" s="2941"/>
      <c r="E159" s="2942">
        <f t="shared" si="90"/>
        <v>0</v>
      </c>
      <c r="F159" s="2943"/>
      <c r="G159" s="2944">
        <f t="shared" si="65"/>
        <v>0</v>
      </c>
      <c r="H159" s="2945">
        <f t="shared" si="66"/>
        <v>0</v>
      </c>
      <c r="I159" s="2952"/>
      <c r="J159" s="2952"/>
      <c r="K159" s="2952"/>
      <c r="L159" s="2952"/>
      <c r="M159" s="2952"/>
      <c r="N159" s="2952"/>
      <c r="O159" s="2952"/>
      <c r="P159" s="2952"/>
      <c r="Q159" s="2952"/>
      <c r="R159" s="2952"/>
      <c r="S159" s="2952"/>
      <c r="T159" s="2952"/>
      <c r="U159" s="2952"/>
      <c r="V159" s="2952"/>
      <c r="W159" s="2952"/>
      <c r="X159" s="2952"/>
      <c r="Y159" s="2952"/>
      <c r="Z159" s="2952"/>
      <c r="AA159" s="2952"/>
      <c r="AB159" s="2952"/>
      <c r="AC159" s="2942">
        <f t="shared" si="67"/>
        <v>0</v>
      </c>
      <c r="AD159" s="2962"/>
      <c r="AE159" s="2962"/>
      <c r="AF159" s="2962"/>
      <c r="AG159" s="2962"/>
      <c r="AH159" s="2962"/>
      <c r="AI159" s="2962"/>
      <c r="AJ159" s="2962"/>
      <c r="AK159" s="2962"/>
      <c r="AL159" s="2962"/>
      <c r="AM159" s="2962"/>
      <c r="AN159" s="2962"/>
      <c r="AO159" s="2962"/>
      <c r="AP159" s="2962"/>
      <c r="AQ159" s="2962"/>
      <c r="AR159" s="2962"/>
      <c r="AS159" s="2962"/>
      <c r="AT159" s="2972"/>
      <c r="AU159" s="2973"/>
      <c r="AV159" s="1120">
        <f t="shared" si="91"/>
        <v>0</v>
      </c>
      <c r="AW159" s="1120">
        <f t="shared" si="92"/>
        <v>0</v>
      </c>
      <c r="AX159" s="1120">
        <f t="shared" si="93"/>
        <v>0</v>
      </c>
      <c r="AY159" s="2987">
        <f t="shared" si="68"/>
        <v>0</v>
      </c>
      <c r="AZ159" s="2942">
        <f t="shared" si="69"/>
        <v>0</v>
      </c>
      <c r="BA159" s="2942">
        <f t="shared" si="70"/>
        <v>0</v>
      </c>
      <c r="BB159" s="2942">
        <f t="shared" si="71"/>
        <v>0</v>
      </c>
      <c r="BC159" s="2942">
        <f t="shared" si="72"/>
        <v>0</v>
      </c>
      <c r="BD159" s="2942">
        <f t="shared" si="73"/>
        <v>0</v>
      </c>
      <c r="BE159" s="2942">
        <f t="shared" si="74"/>
        <v>0</v>
      </c>
      <c r="BF159" s="2942">
        <f t="shared" si="75"/>
        <v>0</v>
      </c>
      <c r="BG159" s="2942">
        <f t="shared" si="76"/>
        <v>0</v>
      </c>
      <c r="BH159" s="2942">
        <f t="shared" si="77"/>
        <v>0</v>
      </c>
      <c r="BI159" s="2942">
        <f t="shared" si="78"/>
        <v>0</v>
      </c>
      <c r="BJ159" s="2942">
        <f t="shared" si="79"/>
        <v>0</v>
      </c>
      <c r="BK159" s="2942">
        <f t="shared" si="80"/>
        <v>0</v>
      </c>
      <c r="BL159" s="2942">
        <f t="shared" si="81"/>
        <v>0</v>
      </c>
      <c r="BM159" s="2942">
        <f t="shared" si="82"/>
        <v>0</v>
      </c>
      <c r="BN159" s="2942">
        <f t="shared" si="83"/>
        <v>0</v>
      </c>
      <c r="BO159" s="2942">
        <f t="shared" si="84"/>
        <v>0</v>
      </c>
      <c r="BP159" s="2942">
        <f t="shared" si="85"/>
        <v>0</v>
      </c>
      <c r="BQ159" s="2942">
        <f t="shared" si="86"/>
        <v>0</v>
      </c>
      <c r="BR159" s="2942">
        <f t="shared" si="87"/>
        <v>0</v>
      </c>
      <c r="BS159" s="2942">
        <f t="shared" si="88"/>
        <v>0</v>
      </c>
      <c r="BT159" s="2994">
        <f t="shared" si="89"/>
        <v>0</v>
      </c>
    </row>
    <row r="160" spans="1:72">
      <c r="A160" s="2939"/>
      <c r="B160" s="2940"/>
      <c r="C160" s="2940"/>
      <c r="D160" s="2941"/>
      <c r="E160" s="2942">
        <f t="shared" si="90"/>
        <v>0</v>
      </c>
      <c r="F160" s="2943"/>
      <c r="G160" s="2944">
        <f t="shared" si="65"/>
        <v>0</v>
      </c>
      <c r="H160" s="2945">
        <f t="shared" si="66"/>
        <v>0</v>
      </c>
      <c r="I160" s="2952"/>
      <c r="J160" s="2952"/>
      <c r="K160" s="2952"/>
      <c r="L160" s="2952"/>
      <c r="M160" s="2952"/>
      <c r="N160" s="2952"/>
      <c r="O160" s="2952"/>
      <c r="P160" s="2952"/>
      <c r="Q160" s="2952"/>
      <c r="R160" s="2952"/>
      <c r="S160" s="2952"/>
      <c r="T160" s="2952"/>
      <c r="U160" s="2952"/>
      <c r="V160" s="2952"/>
      <c r="W160" s="2952"/>
      <c r="X160" s="2952"/>
      <c r="Y160" s="2952"/>
      <c r="Z160" s="2952"/>
      <c r="AA160" s="2952"/>
      <c r="AB160" s="2952"/>
      <c r="AC160" s="2942">
        <f t="shared" si="67"/>
        <v>0</v>
      </c>
      <c r="AD160" s="2962"/>
      <c r="AE160" s="2962"/>
      <c r="AF160" s="2962"/>
      <c r="AG160" s="2962"/>
      <c r="AH160" s="2962"/>
      <c r="AI160" s="2962"/>
      <c r="AJ160" s="2962"/>
      <c r="AK160" s="2962"/>
      <c r="AL160" s="2962"/>
      <c r="AM160" s="2962"/>
      <c r="AN160" s="2962"/>
      <c r="AO160" s="2962"/>
      <c r="AP160" s="2962"/>
      <c r="AQ160" s="2962"/>
      <c r="AR160" s="2962"/>
      <c r="AS160" s="2962"/>
      <c r="AT160" s="2972"/>
      <c r="AU160" s="2973"/>
      <c r="AV160" s="1120">
        <f t="shared" si="91"/>
        <v>0</v>
      </c>
      <c r="AW160" s="1120">
        <f t="shared" si="92"/>
        <v>0</v>
      </c>
      <c r="AX160" s="1120">
        <f t="shared" si="93"/>
        <v>0</v>
      </c>
      <c r="AY160" s="2987">
        <f t="shared" si="68"/>
        <v>0</v>
      </c>
      <c r="AZ160" s="2942">
        <f t="shared" si="69"/>
        <v>0</v>
      </c>
      <c r="BA160" s="2942">
        <f t="shared" si="70"/>
        <v>0</v>
      </c>
      <c r="BB160" s="2942">
        <f t="shared" si="71"/>
        <v>0</v>
      </c>
      <c r="BC160" s="2942">
        <f t="shared" si="72"/>
        <v>0</v>
      </c>
      <c r="BD160" s="2942">
        <f t="shared" si="73"/>
        <v>0</v>
      </c>
      <c r="BE160" s="2942">
        <f t="shared" si="74"/>
        <v>0</v>
      </c>
      <c r="BF160" s="2942">
        <f t="shared" si="75"/>
        <v>0</v>
      </c>
      <c r="BG160" s="2942">
        <f t="shared" si="76"/>
        <v>0</v>
      </c>
      <c r="BH160" s="2942">
        <f t="shared" si="77"/>
        <v>0</v>
      </c>
      <c r="BI160" s="2942">
        <f t="shared" si="78"/>
        <v>0</v>
      </c>
      <c r="BJ160" s="2942">
        <f t="shared" si="79"/>
        <v>0</v>
      </c>
      <c r="BK160" s="2942">
        <f t="shared" si="80"/>
        <v>0</v>
      </c>
      <c r="BL160" s="2942">
        <f t="shared" si="81"/>
        <v>0</v>
      </c>
      <c r="BM160" s="2942">
        <f t="shared" si="82"/>
        <v>0</v>
      </c>
      <c r="BN160" s="2942">
        <f t="shared" si="83"/>
        <v>0</v>
      </c>
      <c r="BO160" s="2942">
        <f t="shared" si="84"/>
        <v>0</v>
      </c>
      <c r="BP160" s="2942">
        <f t="shared" si="85"/>
        <v>0</v>
      </c>
      <c r="BQ160" s="2942">
        <f t="shared" si="86"/>
        <v>0</v>
      </c>
      <c r="BR160" s="2942">
        <f t="shared" si="87"/>
        <v>0</v>
      </c>
      <c r="BS160" s="2942">
        <f t="shared" si="88"/>
        <v>0</v>
      </c>
      <c r="BT160" s="2994">
        <f t="shared" si="89"/>
        <v>0</v>
      </c>
    </row>
    <row r="161" spans="1:72">
      <c r="A161" s="2939"/>
      <c r="B161" s="2940"/>
      <c r="C161" s="2940"/>
      <c r="D161" s="2941"/>
      <c r="E161" s="2942">
        <f t="shared" si="90"/>
        <v>0</v>
      </c>
      <c r="F161" s="2943"/>
      <c r="G161" s="2944">
        <f t="shared" si="65"/>
        <v>0</v>
      </c>
      <c r="H161" s="2945">
        <f t="shared" si="66"/>
        <v>0</v>
      </c>
      <c r="I161" s="2952"/>
      <c r="J161" s="2952"/>
      <c r="K161" s="2952"/>
      <c r="L161" s="2952"/>
      <c r="M161" s="2952"/>
      <c r="N161" s="2952"/>
      <c r="O161" s="2952"/>
      <c r="P161" s="2952"/>
      <c r="Q161" s="2952"/>
      <c r="R161" s="2952"/>
      <c r="S161" s="2952"/>
      <c r="T161" s="2952"/>
      <c r="U161" s="2952"/>
      <c r="V161" s="2952"/>
      <c r="W161" s="2952"/>
      <c r="X161" s="2952"/>
      <c r="Y161" s="2952"/>
      <c r="Z161" s="2952"/>
      <c r="AA161" s="2952"/>
      <c r="AB161" s="2952"/>
      <c r="AC161" s="2942">
        <f t="shared" si="67"/>
        <v>0</v>
      </c>
      <c r="AD161" s="2962"/>
      <c r="AE161" s="2962"/>
      <c r="AF161" s="2962"/>
      <c r="AG161" s="2962"/>
      <c r="AH161" s="2962"/>
      <c r="AI161" s="2962"/>
      <c r="AJ161" s="2962"/>
      <c r="AK161" s="2962"/>
      <c r="AL161" s="2962"/>
      <c r="AM161" s="2962"/>
      <c r="AN161" s="2962"/>
      <c r="AO161" s="2962"/>
      <c r="AP161" s="2962"/>
      <c r="AQ161" s="2962"/>
      <c r="AR161" s="2962"/>
      <c r="AS161" s="2962"/>
      <c r="AT161" s="2972"/>
      <c r="AU161" s="2973"/>
      <c r="AV161" s="1120">
        <f t="shared" si="91"/>
        <v>0</v>
      </c>
      <c r="AW161" s="1120">
        <f t="shared" si="92"/>
        <v>0</v>
      </c>
      <c r="AX161" s="1120">
        <f t="shared" si="93"/>
        <v>0</v>
      </c>
      <c r="AY161" s="2987">
        <f t="shared" si="68"/>
        <v>0</v>
      </c>
      <c r="AZ161" s="2942">
        <f t="shared" si="69"/>
        <v>0</v>
      </c>
      <c r="BA161" s="2942">
        <f t="shared" si="70"/>
        <v>0</v>
      </c>
      <c r="BB161" s="2942">
        <f t="shared" si="71"/>
        <v>0</v>
      </c>
      <c r="BC161" s="2942">
        <f t="shared" si="72"/>
        <v>0</v>
      </c>
      <c r="BD161" s="2942">
        <f t="shared" si="73"/>
        <v>0</v>
      </c>
      <c r="BE161" s="2942">
        <f t="shared" si="74"/>
        <v>0</v>
      </c>
      <c r="BF161" s="2942">
        <f t="shared" si="75"/>
        <v>0</v>
      </c>
      <c r="BG161" s="2942">
        <f t="shared" si="76"/>
        <v>0</v>
      </c>
      <c r="BH161" s="2942">
        <f t="shared" si="77"/>
        <v>0</v>
      </c>
      <c r="BI161" s="2942">
        <f t="shared" si="78"/>
        <v>0</v>
      </c>
      <c r="BJ161" s="2942">
        <f t="shared" si="79"/>
        <v>0</v>
      </c>
      <c r="BK161" s="2942">
        <f t="shared" si="80"/>
        <v>0</v>
      </c>
      <c r="BL161" s="2942">
        <f t="shared" si="81"/>
        <v>0</v>
      </c>
      <c r="BM161" s="2942">
        <f t="shared" si="82"/>
        <v>0</v>
      </c>
      <c r="BN161" s="2942">
        <f t="shared" si="83"/>
        <v>0</v>
      </c>
      <c r="BO161" s="2942">
        <f t="shared" si="84"/>
        <v>0</v>
      </c>
      <c r="BP161" s="2942">
        <f t="shared" si="85"/>
        <v>0</v>
      </c>
      <c r="BQ161" s="2942">
        <f t="shared" si="86"/>
        <v>0</v>
      </c>
      <c r="BR161" s="2942">
        <f t="shared" si="87"/>
        <v>0</v>
      </c>
      <c r="BS161" s="2942">
        <f t="shared" si="88"/>
        <v>0</v>
      </c>
      <c r="BT161" s="2994">
        <f t="shared" si="89"/>
        <v>0</v>
      </c>
    </row>
    <row r="162" spans="1:72">
      <c r="A162" s="2939"/>
      <c r="B162" s="2940"/>
      <c r="C162" s="2940"/>
      <c r="D162" s="2941"/>
      <c r="E162" s="2942">
        <f t="shared" si="90"/>
        <v>0</v>
      </c>
      <c r="F162" s="2943"/>
      <c r="G162" s="2944">
        <f t="shared" si="65"/>
        <v>0</v>
      </c>
      <c r="H162" s="2945">
        <f t="shared" si="66"/>
        <v>0</v>
      </c>
      <c r="I162" s="2952"/>
      <c r="J162" s="2952"/>
      <c r="K162" s="2952"/>
      <c r="L162" s="2952"/>
      <c r="M162" s="2952"/>
      <c r="N162" s="2952"/>
      <c r="O162" s="2952"/>
      <c r="P162" s="2952"/>
      <c r="Q162" s="2952"/>
      <c r="R162" s="2952"/>
      <c r="S162" s="2952"/>
      <c r="T162" s="2952"/>
      <c r="U162" s="2952"/>
      <c r="V162" s="2952"/>
      <c r="W162" s="2952"/>
      <c r="X162" s="2952"/>
      <c r="Y162" s="2952"/>
      <c r="Z162" s="2952"/>
      <c r="AA162" s="2952"/>
      <c r="AB162" s="2952"/>
      <c r="AC162" s="2942">
        <f t="shared" si="67"/>
        <v>0</v>
      </c>
      <c r="AD162" s="2962"/>
      <c r="AE162" s="2962"/>
      <c r="AF162" s="2962"/>
      <c r="AG162" s="2962"/>
      <c r="AH162" s="2962"/>
      <c r="AI162" s="2962"/>
      <c r="AJ162" s="2962"/>
      <c r="AK162" s="2962"/>
      <c r="AL162" s="2962"/>
      <c r="AM162" s="2962"/>
      <c r="AN162" s="2962"/>
      <c r="AO162" s="2962"/>
      <c r="AP162" s="2962"/>
      <c r="AQ162" s="2962"/>
      <c r="AR162" s="2962"/>
      <c r="AS162" s="2962"/>
      <c r="AT162" s="2972"/>
      <c r="AU162" s="2973"/>
      <c r="AV162" s="1120">
        <f t="shared" si="91"/>
        <v>0</v>
      </c>
      <c r="AW162" s="1120">
        <f t="shared" si="92"/>
        <v>0</v>
      </c>
      <c r="AX162" s="1120">
        <f t="shared" si="93"/>
        <v>0</v>
      </c>
      <c r="AY162" s="2987">
        <f t="shared" si="68"/>
        <v>0</v>
      </c>
      <c r="AZ162" s="2942">
        <f t="shared" si="69"/>
        <v>0</v>
      </c>
      <c r="BA162" s="2942">
        <f t="shared" si="70"/>
        <v>0</v>
      </c>
      <c r="BB162" s="2942">
        <f t="shared" si="71"/>
        <v>0</v>
      </c>
      <c r="BC162" s="2942">
        <f t="shared" si="72"/>
        <v>0</v>
      </c>
      <c r="BD162" s="2942">
        <f t="shared" si="73"/>
        <v>0</v>
      </c>
      <c r="BE162" s="2942">
        <f t="shared" si="74"/>
        <v>0</v>
      </c>
      <c r="BF162" s="2942">
        <f t="shared" si="75"/>
        <v>0</v>
      </c>
      <c r="BG162" s="2942">
        <f t="shared" si="76"/>
        <v>0</v>
      </c>
      <c r="BH162" s="2942">
        <f t="shared" si="77"/>
        <v>0</v>
      </c>
      <c r="BI162" s="2942">
        <f t="shared" si="78"/>
        <v>0</v>
      </c>
      <c r="BJ162" s="2942">
        <f t="shared" si="79"/>
        <v>0</v>
      </c>
      <c r="BK162" s="2942">
        <f t="shared" si="80"/>
        <v>0</v>
      </c>
      <c r="BL162" s="2942">
        <f t="shared" si="81"/>
        <v>0</v>
      </c>
      <c r="BM162" s="2942">
        <f t="shared" si="82"/>
        <v>0</v>
      </c>
      <c r="BN162" s="2942">
        <f t="shared" si="83"/>
        <v>0</v>
      </c>
      <c r="BO162" s="2942">
        <f t="shared" si="84"/>
        <v>0</v>
      </c>
      <c r="BP162" s="2942">
        <f t="shared" si="85"/>
        <v>0</v>
      </c>
      <c r="BQ162" s="2942">
        <f t="shared" si="86"/>
        <v>0</v>
      </c>
      <c r="BR162" s="2942">
        <f t="shared" si="87"/>
        <v>0</v>
      </c>
      <c r="BS162" s="2942">
        <f t="shared" si="88"/>
        <v>0</v>
      </c>
      <c r="BT162" s="2994">
        <f t="shared" si="89"/>
        <v>0</v>
      </c>
    </row>
    <row r="163" spans="1:72">
      <c r="A163" s="2939"/>
      <c r="B163" s="2940"/>
      <c r="C163" s="2940"/>
      <c r="D163" s="2941"/>
      <c r="E163" s="2942">
        <f t="shared" si="90"/>
        <v>0</v>
      </c>
      <c r="F163" s="2943"/>
      <c r="G163" s="2944">
        <f t="shared" si="65"/>
        <v>0</v>
      </c>
      <c r="H163" s="2945">
        <f t="shared" si="66"/>
        <v>0</v>
      </c>
      <c r="I163" s="2952"/>
      <c r="J163" s="2952"/>
      <c r="K163" s="2952"/>
      <c r="L163" s="2952"/>
      <c r="M163" s="2952"/>
      <c r="N163" s="2952"/>
      <c r="O163" s="2952"/>
      <c r="P163" s="2952"/>
      <c r="Q163" s="2952"/>
      <c r="R163" s="2952"/>
      <c r="S163" s="2952"/>
      <c r="T163" s="2952"/>
      <c r="U163" s="2952"/>
      <c r="V163" s="2952"/>
      <c r="W163" s="2952"/>
      <c r="X163" s="2952"/>
      <c r="Y163" s="2952"/>
      <c r="Z163" s="2952"/>
      <c r="AA163" s="2952"/>
      <c r="AB163" s="2952"/>
      <c r="AC163" s="2942">
        <f t="shared" si="67"/>
        <v>0</v>
      </c>
      <c r="AD163" s="2962"/>
      <c r="AE163" s="2962"/>
      <c r="AF163" s="2962"/>
      <c r="AG163" s="2962"/>
      <c r="AH163" s="2962"/>
      <c r="AI163" s="2962"/>
      <c r="AJ163" s="2962"/>
      <c r="AK163" s="2962"/>
      <c r="AL163" s="2962"/>
      <c r="AM163" s="2962"/>
      <c r="AN163" s="2962"/>
      <c r="AO163" s="2962"/>
      <c r="AP163" s="2962"/>
      <c r="AQ163" s="2962"/>
      <c r="AR163" s="2962"/>
      <c r="AS163" s="2962"/>
      <c r="AT163" s="2972"/>
      <c r="AU163" s="2973"/>
      <c r="AV163" s="1120">
        <f t="shared" si="91"/>
        <v>0</v>
      </c>
      <c r="AW163" s="1120">
        <f t="shared" si="92"/>
        <v>0</v>
      </c>
      <c r="AX163" s="1120">
        <f t="shared" si="93"/>
        <v>0</v>
      </c>
      <c r="AY163" s="2987">
        <f t="shared" si="68"/>
        <v>0</v>
      </c>
      <c r="AZ163" s="2942">
        <f t="shared" si="69"/>
        <v>0</v>
      </c>
      <c r="BA163" s="2942">
        <f t="shared" si="70"/>
        <v>0</v>
      </c>
      <c r="BB163" s="2942">
        <f t="shared" si="71"/>
        <v>0</v>
      </c>
      <c r="BC163" s="2942">
        <f t="shared" si="72"/>
        <v>0</v>
      </c>
      <c r="BD163" s="2942">
        <f t="shared" si="73"/>
        <v>0</v>
      </c>
      <c r="BE163" s="2942">
        <f t="shared" si="74"/>
        <v>0</v>
      </c>
      <c r="BF163" s="2942">
        <f t="shared" si="75"/>
        <v>0</v>
      </c>
      <c r="BG163" s="2942">
        <f t="shared" si="76"/>
        <v>0</v>
      </c>
      <c r="BH163" s="2942">
        <f t="shared" si="77"/>
        <v>0</v>
      </c>
      <c r="BI163" s="2942">
        <f t="shared" si="78"/>
        <v>0</v>
      </c>
      <c r="BJ163" s="2942">
        <f t="shared" si="79"/>
        <v>0</v>
      </c>
      <c r="BK163" s="2942">
        <f t="shared" si="80"/>
        <v>0</v>
      </c>
      <c r="BL163" s="2942">
        <f t="shared" si="81"/>
        <v>0</v>
      </c>
      <c r="BM163" s="2942">
        <f t="shared" si="82"/>
        <v>0</v>
      </c>
      <c r="BN163" s="2942">
        <f t="shared" si="83"/>
        <v>0</v>
      </c>
      <c r="BO163" s="2942">
        <f t="shared" si="84"/>
        <v>0</v>
      </c>
      <c r="BP163" s="2942">
        <f t="shared" si="85"/>
        <v>0</v>
      </c>
      <c r="BQ163" s="2942">
        <f t="shared" si="86"/>
        <v>0</v>
      </c>
      <c r="BR163" s="2942">
        <f t="shared" si="87"/>
        <v>0</v>
      </c>
      <c r="BS163" s="2942">
        <f t="shared" si="88"/>
        <v>0</v>
      </c>
      <c r="BT163" s="2994">
        <f t="shared" si="89"/>
        <v>0</v>
      </c>
    </row>
    <row r="164" spans="1:72">
      <c r="A164" s="2939"/>
      <c r="B164" s="2940"/>
      <c r="C164" s="2940"/>
      <c r="D164" s="2941"/>
      <c r="E164" s="2942">
        <f t="shared" si="90"/>
        <v>0</v>
      </c>
      <c r="F164" s="2943"/>
      <c r="G164" s="2944">
        <f t="shared" si="65"/>
        <v>0</v>
      </c>
      <c r="H164" s="2945">
        <f t="shared" si="66"/>
        <v>0</v>
      </c>
      <c r="I164" s="2952"/>
      <c r="J164" s="2952"/>
      <c r="K164" s="2952"/>
      <c r="L164" s="2952"/>
      <c r="M164" s="2952"/>
      <c r="N164" s="2952"/>
      <c r="O164" s="2952"/>
      <c r="P164" s="2952"/>
      <c r="Q164" s="2952"/>
      <c r="R164" s="2952"/>
      <c r="S164" s="2952"/>
      <c r="T164" s="2952"/>
      <c r="U164" s="2952"/>
      <c r="V164" s="2952"/>
      <c r="W164" s="2952"/>
      <c r="X164" s="2952"/>
      <c r="Y164" s="2952"/>
      <c r="Z164" s="2952"/>
      <c r="AA164" s="2952"/>
      <c r="AB164" s="2952"/>
      <c r="AC164" s="2942">
        <f t="shared" si="67"/>
        <v>0</v>
      </c>
      <c r="AD164" s="2962"/>
      <c r="AE164" s="2962"/>
      <c r="AF164" s="2962"/>
      <c r="AG164" s="2962"/>
      <c r="AH164" s="2962"/>
      <c r="AI164" s="2962"/>
      <c r="AJ164" s="2962"/>
      <c r="AK164" s="2962"/>
      <c r="AL164" s="2962"/>
      <c r="AM164" s="2962"/>
      <c r="AN164" s="2962"/>
      <c r="AO164" s="2962"/>
      <c r="AP164" s="2962"/>
      <c r="AQ164" s="2962"/>
      <c r="AR164" s="2962"/>
      <c r="AS164" s="2962"/>
      <c r="AT164" s="2972"/>
      <c r="AU164" s="2973"/>
      <c r="AV164" s="1120">
        <f t="shared" si="91"/>
        <v>0</v>
      </c>
      <c r="AW164" s="1120">
        <f t="shared" si="92"/>
        <v>0</v>
      </c>
      <c r="AX164" s="1120">
        <f t="shared" si="93"/>
        <v>0</v>
      </c>
      <c r="AY164" s="2987">
        <f t="shared" si="68"/>
        <v>0</v>
      </c>
      <c r="AZ164" s="2942">
        <f t="shared" si="69"/>
        <v>0</v>
      </c>
      <c r="BA164" s="2942">
        <f t="shared" si="70"/>
        <v>0</v>
      </c>
      <c r="BB164" s="2942">
        <f t="shared" si="71"/>
        <v>0</v>
      </c>
      <c r="BC164" s="2942">
        <f t="shared" si="72"/>
        <v>0</v>
      </c>
      <c r="BD164" s="2942">
        <f t="shared" si="73"/>
        <v>0</v>
      </c>
      <c r="BE164" s="2942">
        <f t="shared" si="74"/>
        <v>0</v>
      </c>
      <c r="BF164" s="2942">
        <f t="shared" si="75"/>
        <v>0</v>
      </c>
      <c r="BG164" s="2942">
        <f t="shared" si="76"/>
        <v>0</v>
      </c>
      <c r="BH164" s="2942">
        <f t="shared" si="77"/>
        <v>0</v>
      </c>
      <c r="BI164" s="2942">
        <f t="shared" si="78"/>
        <v>0</v>
      </c>
      <c r="BJ164" s="2942">
        <f t="shared" si="79"/>
        <v>0</v>
      </c>
      <c r="BK164" s="2942">
        <f t="shared" si="80"/>
        <v>0</v>
      </c>
      <c r="BL164" s="2942">
        <f t="shared" si="81"/>
        <v>0</v>
      </c>
      <c r="BM164" s="2942">
        <f t="shared" si="82"/>
        <v>0</v>
      </c>
      <c r="BN164" s="2942">
        <f t="shared" si="83"/>
        <v>0</v>
      </c>
      <c r="BO164" s="2942">
        <f t="shared" si="84"/>
        <v>0</v>
      </c>
      <c r="BP164" s="2942">
        <f t="shared" si="85"/>
        <v>0</v>
      </c>
      <c r="BQ164" s="2942">
        <f t="shared" si="86"/>
        <v>0</v>
      </c>
      <c r="BR164" s="2942">
        <f t="shared" si="87"/>
        <v>0</v>
      </c>
      <c r="BS164" s="2942">
        <f t="shared" si="88"/>
        <v>0</v>
      </c>
      <c r="BT164" s="2994">
        <f t="shared" si="89"/>
        <v>0</v>
      </c>
    </row>
    <row r="165" spans="1:72">
      <c r="A165" s="2939"/>
      <c r="B165" s="2940"/>
      <c r="C165" s="2940"/>
      <c r="D165" s="2941"/>
      <c r="E165" s="2942">
        <f t="shared" si="90"/>
        <v>0</v>
      </c>
      <c r="F165" s="2943"/>
      <c r="G165" s="2944">
        <f t="shared" si="65"/>
        <v>0</v>
      </c>
      <c r="H165" s="2945">
        <f t="shared" si="66"/>
        <v>0</v>
      </c>
      <c r="I165" s="2952"/>
      <c r="J165" s="2952"/>
      <c r="K165" s="2952"/>
      <c r="L165" s="2952"/>
      <c r="M165" s="2952"/>
      <c r="N165" s="2952"/>
      <c r="O165" s="2952"/>
      <c r="P165" s="2952"/>
      <c r="Q165" s="2952"/>
      <c r="R165" s="2952"/>
      <c r="S165" s="2952"/>
      <c r="T165" s="2952"/>
      <c r="U165" s="2952"/>
      <c r="V165" s="2952"/>
      <c r="W165" s="2952"/>
      <c r="X165" s="2952"/>
      <c r="Y165" s="2952"/>
      <c r="Z165" s="2952"/>
      <c r="AA165" s="2952"/>
      <c r="AB165" s="2952"/>
      <c r="AC165" s="2942">
        <f t="shared" si="67"/>
        <v>0</v>
      </c>
      <c r="AD165" s="2962"/>
      <c r="AE165" s="2962"/>
      <c r="AF165" s="2962"/>
      <c r="AG165" s="2962"/>
      <c r="AH165" s="2962"/>
      <c r="AI165" s="2962"/>
      <c r="AJ165" s="2962"/>
      <c r="AK165" s="2962"/>
      <c r="AL165" s="2962"/>
      <c r="AM165" s="2962"/>
      <c r="AN165" s="2962"/>
      <c r="AO165" s="2962"/>
      <c r="AP165" s="2962"/>
      <c r="AQ165" s="2962"/>
      <c r="AR165" s="2962"/>
      <c r="AS165" s="2962"/>
      <c r="AT165" s="2972"/>
      <c r="AU165" s="2973"/>
      <c r="AV165" s="1120">
        <f t="shared" si="91"/>
        <v>0</v>
      </c>
      <c r="AW165" s="1120">
        <f t="shared" si="92"/>
        <v>0</v>
      </c>
      <c r="AX165" s="1120">
        <f t="shared" si="93"/>
        <v>0</v>
      </c>
      <c r="AY165" s="2987">
        <f t="shared" si="68"/>
        <v>0</v>
      </c>
      <c r="AZ165" s="2942">
        <f t="shared" si="69"/>
        <v>0</v>
      </c>
      <c r="BA165" s="2942">
        <f t="shared" si="70"/>
        <v>0</v>
      </c>
      <c r="BB165" s="2942">
        <f t="shared" si="71"/>
        <v>0</v>
      </c>
      <c r="BC165" s="2942">
        <f t="shared" si="72"/>
        <v>0</v>
      </c>
      <c r="BD165" s="2942">
        <f t="shared" si="73"/>
        <v>0</v>
      </c>
      <c r="BE165" s="2942">
        <f t="shared" si="74"/>
        <v>0</v>
      </c>
      <c r="BF165" s="2942">
        <f t="shared" si="75"/>
        <v>0</v>
      </c>
      <c r="BG165" s="2942">
        <f t="shared" si="76"/>
        <v>0</v>
      </c>
      <c r="BH165" s="2942">
        <f t="shared" si="77"/>
        <v>0</v>
      </c>
      <c r="BI165" s="2942">
        <f t="shared" si="78"/>
        <v>0</v>
      </c>
      <c r="BJ165" s="2942">
        <f t="shared" si="79"/>
        <v>0</v>
      </c>
      <c r="BK165" s="2942">
        <f t="shared" si="80"/>
        <v>0</v>
      </c>
      <c r="BL165" s="2942">
        <f t="shared" si="81"/>
        <v>0</v>
      </c>
      <c r="BM165" s="2942">
        <f t="shared" si="82"/>
        <v>0</v>
      </c>
      <c r="BN165" s="2942">
        <f t="shared" si="83"/>
        <v>0</v>
      </c>
      <c r="BO165" s="2942">
        <f t="shared" si="84"/>
        <v>0</v>
      </c>
      <c r="BP165" s="2942">
        <f t="shared" si="85"/>
        <v>0</v>
      </c>
      <c r="BQ165" s="2942">
        <f t="shared" si="86"/>
        <v>0</v>
      </c>
      <c r="BR165" s="2942">
        <f t="shared" si="87"/>
        <v>0</v>
      </c>
      <c r="BS165" s="2942">
        <f t="shared" si="88"/>
        <v>0</v>
      </c>
      <c r="BT165" s="2994">
        <f t="shared" si="89"/>
        <v>0</v>
      </c>
    </row>
    <row r="166" spans="1:72">
      <c r="A166" s="2939"/>
      <c r="B166" s="2940"/>
      <c r="C166" s="2940"/>
      <c r="D166" s="2941"/>
      <c r="E166" s="2942">
        <f t="shared" si="90"/>
        <v>0</v>
      </c>
      <c r="F166" s="2943"/>
      <c r="G166" s="2944">
        <f t="shared" si="65"/>
        <v>0</v>
      </c>
      <c r="H166" s="2945">
        <f t="shared" si="66"/>
        <v>0</v>
      </c>
      <c r="I166" s="2952"/>
      <c r="J166" s="2952"/>
      <c r="K166" s="2952"/>
      <c r="L166" s="2952"/>
      <c r="M166" s="2952"/>
      <c r="N166" s="2952"/>
      <c r="O166" s="2952"/>
      <c r="P166" s="2952"/>
      <c r="Q166" s="2952"/>
      <c r="R166" s="2952"/>
      <c r="S166" s="2952"/>
      <c r="T166" s="2952"/>
      <c r="U166" s="2952"/>
      <c r="V166" s="2952"/>
      <c r="W166" s="2952"/>
      <c r="X166" s="2952"/>
      <c r="Y166" s="2952"/>
      <c r="Z166" s="2952"/>
      <c r="AA166" s="2952"/>
      <c r="AB166" s="2952"/>
      <c r="AC166" s="2942">
        <f t="shared" si="67"/>
        <v>0</v>
      </c>
      <c r="AD166" s="2962"/>
      <c r="AE166" s="2962"/>
      <c r="AF166" s="2962"/>
      <c r="AG166" s="2962"/>
      <c r="AH166" s="2962"/>
      <c r="AI166" s="2962"/>
      <c r="AJ166" s="2962"/>
      <c r="AK166" s="2962"/>
      <c r="AL166" s="2962"/>
      <c r="AM166" s="2962"/>
      <c r="AN166" s="2962"/>
      <c r="AO166" s="2962"/>
      <c r="AP166" s="2962"/>
      <c r="AQ166" s="2962"/>
      <c r="AR166" s="2962"/>
      <c r="AS166" s="2962"/>
      <c r="AT166" s="2972"/>
      <c r="AU166" s="2973"/>
      <c r="AV166" s="1120">
        <f t="shared" si="91"/>
        <v>0</v>
      </c>
      <c r="AW166" s="1120">
        <f t="shared" si="92"/>
        <v>0</v>
      </c>
      <c r="AX166" s="1120">
        <f t="shared" si="93"/>
        <v>0</v>
      </c>
      <c r="AY166" s="2987">
        <f t="shared" si="68"/>
        <v>0</v>
      </c>
      <c r="AZ166" s="2942">
        <f t="shared" si="69"/>
        <v>0</v>
      </c>
      <c r="BA166" s="2942">
        <f t="shared" si="70"/>
        <v>0</v>
      </c>
      <c r="BB166" s="2942">
        <f t="shared" si="71"/>
        <v>0</v>
      </c>
      <c r="BC166" s="2942">
        <f t="shared" si="72"/>
        <v>0</v>
      </c>
      <c r="BD166" s="2942">
        <f t="shared" si="73"/>
        <v>0</v>
      </c>
      <c r="BE166" s="2942">
        <f t="shared" si="74"/>
        <v>0</v>
      </c>
      <c r="BF166" s="2942">
        <f t="shared" si="75"/>
        <v>0</v>
      </c>
      <c r="BG166" s="2942">
        <f t="shared" si="76"/>
        <v>0</v>
      </c>
      <c r="BH166" s="2942">
        <f t="shared" si="77"/>
        <v>0</v>
      </c>
      <c r="BI166" s="2942">
        <f t="shared" si="78"/>
        <v>0</v>
      </c>
      <c r="BJ166" s="2942">
        <f t="shared" si="79"/>
        <v>0</v>
      </c>
      <c r="BK166" s="2942">
        <f t="shared" si="80"/>
        <v>0</v>
      </c>
      <c r="BL166" s="2942">
        <f t="shared" si="81"/>
        <v>0</v>
      </c>
      <c r="BM166" s="2942">
        <f t="shared" si="82"/>
        <v>0</v>
      </c>
      <c r="BN166" s="2942">
        <f t="shared" si="83"/>
        <v>0</v>
      </c>
      <c r="BO166" s="2942">
        <f t="shared" si="84"/>
        <v>0</v>
      </c>
      <c r="BP166" s="2942">
        <f t="shared" si="85"/>
        <v>0</v>
      </c>
      <c r="BQ166" s="2942">
        <f t="shared" si="86"/>
        <v>0</v>
      </c>
      <c r="BR166" s="2942">
        <f t="shared" si="87"/>
        <v>0</v>
      </c>
      <c r="BS166" s="2942">
        <f t="shared" si="88"/>
        <v>0</v>
      </c>
      <c r="BT166" s="2994">
        <f t="shared" si="89"/>
        <v>0</v>
      </c>
    </row>
    <row r="167" spans="1:72">
      <c r="A167" s="2939"/>
      <c r="B167" s="2940"/>
      <c r="C167" s="2940"/>
      <c r="D167" s="2941"/>
      <c r="E167" s="2942">
        <f t="shared" si="90"/>
        <v>0</v>
      </c>
      <c r="F167" s="2943"/>
      <c r="G167" s="2944">
        <f t="shared" si="65"/>
        <v>0</v>
      </c>
      <c r="H167" s="2945">
        <f t="shared" si="66"/>
        <v>0</v>
      </c>
      <c r="I167" s="2952"/>
      <c r="J167" s="2952"/>
      <c r="K167" s="2952"/>
      <c r="L167" s="2952"/>
      <c r="M167" s="2952"/>
      <c r="N167" s="2952"/>
      <c r="O167" s="2952"/>
      <c r="P167" s="2952"/>
      <c r="Q167" s="2952"/>
      <c r="R167" s="2952"/>
      <c r="S167" s="2952"/>
      <c r="T167" s="2952"/>
      <c r="U167" s="2952"/>
      <c r="V167" s="2952"/>
      <c r="W167" s="2952"/>
      <c r="X167" s="2952"/>
      <c r="Y167" s="2952"/>
      <c r="Z167" s="2952"/>
      <c r="AA167" s="2952"/>
      <c r="AB167" s="2952"/>
      <c r="AC167" s="2942">
        <f t="shared" si="67"/>
        <v>0</v>
      </c>
      <c r="AD167" s="2962"/>
      <c r="AE167" s="2962"/>
      <c r="AF167" s="2962"/>
      <c r="AG167" s="2962"/>
      <c r="AH167" s="2962"/>
      <c r="AI167" s="2962"/>
      <c r="AJ167" s="2962"/>
      <c r="AK167" s="2962"/>
      <c r="AL167" s="2962"/>
      <c r="AM167" s="2962"/>
      <c r="AN167" s="2962"/>
      <c r="AO167" s="2962"/>
      <c r="AP167" s="2962"/>
      <c r="AQ167" s="2962"/>
      <c r="AR167" s="2962"/>
      <c r="AS167" s="2962"/>
      <c r="AT167" s="2972"/>
      <c r="AU167" s="2973"/>
      <c r="AV167" s="1120">
        <f t="shared" si="91"/>
        <v>0</v>
      </c>
      <c r="AW167" s="1120">
        <f t="shared" si="92"/>
        <v>0</v>
      </c>
      <c r="AX167" s="1120">
        <f t="shared" si="93"/>
        <v>0</v>
      </c>
      <c r="AY167" s="2987">
        <f t="shared" si="68"/>
        <v>0</v>
      </c>
      <c r="AZ167" s="2942">
        <f t="shared" si="69"/>
        <v>0</v>
      </c>
      <c r="BA167" s="2942">
        <f t="shared" si="70"/>
        <v>0</v>
      </c>
      <c r="BB167" s="2942">
        <f t="shared" si="71"/>
        <v>0</v>
      </c>
      <c r="BC167" s="2942">
        <f t="shared" si="72"/>
        <v>0</v>
      </c>
      <c r="BD167" s="2942">
        <f t="shared" si="73"/>
        <v>0</v>
      </c>
      <c r="BE167" s="2942">
        <f t="shared" si="74"/>
        <v>0</v>
      </c>
      <c r="BF167" s="2942">
        <f t="shared" si="75"/>
        <v>0</v>
      </c>
      <c r="BG167" s="2942">
        <f t="shared" si="76"/>
        <v>0</v>
      </c>
      <c r="BH167" s="2942">
        <f t="shared" si="77"/>
        <v>0</v>
      </c>
      <c r="BI167" s="2942">
        <f t="shared" si="78"/>
        <v>0</v>
      </c>
      <c r="BJ167" s="2942">
        <f t="shared" si="79"/>
        <v>0</v>
      </c>
      <c r="BK167" s="2942">
        <f t="shared" si="80"/>
        <v>0</v>
      </c>
      <c r="BL167" s="2942">
        <f t="shared" si="81"/>
        <v>0</v>
      </c>
      <c r="BM167" s="2942">
        <f t="shared" si="82"/>
        <v>0</v>
      </c>
      <c r="BN167" s="2942">
        <f t="shared" si="83"/>
        <v>0</v>
      </c>
      <c r="BO167" s="2942">
        <f t="shared" si="84"/>
        <v>0</v>
      </c>
      <c r="BP167" s="2942">
        <f t="shared" si="85"/>
        <v>0</v>
      </c>
      <c r="BQ167" s="2942">
        <f t="shared" si="86"/>
        <v>0</v>
      </c>
      <c r="BR167" s="2942">
        <f t="shared" si="87"/>
        <v>0</v>
      </c>
      <c r="BS167" s="2942">
        <f t="shared" si="88"/>
        <v>0</v>
      </c>
      <c r="BT167" s="2994">
        <f t="shared" si="89"/>
        <v>0</v>
      </c>
    </row>
    <row r="168" spans="1:72">
      <c r="A168" s="2939"/>
      <c r="B168" s="2940"/>
      <c r="C168" s="2940"/>
      <c r="D168" s="2941"/>
      <c r="E168" s="2942">
        <f t="shared" si="90"/>
        <v>0</v>
      </c>
      <c r="F168" s="2943"/>
      <c r="G168" s="2944">
        <f t="shared" si="65"/>
        <v>0</v>
      </c>
      <c r="H168" s="2945">
        <f t="shared" si="66"/>
        <v>0</v>
      </c>
      <c r="I168" s="2952"/>
      <c r="J168" s="2952"/>
      <c r="K168" s="2952"/>
      <c r="L168" s="2952"/>
      <c r="M168" s="2952"/>
      <c r="N168" s="2952"/>
      <c r="O168" s="2952"/>
      <c r="P168" s="2952"/>
      <c r="Q168" s="2952"/>
      <c r="R168" s="2952"/>
      <c r="S168" s="2952"/>
      <c r="T168" s="2952"/>
      <c r="U168" s="2952"/>
      <c r="V168" s="2952"/>
      <c r="W168" s="2952"/>
      <c r="X168" s="2952"/>
      <c r="Y168" s="2952"/>
      <c r="Z168" s="2952"/>
      <c r="AA168" s="2952"/>
      <c r="AB168" s="2952"/>
      <c r="AC168" s="2942">
        <f t="shared" si="67"/>
        <v>0</v>
      </c>
      <c r="AD168" s="2962"/>
      <c r="AE168" s="2962"/>
      <c r="AF168" s="2962"/>
      <c r="AG168" s="2962"/>
      <c r="AH168" s="2962"/>
      <c r="AI168" s="2962"/>
      <c r="AJ168" s="2962"/>
      <c r="AK168" s="2962"/>
      <c r="AL168" s="2962"/>
      <c r="AM168" s="2962"/>
      <c r="AN168" s="2962"/>
      <c r="AO168" s="2962"/>
      <c r="AP168" s="2962"/>
      <c r="AQ168" s="2962"/>
      <c r="AR168" s="2962"/>
      <c r="AS168" s="2962"/>
      <c r="AT168" s="2972"/>
      <c r="AU168" s="2973"/>
      <c r="AV168" s="1120">
        <f t="shared" si="91"/>
        <v>0</v>
      </c>
      <c r="AW168" s="1120">
        <f t="shared" si="92"/>
        <v>0</v>
      </c>
      <c r="AX168" s="1120">
        <f t="shared" si="93"/>
        <v>0</v>
      </c>
      <c r="AY168" s="2987">
        <f t="shared" si="68"/>
        <v>0</v>
      </c>
      <c r="AZ168" s="2942">
        <f t="shared" si="69"/>
        <v>0</v>
      </c>
      <c r="BA168" s="2942">
        <f t="shared" si="70"/>
        <v>0</v>
      </c>
      <c r="BB168" s="2942">
        <f t="shared" si="71"/>
        <v>0</v>
      </c>
      <c r="BC168" s="2942">
        <f t="shared" si="72"/>
        <v>0</v>
      </c>
      <c r="BD168" s="2942">
        <f t="shared" si="73"/>
        <v>0</v>
      </c>
      <c r="BE168" s="2942">
        <f t="shared" si="74"/>
        <v>0</v>
      </c>
      <c r="BF168" s="2942">
        <f t="shared" si="75"/>
        <v>0</v>
      </c>
      <c r="BG168" s="2942">
        <f t="shared" si="76"/>
        <v>0</v>
      </c>
      <c r="BH168" s="2942">
        <f t="shared" si="77"/>
        <v>0</v>
      </c>
      <c r="BI168" s="2942">
        <f t="shared" si="78"/>
        <v>0</v>
      </c>
      <c r="BJ168" s="2942">
        <f t="shared" si="79"/>
        <v>0</v>
      </c>
      <c r="BK168" s="2942">
        <f t="shared" si="80"/>
        <v>0</v>
      </c>
      <c r="BL168" s="2942">
        <f t="shared" si="81"/>
        <v>0</v>
      </c>
      <c r="BM168" s="2942">
        <f t="shared" si="82"/>
        <v>0</v>
      </c>
      <c r="BN168" s="2942">
        <f t="shared" si="83"/>
        <v>0</v>
      </c>
      <c r="BO168" s="2942">
        <f t="shared" si="84"/>
        <v>0</v>
      </c>
      <c r="BP168" s="2942">
        <f t="shared" si="85"/>
        <v>0</v>
      </c>
      <c r="BQ168" s="2942">
        <f t="shared" si="86"/>
        <v>0</v>
      </c>
      <c r="BR168" s="2942">
        <f t="shared" si="87"/>
        <v>0</v>
      </c>
      <c r="BS168" s="2942">
        <f t="shared" si="88"/>
        <v>0</v>
      </c>
      <c r="BT168" s="2994">
        <f t="shared" si="89"/>
        <v>0</v>
      </c>
    </row>
    <row r="169" spans="1:72">
      <c r="A169" s="2939"/>
      <c r="B169" s="2940"/>
      <c r="C169" s="2940"/>
      <c r="D169" s="2941"/>
      <c r="E169" s="2942">
        <f t="shared" si="90"/>
        <v>0</v>
      </c>
      <c r="F169" s="2943"/>
      <c r="G169" s="2944">
        <f t="shared" si="65"/>
        <v>0</v>
      </c>
      <c r="H169" s="2945">
        <f t="shared" si="66"/>
        <v>0</v>
      </c>
      <c r="I169" s="2952"/>
      <c r="J169" s="2952"/>
      <c r="K169" s="2952"/>
      <c r="L169" s="2952"/>
      <c r="M169" s="2952"/>
      <c r="N169" s="2952"/>
      <c r="O169" s="2952"/>
      <c r="P169" s="2952"/>
      <c r="Q169" s="2952"/>
      <c r="R169" s="2952"/>
      <c r="S169" s="2952"/>
      <c r="T169" s="2952"/>
      <c r="U169" s="2952"/>
      <c r="V169" s="2952"/>
      <c r="W169" s="2952"/>
      <c r="X169" s="2952"/>
      <c r="Y169" s="2952"/>
      <c r="Z169" s="2952"/>
      <c r="AA169" s="2952"/>
      <c r="AB169" s="2952"/>
      <c r="AC169" s="2942">
        <f t="shared" si="67"/>
        <v>0</v>
      </c>
      <c r="AD169" s="2962"/>
      <c r="AE169" s="2962"/>
      <c r="AF169" s="2962"/>
      <c r="AG169" s="2962"/>
      <c r="AH169" s="2962"/>
      <c r="AI169" s="2962"/>
      <c r="AJ169" s="2962"/>
      <c r="AK169" s="2962"/>
      <c r="AL169" s="2962"/>
      <c r="AM169" s="2962"/>
      <c r="AN169" s="2962"/>
      <c r="AO169" s="2962"/>
      <c r="AP169" s="2962"/>
      <c r="AQ169" s="2962"/>
      <c r="AR169" s="2962"/>
      <c r="AS169" s="2962"/>
      <c r="AT169" s="2972"/>
      <c r="AU169" s="2973"/>
      <c r="AV169" s="1120">
        <f t="shared" si="91"/>
        <v>0</v>
      </c>
      <c r="AW169" s="1120">
        <f t="shared" si="92"/>
        <v>0</v>
      </c>
      <c r="AX169" s="1120">
        <f t="shared" si="93"/>
        <v>0</v>
      </c>
      <c r="AY169" s="2987">
        <f t="shared" si="68"/>
        <v>0</v>
      </c>
      <c r="AZ169" s="2942">
        <f t="shared" si="69"/>
        <v>0</v>
      </c>
      <c r="BA169" s="2942">
        <f t="shared" si="70"/>
        <v>0</v>
      </c>
      <c r="BB169" s="2942">
        <f t="shared" si="71"/>
        <v>0</v>
      </c>
      <c r="BC169" s="2942">
        <f t="shared" si="72"/>
        <v>0</v>
      </c>
      <c r="BD169" s="2942">
        <f t="shared" si="73"/>
        <v>0</v>
      </c>
      <c r="BE169" s="2942">
        <f t="shared" si="74"/>
        <v>0</v>
      </c>
      <c r="BF169" s="2942">
        <f t="shared" si="75"/>
        <v>0</v>
      </c>
      <c r="BG169" s="2942">
        <f t="shared" si="76"/>
        <v>0</v>
      </c>
      <c r="BH169" s="2942">
        <f t="shared" si="77"/>
        <v>0</v>
      </c>
      <c r="BI169" s="2942">
        <f t="shared" si="78"/>
        <v>0</v>
      </c>
      <c r="BJ169" s="2942">
        <f t="shared" si="79"/>
        <v>0</v>
      </c>
      <c r="BK169" s="2942">
        <f t="shared" si="80"/>
        <v>0</v>
      </c>
      <c r="BL169" s="2942">
        <f t="shared" si="81"/>
        <v>0</v>
      </c>
      <c r="BM169" s="2942">
        <f t="shared" si="82"/>
        <v>0</v>
      </c>
      <c r="BN169" s="2942">
        <f t="shared" si="83"/>
        <v>0</v>
      </c>
      <c r="BO169" s="2942">
        <f t="shared" si="84"/>
        <v>0</v>
      </c>
      <c r="BP169" s="2942">
        <f t="shared" si="85"/>
        <v>0</v>
      </c>
      <c r="BQ169" s="2942">
        <f t="shared" si="86"/>
        <v>0</v>
      </c>
      <c r="BR169" s="2942">
        <f t="shared" si="87"/>
        <v>0</v>
      </c>
      <c r="BS169" s="2942">
        <f t="shared" si="88"/>
        <v>0</v>
      </c>
      <c r="BT169" s="2994">
        <f t="shared" si="89"/>
        <v>0</v>
      </c>
    </row>
    <row r="170" spans="1:72">
      <c r="A170" s="2939"/>
      <c r="B170" s="2940"/>
      <c r="C170" s="2940"/>
      <c r="D170" s="2941"/>
      <c r="E170" s="2942">
        <f t="shared" si="90"/>
        <v>0</v>
      </c>
      <c r="F170" s="2943"/>
      <c r="G170" s="2944">
        <f t="shared" si="65"/>
        <v>0</v>
      </c>
      <c r="H170" s="2945">
        <f t="shared" si="66"/>
        <v>0</v>
      </c>
      <c r="I170" s="2952"/>
      <c r="J170" s="2952"/>
      <c r="K170" s="2952"/>
      <c r="L170" s="2952"/>
      <c r="M170" s="2952"/>
      <c r="N170" s="2952"/>
      <c r="O170" s="2952"/>
      <c r="P170" s="2952"/>
      <c r="Q170" s="2952"/>
      <c r="R170" s="2952"/>
      <c r="S170" s="2952"/>
      <c r="T170" s="2952"/>
      <c r="U170" s="2952"/>
      <c r="V170" s="2952"/>
      <c r="W170" s="2952"/>
      <c r="X170" s="2952"/>
      <c r="Y170" s="2952"/>
      <c r="Z170" s="2952"/>
      <c r="AA170" s="2952"/>
      <c r="AB170" s="2952"/>
      <c r="AC170" s="2942">
        <f t="shared" si="67"/>
        <v>0</v>
      </c>
      <c r="AD170" s="2962"/>
      <c r="AE170" s="2962"/>
      <c r="AF170" s="2962"/>
      <c r="AG170" s="2962"/>
      <c r="AH170" s="2962"/>
      <c r="AI170" s="2962"/>
      <c r="AJ170" s="2962"/>
      <c r="AK170" s="2962"/>
      <c r="AL170" s="2962"/>
      <c r="AM170" s="2962"/>
      <c r="AN170" s="2962"/>
      <c r="AO170" s="2962"/>
      <c r="AP170" s="2962"/>
      <c r="AQ170" s="2962"/>
      <c r="AR170" s="2962"/>
      <c r="AS170" s="2962"/>
      <c r="AT170" s="2972"/>
      <c r="AU170" s="2973"/>
      <c r="AV170" s="1120">
        <f t="shared" si="91"/>
        <v>0</v>
      </c>
      <c r="AW170" s="1120">
        <f t="shared" si="92"/>
        <v>0</v>
      </c>
      <c r="AX170" s="1120">
        <f t="shared" si="93"/>
        <v>0</v>
      </c>
      <c r="AY170" s="2987">
        <f t="shared" si="68"/>
        <v>0</v>
      </c>
      <c r="AZ170" s="2942">
        <f t="shared" si="69"/>
        <v>0</v>
      </c>
      <c r="BA170" s="2942">
        <f t="shared" si="70"/>
        <v>0</v>
      </c>
      <c r="BB170" s="2942">
        <f t="shared" si="71"/>
        <v>0</v>
      </c>
      <c r="BC170" s="2942">
        <f t="shared" si="72"/>
        <v>0</v>
      </c>
      <c r="BD170" s="2942">
        <f t="shared" si="73"/>
        <v>0</v>
      </c>
      <c r="BE170" s="2942">
        <f t="shared" si="74"/>
        <v>0</v>
      </c>
      <c r="BF170" s="2942">
        <f t="shared" si="75"/>
        <v>0</v>
      </c>
      <c r="BG170" s="2942">
        <f t="shared" si="76"/>
        <v>0</v>
      </c>
      <c r="BH170" s="2942">
        <f t="shared" si="77"/>
        <v>0</v>
      </c>
      <c r="BI170" s="2942">
        <f t="shared" si="78"/>
        <v>0</v>
      </c>
      <c r="BJ170" s="2942">
        <f t="shared" si="79"/>
        <v>0</v>
      </c>
      <c r="BK170" s="2942">
        <f t="shared" si="80"/>
        <v>0</v>
      </c>
      <c r="BL170" s="2942">
        <f t="shared" si="81"/>
        <v>0</v>
      </c>
      <c r="BM170" s="2942">
        <f t="shared" si="82"/>
        <v>0</v>
      </c>
      <c r="BN170" s="2942">
        <f t="shared" si="83"/>
        <v>0</v>
      </c>
      <c r="BO170" s="2942">
        <f t="shared" si="84"/>
        <v>0</v>
      </c>
      <c r="BP170" s="2942">
        <f t="shared" si="85"/>
        <v>0</v>
      </c>
      <c r="BQ170" s="2942">
        <f t="shared" si="86"/>
        <v>0</v>
      </c>
      <c r="BR170" s="2942">
        <f t="shared" si="87"/>
        <v>0</v>
      </c>
      <c r="BS170" s="2942">
        <f t="shared" si="88"/>
        <v>0</v>
      </c>
      <c r="BT170" s="2994">
        <f t="shared" si="89"/>
        <v>0</v>
      </c>
    </row>
    <row r="171" spans="1:72">
      <c r="A171" s="2939"/>
      <c r="B171" s="2940"/>
      <c r="C171" s="2940"/>
      <c r="D171" s="2941"/>
      <c r="E171" s="2942">
        <f t="shared" si="90"/>
        <v>0</v>
      </c>
      <c r="F171" s="2943"/>
      <c r="G171" s="2944">
        <f t="shared" si="65"/>
        <v>0</v>
      </c>
      <c r="H171" s="2945">
        <f t="shared" si="66"/>
        <v>0</v>
      </c>
      <c r="I171" s="2952"/>
      <c r="J171" s="2952"/>
      <c r="K171" s="2952"/>
      <c r="L171" s="2952"/>
      <c r="M171" s="2952"/>
      <c r="N171" s="2952"/>
      <c r="O171" s="2952"/>
      <c r="P171" s="2952"/>
      <c r="Q171" s="2952"/>
      <c r="R171" s="2952"/>
      <c r="S171" s="2952"/>
      <c r="T171" s="2952"/>
      <c r="U171" s="2952"/>
      <c r="V171" s="2952"/>
      <c r="W171" s="2952"/>
      <c r="X171" s="2952"/>
      <c r="Y171" s="2952"/>
      <c r="Z171" s="2952"/>
      <c r="AA171" s="2952"/>
      <c r="AB171" s="2952"/>
      <c r="AC171" s="2942">
        <f t="shared" si="67"/>
        <v>0</v>
      </c>
      <c r="AD171" s="2962"/>
      <c r="AE171" s="2962"/>
      <c r="AF171" s="2962"/>
      <c r="AG171" s="2962"/>
      <c r="AH171" s="2962"/>
      <c r="AI171" s="2962"/>
      <c r="AJ171" s="2962"/>
      <c r="AK171" s="2962"/>
      <c r="AL171" s="2962"/>
      <c r="AM171" s="2962"/>
      <c r="AN171" s="2962"/>
      <c r="AO171" s="2962"/>
      <c r="AP171" s="2962"/>
      <c r="AQ171" s="2962"/>
      <c r="AR171" s="2962"/>
      <c r="AS171" s="2962"/>
      <c r="AT171" s="2972"/>
      <c r="AU171" s="2973"/>
      <c r="AV171" s="1120">
        <f t="shared" si="91"/>
        <v>0</v>
      </c>
      <c r="AW171" s="1120">
        <f t="shared" si="92"/>
        <v>0</v>
      </c>
      <c r="AX171" s="1120">
        <f t="shared" si="93"/>
        <v>0</v>
      </c>
      <c r="AY171" s="2987">
        <f t="shared" si="68"/>
        <v>0</v>
      </c>
      <c r="AZ171" s="2942">
        <f t="shared" si="69"/>
        <v>0</v>
      </c>
      <c r="BA171" s="2942">
        <f t="shared" si="70"/>
        <v>0</v>
      </c>
      <c r="BB171" s="2942">
        <f t="shared" si="71"/>
        <v>0</v>
      </c>
      <c r="BC171" s="2942">
        <f t="shared" si="72"/>
        <v>0</v>
      </c>
      <c r="BD171" s="2942">
        <f t="shared" si="73"/>
        <v>0</v>
      </c>
      <c r="BE171" s="2942">
        <f t="shared" si="74"/>
        <v>0</v>
      </c>
      <c r="BF171" s="2942">
        <f t="shared" si="75"/>
        <v>0</v>
      </c>
      <c r="BG171" s="2942">
        <f t="shared" si="76"/>
        <v>0</v>
      </c>
      <c r="BH171" s="2942">
        <f t="shared" si="77"/>
        <v>0</v>
      </c>
      <c r="BI171" s="2942">
        <f t="shared" si="78"/>
        <v>0</v>
      </c>
      <c r="BJ171" s="2942">
        <f t="shared" si="79"/>
        <v>0</v>
      </c>
      <c r="BK171" s="2942">
        <f t="shared" si="80"/>
        <v>0</v>
      </c>
      <c r="BL171" s="2942">
        <f t="shared" si="81"/>
        <v>0</v>
      </c>
      <c r="BM171" s="2942">
        <f t="shared" si="82"/>
        <v>0</v>
      </c>
      <c r="BN171" s="2942">
        <f t="shared" si="83"/>
        <v>0</v>
      </c>
      <c r="BO171" s="2942">
        <f t="shared" si="84"/>
        <v>0</v>
      </c>
      <c r="BP171" s="2942">
        <f t="shared" si="85"/>
        <v>0</v>
      </c>
      <c r="BQ171" s="2942">
        <f t="shared" si="86"/>
        <v>0</v>
      </c>
      <c r="BR171" s="2942">
        <f t="shared" si="87"/>
        <v>0</v>
      </c>
      <c r="BS171" s="2942">
        <f t="shared" si="88"/>
        <v>0</v>
      </c>
      <c r="BT171" s="2994">
        <f t="shared" si="89"/>
        <v>0</v>
      </c>
    </row>
    <row r="172" spans="1:72">
      <c r="A172" s="2939"/>
      <c r="B172" s="2940"/>
      <c r="C172" s="2940"/>
      <c r="D172" s="2941"/>
      <c r="E172" s="2942">
        <f t="shared" si="90"/>
        <v>0</v>
      </c>
      <c r="F172" s="2943"/>
      <c r="G172" s="2944">
        <f t="shared" si="65"/>
        <v>0</v>
      </c>
      <c r="H172" s="2945">
        <f t="shared" si="66"/>
        <v>0</v>
      </c>
      <c r="I172" s="2952"/>
      <c r="J172" s="2952"/>
      <c r="K172" s="2952"/>
      <c r="L172" s="2952"/>
      <c r="M172" s="2952"/>
      <c r="N172" s="2952"/>
      <c r="O172" s="2952"/>
      <c r="P172" s="2952"/>
      <c r="Q172" s="2952"/>
      <c r="R172" s="2952"/>
      <c r="S172" s="2952"/>
      <c r="T172" s="2952"/>
      <c r="U172" s="2952"/>
      <c r="V172" s="2952"/>
      <c r="W172" s="2952"/>
      <c r="X172" s="2952"/>
      <c r="Y172" s="2952"/>
      <c r="Z172" s="2952"/>
      <c r="AA172" s="2952"/>
      <c r="AB172" s="2952"/>
      <c r="AC172" s="2942">
        <f t="shared" si="67"/>
        <v>0</v>
      </c>
      <c r="AD172" s="2962"/>
      <c r="AE172" s="2962"/>
      <c r="AF172" s="2962"/>
      <c r="AG172" s="2962"/>
      <c r="AH172" s="2962"/>
      <c r="AI172" s="2962"/>
      <c r="AJ172" s="2962"/>
      <c r="AK172" s="2962"/>
      <c r="AL172" s="2962"/>
      <c r="AM172" s="2962"/>
      <c r="AN172" s="2962"/>
      <c r="AO172" s="2962"/>
      <c r="AP172" s="2962"/>
      <c r="AQ172" s="2962"/>
      <c r="AR172" s="2962"/>
      <c r="AS172" s="2962"/>
      <c r="AT172" s="2972"/>
      <c r="AU172" s="2973"/>
      <c r="AV172" s="1120">
        <f t="shared" si="91"/>
        <v>0</v>
      </c>
      <c r="AW172" s="1120">
        <f t="shared" si="92"/>
        <v>0</v>
      </c>
      <c r="AX172" s="1120">
        <f t="shared" si="93"/>
        <v>0</v>
      </c>
      <c r="AY172" s="2987">
        <f t="shared" si="68"/>
        <v>0</v>
      </c>
      <c r="AZ172" s="2942">
        <f t="shared" si="69"/>
        <v>0</v>
      </c>
      <c r="BA172" s="2942">
        <f t="shared" si="70"/>
        <v>0</v>
      </c>
      <c r="BB172" s="2942">
        <f t="shared" si="71"/>
        <v>0</v>
      </c>
      <c r="BC172" s="2942">
        <f t="shared" si="72"/>
        <v>0</v>
      </c>
      <c r="BD172" s="2942">
        <f t="shared" si="73"/>
        <v>0</v>
      </c>
      <c r="BE172" s="2942">
        <f t="shared" si="74"/>
        <v>0</v>
      </c>
      <c r="BF172" s="2942">
        <f t="shared" si="75"/>
        <v>0</v>
      </c>
      <c r="BG172" s="2942">
        <f t="shared" si="76"/>
        <v>0</v>
      </c>
      <c r="BH172" s="2942">
        <f t="shared" si="77"/>
        <v>0</v>
      </c>
      <c r="BI172" s="2942">
        <f t="shared" si="78"/>
        <v>0</v>
      </c>
      <c r="BJ172" s="2942">
        <f t="shared" si="79"/>
        <v>0</v>
      </c>
      <c r="BK172" s="2942">
        <f t="shared" si="80"/>
        <v>0</v>
      </c>
      <c r="BL172" s="2942">
        <f t="shared" si="81"/>
        <v>0</v>
      </c>
      <c r="BM172" s="2942">
        <f t="shared" si="82"/>
        <v>0</v>
      </c>
      <c r="BN172" s="2942">
        <f t="shared" si="83"/>
        <v>0</v>
      </c>
      <c r="BO172" s="2942">
        <f t="shared" si="84"/>
        <v>0</v>
      </c>
      <c r="BP172" s="2942">
        <f t="shared" si="85"/>
        <v>0</v>
      </c>
      <c r="BQ172" s="2942">
        <f t="shared" si="86"/>
        <v>0</v>
      </c>
      <c r="BR172" s="2942">
        <f t="shared" si="87"/>
        <v>0</v>
      </c>
      <c r="BS172" s="2942">
        <f t="shared" si="88"/>
        <v>0</v>
      </c>
      <c r="BT172" s="2994">
        <f t="shared" si="89"/>
        <v>0</v>
      </c>
    </row>
    <row r="173" spans="1:72">
      <c r="A173" s="2939"/>
      <c r="B173" s="2940"/>
      <c r="C173" s="2940"/>
      <c r="D173" s="2941"/>
      <c r="E173" s="2942">
        <f t="shared" si="90"/>
        <v>0</v>
      </c>
      <c r="F173" s="2943"/>
      <c r="G173" s="2944">
        <f t="shared" si="65"/>
        <v>0</v>
      </c>
      <c r="H173" s="2945">
        <f t="shared" si="66"/>
        <v>0</v>
      </c>
      <c r="I173" s="2952"/>
      <c r="J173" s="2952"/>
      <c r="K173" s="2952"/>
      <c r="L173" s="2952"/>
      <c r="M173" s="2952"/>
      <c r="N173" s="2952"/>
      <c r="O173" s="2952"/>
      <c r="P173" s="2952"/>
      <c r="Q173" s="2952"/>
      <c r="R173" s="2952"/>
      <c r="S173" s="2952"/>
      <c r="T173" s="2952"/>
      <c r="U173" s="2952"/>
      <c r="V173" s="2952"/>
      <c r="W173" s="2952"/>
      <c r="X173" s="2952"/>
      <c r="Y173" s="2952"/>
      <c r="Z173" s="2952"/>
      <c r="AA173" s="2952"/>
      <c r="AB173" s="2952"/>
      <c r="AC173" s="2942">
        <f t="shared" si="67"/>
        <v>0</v>
      </c>
      <c r="AD173" s="2962"/>
      <c r="AE173" s="2962"/>
      <c r="AF173" s="2962"/>
      <c r="AG173" s="2962"/>
      <c r="AH173" s="2962"/>
      <c r="AI173" s="2962"/>
      <c r="AJ173" s="2962"/>
      <c r="AK173" s="2962"/>
      <c r="AL173" s="2962"/>
      <c r="AM173" s="2962"/>
      <c r="AN173" s="2962"/>
      <c r="AO173" s="2962"/>
      <c r="AP173" s="2962"/>
      <c r="AQ173" s="2962"/>
      <c r="AR173" s="2962"/>
      <c r="AS173" s="2962"/>
      <c r="AT173" s="2972"/>
      <c r="AU173" s="2973"/>
      <c r="AV173" s="1120">
        <f t="shared" si="91"/>
        <v>0</v>
      </c>
      <c r="AW173" s="1120">
        <f t="shared" si="92"/>
        <v>0</v>
      </c>
      <c r="AX173" s="1120">
        <f t="shared" si="93"/>
        <v>0</v>
      </c>
      <c r="AY173" s="2987">
        <f t="shared" si="68"/>
        <v>0</v>
      </c>
      <c r="AZ173" s="2942">
        <f t="shared" si="69"/>
        <v>0</v>
      </c>
      <c r="BA173" s="2942">
        <f t="shared" si="70"/>
        <v>0</v>
      </c>
      <c r="BB173" s="2942">
        <f t="shared" si="71"/>
        <v>0</v>
      </c>
      <c r="BC173" s="2942">
        <f t="shared" si="72"/>
        <v>0</v>
      </c>
      <c r="BD173" s="2942">
        <f t="shared" si="73"/>
        <v>0</v>
      </c>
      <c r="BE173" s="2942">
        <f t="shared" si="74"/>
        <v>0</v>
      </c>
      <c r="BF173" s="2942">
        <f t="shared" si="75"/>
        <v>0</v>
      </c>
      <c r="BG173" s="2942">
        <f t="shared" si="76"/>
        <v>0</v>
      </c>
      <c r="BH173" s="2942">
        <f t="shared" si="77"/>
        <v>0</v>
      </c>
      <c r="BI173" s="2942">
        <f t="shared" si="78"/>
        <v>0</v>
      </c>
      <c r="BJ173" s="2942">
        <f t="shared" si="79"/>
        <v>0</v>
      </c>
      <c r="BK173" s="2942">
        <f t="shared" si="80"/>
        <v>0</v>
      </c>
      <c r="BL173" s="2942">
        <f t="shared" si="81"/>
        <v>0</v>
      </c>
      <c r="BM173" s="2942">
        <f t="shared" si="82"/>
        <v>0</v>
      </c>
      <c r="BN173" s="2942">
        <f t="shared" si="83"/>
        <v>0</v>
      </c>
      <c r="BO173" s="2942">
        <f t="shared" si="84"/>
        <v>0</v>
      </c>
      <c r="BP173" s="2942">
        <f t="shared" si="85"/>
        <v>0</v>
      </c>
      <c r="BQ173" s="2942">
        <f t="shared" si="86"/>
        <v>0</v>
      </c>
      <c r="BR173" s="2942">
        <f t="shared" si="87"/>
        <v>0</v>
      </c>
      <c r="BS173" s="2942">
        <f t="shared" si="88"/>
        <v>0</v>
      </c>
      <c r="BT173" s="2994">
        <f t="shared" si="89"/>
        <v>0</v>
      </c>
    </row>
    <row r="174" spans="1:72">
      <c r="A174" s="2939"/>
      <c r="B174" s="2940"/>
      <c r="C174" s="2940"/>
      <c r="D174" s="2941"/>
      <c r="E174" s="2942">
        <f t="shared" si="90"/>
        <v>0</v>
      </c>
      <c r="F174" s="2943"/>
      <c r="G174" s="2944">
        <f t="shared" ref="G174:G207" si="94">H174+AC174+AT174</f>
        <v>0</v>
      </c>
      <c r="H174" s="2945">
        <f t="shared" ref="H174:H207" si="95">SUMIF(I$12:AB$12,"总值",I174:AB174)</f>
        <v>0</v>
      </c>
      <c r="I174" s="2952"/>
      <c r="J174" s="2952"/>
      <c r="K174" s="2952"/>
      <c r="L174" s="2952"/>
      <c r="M174" s="2952"/>
      <c r="N174" s="2952"/>
      <c r="O174" s="2952"/>
      <c r="P174" s="2952"/>
      <c r="Q174" s="2952"/>
      <c r="R174" s="2952"/>
      <c r="S174" s="2952"/>
      <c r="T174" s="2952"/>
      <c r="U174" s="2952"/>
      <c r="V174" s="2952"/>
      <c r="W174" s="2952"/>
      <c r="X174" s="2952"/>
      <c r="Y174" s="2952"/>
      <c r="Z174" s="2952"/>
      <c r="AA174" s="2952"/>
      <c r="AB174" s="2952"/>
      <c r="AC174" s="2942">
        <f t="shared" ref="AC174:AC207" si="96">SUMIF(AD$12:AS$12,"总值",AD174:AS174)</f>
        <v>0</v>
      </c>
      <c r="AD174" s="2962"/>
      <c r="AE174" s="2962"/>
      <c r="AF174" s="2962"/>
      <c r="AG174" s="2962"/>
      <c r="AH174" s="2962"/>
      <c r="AI174" s="2962"/>
      <c r="AJ174" s="2962"/>
      <c r="AK174" s="2962"/>
      <c r="AL174" s="2962"/>
      <c r="AM174" s="2962"/>
      <c r="AN174" s="2962"/>
      <c r="AO174" s="2962"/>
      <c r="AP174" s="2962"/>
      <c r="AQ174" s="2962"/>
      <c r="AR174" s="2962"/>
      <c r="AS174" s="2962"/>
      <c r="AT174" s="2972"/>
      <c r="AU174" s="2973"/>
      <c r="AV174" s="1120">
        <f t="shared" si="91"/>
        <v>0</v>
      </c>
      <c r="AW174" s="1120">
        <f t="shared" si="92"/>
        <v>0</v>
      </c>
      <c r="AX174" s="1120">
        <f t="shared" si="93"/>
        <v>0</v>
      </c>
      <c r="AY174" s="2987">
        <f t="shared" ref="AY174:AY207" si="97">ROUND($AY$6*AZ174/$AZ$5,2)</f>
        <v>0</v>
      </c>
      <c r="AZ174" s="2942">
        <f t="shared" ref="AZ174:AZ207" si="98">BA174+BL174</f>
        <v>0</v>
      </c>
      <c r="BA174" s="2942">
        <f t="shared" ref="BA174:BA207" si="99">SUM(BB174:BK174)</f>
        <v>0</v>
      </c>
      <c r="BB174" s="2942">
        <f t="shared" ref="BB174:BB207" si="100">IF($D174="是",I174-J174,0)</f>
        <v>0</v>
      </c>
      <c r="BC174" s="2942">
        <f t="shared" ref="BC174:BC207" si="101">IF($D174="是",K174-L174,0)</f>
        <v>0</v>
      </c>
      <c r="BD174" s="2942">
        <f t="shared" ref="BD174:BD207" si="102">IF($D174="是",M174-N174,0)</f>
        <v>0</v>
      </c>
      <c r="BE174" s="2942">
        <f t="shared" ref="BE174:BE207" si="103">IF($D174="是",O174-P174,0)</f>
        <v>0</v>
      </c>
      <c r="BF174" s="2942">
        <f t="shared" ref="BF174:BF207" si="104">IF($D174="是",Q174-R174,0)</f>
        <v>0</v>
      </c>
      <c r="BG174" s="2942">
        <f t="shared" ref="BG174:BG207" si="105">IF($D174="是",S174-T174,0)</f>
        <v>0</v>
      </c>
      <c r="BH174" s="2942">
        <f t="shared" ref="BH174:BH207" si="106">IF($D174="是",U174-V174,0)</f>
        <v>0</v>
      </c>
      <c r="BI174" s="2942">
        <f t="shared" ref="BI174:BI207" si="107">IF($D174="是",W174-X174,0)</f>
        <v>0</v>
      </c>
      <c r="BJ174" s="2942">
        <f t="shared" ref="BJ174:BJ207" si="108">IF($D174="是",Y174-Z174,0)</f>
        <v>0</v>
      </c>
      <c r="BK174" s="2942">
        <f t="shared" ref="BK174:BK207" si="109">IF($D174="是",AA174-AB174,0)</f>
        <v>0</v>
      </c>
      <c r="BL174" s="2942">
        <f t="shared" ref="BL174:BL207" si="110">SUM(BM174:BT174)</f>
        <v>0</v>
      </c>
      <c r="BM174" s="2942">
        <f t="shared" ref="BM174:BM207" si="111">IF($D174="是",AD174-AE174,0)</f>
        <v>0</v>
      </c>
      <c r="BN174" s="2942">
        <f t="shared" ref="BN174:BN207" si="112">IF($D174="是",AF174-AG174,0)</f>
        <v>0</v>
      </c>
      <c r="BO174" s="2942">
        <f t="shared" ref="BO174:BO207" si="113">IF($D174="是",AH174-AI174,0)</f>
        <v>0</v>
      </c>
      <c r="BP174" s="2942">
        <f t="shared" ref="BP174:BP207" si="114">IF($D174="是",AJ174-AK174,0)</f>
        <v>0</v>
      </c>
      <c r="BQ174" s="2942">
        <f t="shared" ref="BQ174:BQ207" si="115">IF($D174="是",AL174-AM174,0)</f>
        <v>0</v>
      </c>
      <c r="BR174" s="2942">
        <f t="shared" ref="BR174:BR207" si="116">IF($D174="是",AN174-AO174,0)</f>
        <v>0</v>
      </c>
      <c r="BS174" s="2942">
        <f t="shared" ref="BS174:BS207" si="117">IF($D174="是",AP174-AQ174,0)</f>
        <v>0</v>
      </c>
      <c r="BT174" s="2994">
        <f t="shared" ref="BT174:BT207" si="118">IF($D174="是",AR174-AS174,0)</f>
        <v>0</v>
      </c>
    </row>
    <row r="175" spans="1:72">
      <c r="A175" s="2939"/>
      <c r="B175" s="2940"/>
      <c r="C175" s="2940"/>
      <c r="D175" s="2941"/>
      <c r="E175" s="2942">
        <f t="shared" si="90"/>
        <v>0</v>
      </c>
      <c r="F175" s="2943"/>
      <c r="G175" s="2944">
        <f t="shared" si="94"/>
        <v>0</v>
      </c>
      <c r="H175" s="2945">
        <f t="shared" si="95"/>
        <v>0</v>
      </c>
      <c r="I175" s="2952"/>
      <c r="J175" s="2952"/>
      <c r="K175" s="2952"/>
      <c r="L175" s="2952"/>
      <c r="M175" s="2952"/>
      <c r="N175" s="2952"/>
      <c r="O175" s="2952"/>
      <c r="P175" s="2952"/>
      <c r="Q175" s="2952"/>
      <c r="R175" s="2952"/>
      <c r="S175" s="2952"/>
      <c r="T175" s="2952"/>
      <c r="U175" s="2952"/>
      <c r="V175" s="2952"/>
      <c r="W175" s="2952"/>
      <c r="X175" s="2952"/>
      <c r="Y175" s="2952"/>
      <c r="Z175" s="2952"/>
      <c r="AA175" s="2952"/>
      <c r="AB175" s="2952"/>
      <c r="AC175" s="2942">
        <f t="shared" si="96"/>
        <v>0</v>
      </c>
      <c r="AD175" s="2962"/>
      <c r="AE175" s="2962"/>
      <c r="AF175" s="2962"/>
      <c r="AG175" s="2962"/>
      <c r="AH175" s="2962"/>
      <c r="AI175" s="2962"/>
      <c r="AJ175" s="2962"/>
      <c r="AK175" s="2962"/>
      <c r="AL175" s="2962"/>
      <c r="AM175" s="2962"/>
      <c r="AN175" s="2962"/>
      <c r="AO175" s="2962"/>
      <c r="AP175" s="2962"/>
      <c r="AQ175" s="2962"/>
      <c r="AR175" s="2962"/>
      <c r="AS175" s="2962"/>
      <c r="AT175" s="2972"/>
      <c r="AU175" s="2973"/>
      <c r="AV175" s="1120">
        <f t="shared" si="91"/>
        <v>0</v>
      </c>
      <c r="AW175" s="1120">
        <f t="shared" si="92"/>
        <v>0</v>
      </c>
      <c r="AX175" s="1120">
        <f t="shared" si="93"/>
        <v>0</v>
      </c>
      <c r="AY175" s="2987">
        <f t="shared" si="97"/>
        <v>0</v>
      </c>
      <c r="AZ175" s="2942">
        <f t="shared" si="98"/>
        <v>0</v>
      </c>
      <c r="BA175" s="2942">
        <f t="shared" si="99"/>
        <v>0</v>
      </c>
      <c r="BB175" s="2942">
        <f t="shared" si="100"/>
        <v>0</v>
      </c>
      <c r="BC175" s="2942">
        <f t="shared" si="101"/>
        <v>0</v>
      </c>
      <c r="BD175" s="2942">
        <f t="shared" si="102"/>
        <v>0</v>
      </c>
      <c r="BE175" s="2942">
        <f t="shared" si="103"/>
        <v>0</v>
      </c>
      <c r="BF175" s="2942">
        <f t="shared" si="104"/>
        <v>0</v>
      </c>
      <c r="BG175" s="2942">
        <f t="shared" si="105"/>
        <v>0</v>
      </c>
      <c r="BH175" s="2942">
        <f t="shared" si="106"/>
        <v>0</v>
      </c>
      <c r="BI175" s="2942">
        <f t="shared" si="107"/>
        <v>0</v>
      </c>
      <c r="BJ175" s="2942">
        <f t="shared" si="108"/>
        <v>0</v>
      </c>
      <c r="BK175" s="2942">
        <f t="shared" si="109"/>
        <v>0</v>
      </c>
      <c r="BL175" s="2942">
        <f t="shared" si="110"/>
        <v>0</v>
      </c>
      <c r="BM175" s="2942">
        <f t="shared" si="111"/>
        <v>0</v>
      </c>
      <c r="BN175" s="2942">
        <f t="shared" si="112"/>
        <v>0</v>
      </c>
      <c r="BO175" s="2942">
        <f t="shared" si="113"/>
        <v>0</v>
      </c>
      <c r="BP175" s="2942">
        <f t="shared" si="114"/>
        <v>0</v>
      </c>
      <c r="BQ175" s="2942">
        <f t="shared" si="115"/>
        <v>0</v>
      </c>
      <c r="BR175" s="2942">
        <f t="shared" si="116"/>
        <v>0</v>
      </c>
      <c r="BS175" s="2942">
        <f t="shared" si="117"/>
        <v>0</v>
      </c>
      <c r="BT175" s="2994">
        <f t="shared" si="118"/>
        <v>0</v>
      </c>
    </row>
    <row r="176" spans="1:72">
      <c r="A176" s="2939"/>
      <c r="B176" s="2940"/>
      <c r="C176" s="2940"/>
      <c r="D176" s="2941"/>
      <c r="E176" s="2942">
        <f t="shared" si="90"/>
        <v>0</v>
      </c>
      <c r="F176" s="2943"/>
      <c r="G176" s="2944">
        <f t="shared" si="94"/>
        <v>0</v>
      </c>
      <c r="H176" s="2945">
        <f t="shared" si="95"/>
        <v>0</v>
      </c>
      <c r="I176" s="2952"/>
      <c r="J176" s="2952"/>
      <c r="K176" s="2952"/>
      <c r="L176" s="2952"/>
      <c r="M176" s="2952"/>
      <c r="N176" s="2952"/>
      <c r="O176" s="2952"/>
      <c r="P176" s="2952"/>
      <c r="Q176" s="2952"/>
      <c r="R176" s="2952"/>
      <c r="S176" s="2952"/>
      <c r="T176" s="2952"/>
      <c r="U176" s="2952"/>
      <c r="V176" s="2952"/>
      <c r="W176" s="2952"/>
      <c r="X176" s="2952"/>
      <c r="Y176" s="2952"/>
      <c r="Z176" s="2952"/>
      <c r="AA176" s="2952"/>
      <c r="AB176" s="2952"/>
      <c r="AC176" s="2942">
        <f t="shared" si="96"/>
        <v>0</v>
      </c>
      <c r="AD176" s="2962"/>
      <c r="AE176" s="2962"/>
      <c r="AF176" s="2962"/>
      <c r="AG176" s="2962"/>
      <c r="AH176" s="2962"/>
      <c r="AI176" s="2962"/>
      <c r="AJ176" s="2962"/>
      <c r="AK176" s="2962"/>
      <c r="AL176" s="2962"/>
      <c r="AM176" s="2962"/>
      <c r="AN176" s="2962"/>
      <c r="AO176" s="2962"/>
      <c r="AP176" s="2962"/>
      <c r="AQ176" s="2962"/>
      <c r="AR176" s="2962"/>
      <c r="AS176" s="2962"/>
      <c r="AT176" s="2972"/>
      <c r="AU176" s="2973"/>
      <c r="AV176" s="1120">
        <f t="shared" si="91"/>
        <v>0</v>
      </c>
      <c r="AW176" s="1120">
        <f t="shared" si="92"/>
        <v>0</v>
      </c>
      <c r="AX176" s="1120">
        <f t="shared" si="93"/>
        <v>0</v>
      </c>
      <c r="AY176" s="2987">
        <f t="shared" si="97"/>
        <v>0</v>
      </c>
      <c r="AZ176" s="2942">
        <f t="shared" si="98"/>
        <v>0</v>
      </c>
      <c r="BA176" s="2942">
        <f t="shared" si="99"/>
        <v>0</v>
      </c>
      <c r="BB176" s="2942">
        <f t="shared" si="100"/>
        <v>0</v>
      </c>
      <c r="BC176" s="2942">
        <f t="shared" si="101"/>
        <v>0</v>
      </c>
      <c r="BD176" s="2942">
        <f t="shared" si="102"/>
        <v>0</v>
      </c>
      <c r="BE176" s="2942">
        <f t="shared" si="103"/>
        <v>0</v>
      </c>
      <c r="BF176" s="2942">
        <f t="shared" si="104"/>
        <v>0</v>
      </c>
      <c r="BG176" s="2942">
        <f t="shared" si="105"/>
        <v>0</v>
      </c>
      <c r="BH176" s="2942">
        <f t="shared" si="106"/>
        <v>0</v>
      </c>
      <c r="BI176" s="2942">
        <f t="shared" si="107"/>
        <v>0</v>
      </c>
      <c r="BJ176" s="2942">
        <f t="shared" si="108"/>
        <v>0</v>
      </c>
      <c r="BK176" s="2942">
        <f t="shared" si="109"/>
        <v>0</v>
      </c>
      <c r="BL176" s="2942">
        <f t="shared" si="110"/>
        <v>0</v>
      </c>
      <c r="BM176" s="2942">
        <f t="shared" si="111"/>
        <v>0</v>
      </c>
      <c r="BN176" s="2942">
        <f t="shared" si="112"/>
        <v>0</v>
      </c>
      <c r="BO176" s="2942">
        <f t="shared" si="113"/>
        <v>0</v>
      </c>
      <c r="BP176" s="2942">
        <f t="shared" si="114"/>
        <v>0</v>
      </c>
      <c r="BQ176" s="2942">
        <f t="shared" si="115"/>
        <v>0</v>
      </c>
      <c r="BR176" s="2942">
        <f t="shared" si="116"/>
        <v>0</v>
      </c>
      <c r="BS176" s="2942">
        <f t="shared" si="117"/>
        <v>0</v>
      </c>
      <c r="BT176" s="2994">
        <f t="shared" si="118"/>
        <v>0</v>
      </c>
    </row>
    <row r="177" spans="1:72">
      <c r="A177" s="2939"/>
      <c r="B177" s="2940"/>
      <c r="C177" s="2940"/>
      <c r="D177" s="2941"/>
      <c r="E177" s="2942">
        <f t="shared" ref="E177:E207" si="119">IF($C$3="是",ROUND($A$3*G177/$B$3,2),ROUND($A$3*(G177-AT177)/$B$3,2))</f>
        <v>0</v>
      </c>
      <c r="F177" s="2943"/>
      <c r="G177" s="2944">
        <f t="shared" si="94"/>
        <v>0</v>
      </c>
      <c r="H177" s="2945">
        <f t="shared" si="95"/>
        <v>0</v>
      </c>
      <c r="I177" s="2952"/>
      <c r="J177" s="2952"/>
      <c r="K177" s="2952"/>
      <c r="L177" s="2952"/>
      <c r="M177" s="2952"/>
      <c r="N177" s="2952"/>
      <c r="O177" s="2952"/>
      <c r="P177" s="2952"/>
      <c r="Q177" s="2952"/>
      <c r="R177" s="2952"/>
      <c r="S177" s="2952"/>
      <c r="T177" s="2952"/>
      <c r="U177" s="2952"/>
      <c r="V177" s="2952"/>
      <c r="W177" s="2952"/>
      <c r="X177" s="2952"/>
      <c r="Y177" s="2952"/>
      <c r="Z177" s="2952"/>
      <c r="AA177" s="2952"/>
      <c r="AB177" s="2952"/>
      <c r="AC177" s="2942">
        <f t="shared" si="96"/>
        <v>0</v>
      </c>
      <c r="AD177" s="2962"/>
      <c r="AE177" s="2962"/>
      <c r="AF177" s="2962"/>
      <c r="AG177" s="2962"/>
      <c r="AH177" s="2962"/>
      <c r="AI177" s="2962"/>
      <c r="AJ177" s="2962"/>
      <c r="AK177" s="2962"/>
      <c r="AL177" s="2962"/>
      <c r="AM177" s="2962"/>
      <c r="AN177" s="2962"/>
      <c r="AO177" s="2962"/>
      <c r="AP177" s="2962"/>
      <c r="AQ177" s="2962"/>
      <c r="AR177" s="2962"/>
      <c r="AS177" s="2962"/>
      <c r="AT177" s="2972"/>
      <c r="AU177" s="2973"/>
      <c r="AV177" s="1120">
        <f t="shared" ref="AV177:AV207" si="120">A177</f>
        <v>0</v>
      </c>
      <c r="AW177" s="1120">
        <f t="shared" ref="AW177:AW207" si="121">B177</f>
        <v>0</v>
      </c>
      <c r="AX177" s="1120">
        <f t="shared" ref="AX177:AX207" si="122">C177</f>
        <v>0</v>
      </c>
      <c r="AY177" s="2987">
        <f t="shared" si="97"/>
        <v>0</v>
      </c>
      <c r="AZ177" s="2942">
        <f t="shared" si="98"/>
        <v>0</v>
      </c>
      <c r="BA177" s="2942">
        <f t="shared" si="99"/>
        <v>0</v>
      </c>
      <c r="BB177" s="2942">
        <f t="shared" si="100"/>
        <v>0</v>
      </c>
      <c r="BC177" s="2942">
        <f t="shared" si="101"/>
        <v>0</v>
      </c>
      <c r="BD177" s="2942">
        <f t="shared" si="102"/>
        <v>0</v>
      </c>
      <c r="BE177" s="2942">
        <f t="shared" si="103"/>
        <v>0</v>
      </c>
      <c r="BF177" s="2942">
        <f t="shared" si="104"/>
        <v>0</v>
      </c>
      <c r="BG177" s="2942">
        <f t="shared" si="105"/>
        <v>0</v>
      </c>
      <c r="BH177" s="2942">
        <f t="shared" si="106"/>
        <v>0</v>
      </c>
      <c r="BI177" s="2942">
        <f t="shared" si="107"/>
        <v>0</v>
      </c>
      <c r="BJ177" s="2942">
        <f t="shared" si="108"/>
        <v>0</v>
      </c>
      <c r="BK177" s="2942">
        <f t="shared" si="109"/>
        <v>0</v>
      </c>
      <c r="BL177" s="2942">
        <f t="shared" si="110"/>
        <v>0</v>
      </c>
      <c r="BM177" s="2942">
        <f t="shared" si="111"/>
        <v>0</v>
      </c>
      <c r="BN177" s="2942">
        <f t="shared" si="112"/>
        <v>0</v>
      </c>
      <c r="BO177" s="2942">
        <f t="shared" si="113"/>
        <v>0</v>
      </c>
      <c r="BP177" s="2942">
        <f t="shared" si="114"/>
        <v>0</v>
      </c>
      <c r="BQ177" s="2942">
        <f t="shared" si="115"/>
        <v>0</v>
      </c>
      <c r="BR177" s="2942">
        <f t="shared" si="116"/>
        <v>0</v>
      </c>
      <c r="BS177" s="2942">
        <f t="shared" si="117"/>
        <v>0</v>
      </c>
      <c r="BT177" s="2994">
        <f t="shared" si="118"/>
        <v>0</v>
      </c>
    </row>
    <row r="178" spans="1:72">
      <c r="A178" s="2939"/>
      <c r="B178" s="2940"/>
      <c r="C178" s="2940"/>
      <c r="D178" s="2941"/>
      <c r="E178" s="2942">
        <f t="shared" si="119"/>
        <v>0</v>
      </c>
      <c r="F178" s="2943"/>
      <c r="G178" s="2944">
        <f t="shared" si="94"/>
        <v>0</v>
      </c>
      <c r="H178" s="2945">
        <f t="shared" si="95"/>
        <v>0</v>
      </c>
      <c r="I178" s="2952"/>
      <c r="J178" s="2952"/>
      <c r="K178" s="2952"/>
      <c r="L178" s="2952"/>
      <c r="M178" s="2952"/>
      <c r="N178" s="2952"/>
      <c r="O178" s="2952"/>
      <c r="P178" s="2952"/>
      <c r="Q178" s="2952"/>
      <c r="R178" s="2952"/>
      <c r="S178" s="2952"/>
      <c r="T178" s="2952"/>
      <c r="U178" s="2952"/>
      <c r="V178" s="2952"/>
      <c r="W178" s="2952"/>
      <c r="X178" s="2952"/>
      <c r="Y178" s="2952"/>
      <c r="Z178" s="2952"/>
      <c r="AA178" s="2952"/>
      <c r="AB178" s="2952"/>
      <c r="AC178" s="2942">
        <f t="shared" si="96"/>
        <v>0</v>
      </c>
      <c r="AD178" s="2962"/>
      <c r="AE178" s="2962"/>
      <c r="AF178" s="2962"/>
      <c r="AG178" s="2962"/>
      <c r="AH178" s="2962"/>
      <c r="AI178" s="2962"/>
      <c r="AJ178" s="2962"/>
      <c r="AK178" s="2962"/>
      <c r="AL178" s="2962"/>
      <c r="AM178" s="2962"/>
      <c r="AN178" s="2962"/>
      <c r="AO178" s="2962"/>
      <c r="AP178" s="2962"/>
      <c r="AQ178" s="2962"/>
      <c r="AR178" s="2962"/>
      <c r="AS178" s="2962"/>
      <c r="AT178" s="2972"/>
      <c r="AU178" s="2973"/>
      <c r="AV178" s="1120">
        <f t="shared" si="120"/>
        <v>0</v>
      </c>
      <c r="AW178" s="1120">
        <f t="shared" si="121"/>
        <v>0</v>
      </c>
      <c r="AX178" s="1120">
        <f t="shared" si="122"/>
        <v>0</v>
      </c>
      <c r="AY178" s="2987">
        <f t="shared" si="97"/>
        <v>0</v>
      </c>
      <c r="AZ178" s="2942">
        <f t="shared" si="98"/>
        <v>0</v>
      </c>
      <c r="BA178" s="2942">
        <f t="shared" si="99"/>
        <v>0</v>
      </c>
      <c r="BB178" s="2942">
        <f t="shared" si="100"/>
        <v>0</v>
      </c>
      <c r="BC178" s="2942">
        <f t="shared" si="101"/>
        <v>0</v>
      </c>
      <c r="BD178" s="2942">
        <f t="shared" si="102"/>
        <v>0</v>
      </c>
      <c r="BE178" s="2942">
        <f t="shared" si="103"/>
        <v>0</v>
      </c>
      <c r="BF178" s="2942">
        <f t="shared" si="104"/>
        <v>0</v>
      </c>
      <c r="BG178" s="2942">
        <f t="shared" si="105"/>
        <v>0</v>
      </c>
      <c r="BH178" s="2942">
        <f t="shared" si="106"/>
        <v>0</v>
      </c>
      <c r="BI178" s="2942">
        <f t="shared" si="107"/>
        <v>0</v>
      </c>
      <c r="BJ178" s="2942">
        <f t="shared" si="108"/>
        <v>0</v>
      </c>
      <c r="BK178" s="2942">
        <f t="shared" si="109"/>
        <v>0</v>
      </c>
      <c r="BL178" s="2942">
        <f t="shared" si="110"/>
        <v>0</v>
      </c>
      <c r="BM178" s="2942">
        <f t="shared" si="111"/>
        <v>0</v>
      </c>
      <c r="BN178" s="2942">
        <f t="shared" si="112"/>
        <v>0</v>
      </c>
      <c r="BO178" s="2942">
        <f t="shared" si="113"/>
        <v>0</v>
      </c>
      <c r="BP178" s="2942">
        <f t="shared" si="114"/>
        <v>0</v>
      </c>
      <c r="BQ178" s="2942">
        <f t="shared" si="115"/>
        <v>0</v>
      </c>
      <c r="BR178" s="2942">
        <f t="shared" si="116"/>
        <v>0</v>
      </c>
      <c r="BS178" s="2942">
        <f t="shared" si="117"/>
        <v>0</v>
      </c>
      <c r="BT178" s="2994">
        <f t="shared" si="118"/>
        <v>0</v>
      </c>
    </row>
    <row r="179" spans="1:72">
      <c r="A179" s="2939"/>
      <c r="B179" s="2940"/>
      <c r="C179" s="2940"/>
      <c r="D179" s="2941"/>
      <c r="E179" s="2942">
        <f t="shared" si="119"/>
        <v>0</v>
      </c>
      <c r="F179" s="2943"/>
      <c r="G179" s="2944">
        <f t="shared" si="94"/>
        <v>0</v>
      </c>
      <c r="H179" s="2945">
        <f t="shared" si="95"/>
        <v>0</v>
      </c>
      <c r="I179" s="2952"/>
      <c r="J179" s="2952"/>
      <c r="K179" s="2952"/>
      <c r="L179" s="2952"/>
      <c r="M179" s="2952"/>
      <c r="N179" s="2952"/>
      <c r="O179" s="2952"/>
      <c r="P179" s="2952"/>
      <c r="Q179" s="2952"/>
      <c r="R179" s="2952"/>
      <c r="S179" s="2952"/>
      <c r="T179" s="2952"/>
      <c r="U179" s="2952"/>
      <c r="V179" s="2952"/>
      <c r="W179" s="2952"/>
      <c r="X179" s="2952"/>
      <c r="Y179" s="2952"/>
      <c r="Z179" s="2952"/>
      <c r="AA179" s="2952"/>
      <c r="AB179" s="2952"/>
      <c r="AC179" s="2942">
        <f t="shared" si="96"/>
        <v>0</v>
      </c>
      <c r="AD179" s="2962"/>
      <c r="AE179" s="2962"/>
      <c r="AF179" s="2962"/>
      <c r="AG179" s="2962"/>
      <c r="AH179" s="2962"/>
      <c r="AI179" s="2962"/>
      <c r="AJ179" s="2962"/>
      <c r="AK179" s="2962"/>
      <c r="AL179" s="2962"/>
      <c r="AM179" s="2962"/>
      <c r="AN179" s="2962"/>
      <c r="AO179" s="2962"/>
      <c r="AP179" s="2962"/>
      <c r="AQ179" s="2962"/>
      <c r="AR179" s="2962"/>
      <c r="AS179" s="2962"/>
      <c r="AT179" s="2972"/>
      <c r="AU179" s="2973"/>
      <c r="AV179" s="1120">
        <f t="shared" si="120"/>
        <v>0</v>
      </c>
      <c r="AW179" s="1120">
        <f t="shared" si="121"/>
        <v>0</v>
      </c>
      <c r="AX179" s="1120">
        <f t="shared" si="122"/>
        <v>0</v>
      </c>
      <c r="AY179" s="2987">
        <f t="shared" si="97"/>
        <v>0</v>
      </c>
      <c r="AZ179" s="2942">
        <f t="shared" si="98"/>
        <v>0</v>
      </c>
      <c r="BA179" s="2942">
        <f t="shared" si="99"/>
        <v>0</v>
      </c>
      <c r="BB179" s="2942">
        <f t="shared" si="100"/>
        <v>0</v>
      </c>
      <c r="BC179" s="2942">
        <f t="shared" si="101"/>
        <v>0</v>
      </c>
      <c r="BD179" s="2942">
        <f t="shared" si="102"/>
        <v>0</v>
      </c>
      <c r="BE179" s="2942">
        <f t="shared" si="103"/>
        <v>0</v>
      </c>
      <c r="BF179" s="2942">
        <f t="shared" si="104"/>
        <v>0</v>
      </c>
      <c r="BG179" s="2942">
        <f t="shared" si="105"/>
        <v>0</v>
      </c>
      <c r="BH179" s="2942">
        <f t="shared" si="106"/>
        <v>0</v>
      </c>
      <c r="BI179" s="2942">
        <f t="shared" si="107"/>
        <v>0</v>
      </c>
      <c r="BJ179" s="2942">
        <f t="shared" si="108"/>
        <v>0</v>
      </c>
      <c r="BK179" s="2942">
        <f t="shared" si="109"/>
        <v>0</v>
      </c>
      <c r="BL179" s="2942">
        <f t="shared" si="110"/>
        <v>0</v>
      </c>
      <c r="BM179" s="2942">
        <f t="shared" si="111"/>
        <v>0</v>
      </c>
      <c r="BN179" s="2942">
        <f t="shared" si="112"/>
        <v>0</v>
      </c>
      <c r="BO179" s="2942">
        <f t="shared" si="113"/>
        <v>0</v>
      </c>
      <c r="BP179" s="2942">
        <f t="shared" si="114"/>
        <v>0</v>
      </c>
      <c r="BQ179" s="2942">
        <f t="shared" si="115"/>
        <v>0</v>
      </c>
      <c r="BR179" s="2942">
        <f t="shared" si="116"/>
        <v>0</v>
      </c>
      <c r="BS179" s="2942">
        <f t="shared" si="117"/>
        <v>0</v>
      </c>
      <c r="BT179" s="2994">
        <f t="shared" si="118"/>
        <v>0</v>
      </c>
    </row>
    <row r="180" spans="1:72">
      <c r="A180" s="2939"/>
      <c r="B180" s="2940"/>
      <c r="C180" s="2940"/>
      <c r="D180" s="2941"/>
      <c r="E180" s="2942">
        <f t="shared" si="119"/>
        <v>0</v>
      </c>
      <c r="F180" s="2943"/>
      <c r="G180" s="2944">
        <f t="shared" si="94"/>
        <v>0</v>
      </c>
      <c r="H180" s="2945">
        <f t="shared" si="95"/>
        <v>0</v>
      </c>
      <c r="I180" s="2952"/>
      <c r="J180" s="2952"/>
      <c r="K180" s="2952"/>
      <c r="L180" s="2952"/>
      <c r="M180" s="2952"/>
      <c r="N180" s="2952"/>
      <c r="O180" s="2952"/>
      <c r="P180" s="2952"/>
      <c r="Q180" s="2952"/>
      <c r="R180" s="2952"/>
      <c r="S180" s="2952"/>
      <c r="T180" s="2952"/>
      <c r="U180" s="2952"/>
      <c r="V180" s="2952"/>
      <c r="W180" s="2952"/>
      <c r="X180" s="2952"/>
      <c r="Y180" s="2952"/>
      <c r="Z180" s="2952"/>
      <c r="AA180" s="2952"/>
      <c r="AB180" s="2952"/>
      <c r="AC180" s="2942">
        <f t="shared" si="96"/>
        <v>0</v>
      </c>
      <c r="AD180" s="2962"/>
      <c r="AE180" s="2962"/>
      <c r="AF180" s="2962"/>
      <c r="AG180" s="2962"/>
      <c r="AH180" s="2962"/>
      <c r="AI180" s="2962"/>
      <c r="AJ180" s="2962"/>
      <c r="AK180" s="2962"/>
      <c r="AL180" s="2962"/>
      <c r="AM180" s="2962"/>
      <c r="AN180" s="2962"/>
      <c r="AO180" s="2962"/>
      <c r="AP180" s="2962"/>
      <c r="AQ180" s="2962"/>
      <c r="AR180" s="2962"/>
      <c r="AS180" s="2962"/>
      <c r="AT180" s="2972"/>
      <c r="AU180" s="2973"/>
      <c r="AV180" s="1120">
        <f t="shared" si="120"/>
        <v>0</v>
      </c>
      <c r="AW180" s="1120">
        <f t="shared" si="121"/>
        <v>0</v>
      </c>
      <c r="AX180" s="1120">
        <f t="shared" si="122"/>
        <v>0</v>
      </c>
      <c r="AY180" s="2987">
        <f t="shared" si="97"/>
        <v>0</v>
      </c>
      <c r="AZ180" s="2942">
        <f t="shared" si="98"/>
        <v>0</v>
      </c>
      <c r="BA180" s="2942">
        <f t="shared" si="99"/>
        <v>0</v>
      </c>
      <c r="BB180" s="2942">
        <f t="shared" si="100"/>
        <v>0</v>
      </c>
      <c r="BC180" s="2942">
        <f t="shared" si="101"/>
        <v>0</v>
      </c>
      <c r="BD180" s="2942">
        <f t="shared" si="102"/>
        <v>0</v>
      </c>
      <c r="BE180" s="2942">
        <f t="shared" si="103"/>
        <v>0</v>
      </c>
      <c r="BF180" s="2942">
        <f t="shared" si="104"/>
        <v>0</v>
      </c>
      <c r="BG180" s="2942">
        <f t="shared" si="105"/>
        <v>0</v>
      </c>
      <c r="BH180" s="2942">
        <f t="shared" si="106"/>
        <v>0</v>
      </c>
      <c r="BI180" s="2942">
        <f t="shared" si="107"/>
        <v>0</v>
      </c>
      <c r="BJ180" s="2942">
        <f t="shared" si="108"/>
        <v>0</v>
      </c>
      <c r="BK180" s="2942">
        <f t="shared" si="109"/>
        <v>0</v>
      </c>
      <c r="BL180" s="2942">
        <f t="shared" si="110"/>
        <v>0</v>
      </c>
      <c r="BM180" s="2942">
        <f t="shared" si="111"/>
        <v>0</v>
      </c>
      <c r="BN180" s="2942">
        <f t="shared" si="112"/>
        <v>0</v>
      </c>
      <c r="BO180" s="2942">
        <f t="shared" si="113"/>
        <v>0</v>
      </c>
      <c r="BP180" s="2942">
        <f t="shared" si="114"/>
        <v>0</v>
      </c>
      <c r="BQ180" s="2942">
        <f t="shared" si="115"/>
        <v>0</v>
      </c>
      <c r="BR180" s="2942">
        <f t="shared" si="116"/>
        <v>0</v>
      </c>
      <c r="BS180" s="2942">
        <f t="shared" si="117"/>
        <v>0</v>
      </c>
      <c r="BT180" s="2994">
        <f t="shared" si="118"/>
        <v>0</v>
      </c>
    </row>
    <row r="181" spans="1:72">
      <c r="A181" s="2939"/>
      <c r="B181" s="2940"/>
      <c r="C181" s="2940"/>
      <c r="D181" s="2941"/>
      <c r="E181" s="2942">
        <f t="shared" si="119"/>
        <v>0</v>
      </c>
      <c r="F181" s="2943"/>
      <c r="G181" s="2944">
        <f t="shared" si="94"/>
        <v>0</v>
      </c>
      <c r="H181" s="2945">
        <f t="shared" si="95"/>
        <v>0</v>
      </c>
      <c r="I181" s="2952"/>
      <c r="J181" s="2952"/>
      <c r="K181" s="2952"/>
      <c r="L181" s="2952"/>
      <c r="M181" s="2952"/>
      <c r="N181" s="2952"/>
      <c r="O181" s="2952"/>
      <c r="P181" s="2952"/>
      <c r="Q181" s="2952"/>
      <c r="R181" s="2952"/>
      <c r="S181" s="2952"/>
      <c r="T181" s="2952"/>
      <c r="U181" s="2952"/>
      <c r="V181" s="2952"/>
      <c r="W181" s="2952"/>
      <c r="X181" s="2952"/>
      <c r="Y181" s="2952"/>
      <c r="Z181" s="2952"/>
      <c r="AA181" s="2952"/>
      <c r="AB181" s="2952"/>
      <c r="AC181" s="2942">
        <f t="shared" si="96"/>
        <v>0</v>
      </c>
      <c r="AD181" s="2962"/>
      <c r="AE181" s="2962"/>
      <c r="AF181" s="2962"/>
      <c r="AG181" s="2962"/>
      <c r="AH181" s="2962"/>
      <c r="AI181" s="2962"/>
      <c r="AJ181" s="2962"/>
      <c r="AK181" s="2962"/>
      <c r="AL181" s="2962"/>
      <c r="AM181" s="2962"/>
      <c r="AN181" s="2962"/>
      <c r="AO181" s="2962"/>
      <c r="AP181" s="2962"/>
      <c r="AQ181" s="2962"/>
      <c r="AR181" s="2962"/>
      <c r="AS181" s="2962"/>
      <c r="AT181" s="2972"/>
      <c r="AU181" s="2973"/>
      <c r="AV181" s="1120">
        <f t="shared" si="120"/>
        <v>0</v>
      </c>
      <c r="AW181" s="1120">
        <f t="shared" si="121"/>
        <v>0</v>
      </c>
      <c r="AX181" s="1120">
        <f t="shared" si="122"/>
        <v>0</v>
      </c>
      <c r="AY181" s="2987">
        <f t="shared" si="97"/>
        <v>0</v>
      </c>
      <c r="AZ181" s="2942">
        <f t="shared" si="98"/>
        <v>0</v>
      </c>
      <c r="BA181" s="2942">
        <f t="shared" si="99"/>
        <v>0</v>
      </c>
      <c r="BB181" s="2942">
        <f t="shared" si="100"/>
        <v>0</v>
      </c>
      <c r="BC181" s="2942">
        <f t="shared" si="101"/>
        <v>0</v>
      </c>
      <c r="BD181" s="2942">
        <f t="shared" si="102"/>
        <v>0</v>
      </c>
      <c r="BE181" s="2942">
        <f t="shared" si="103"/>
        <v>0</v>
      </c>
      <c r="BF181" s="2942">
        <f t="shared" si="104"/>
        <v>0</v>
      </c>
      <c r="BG181" s="2942">
        <f t="shared" si="105"/>
        <v>0</v>
      </c>
      <c r="BH181" s="2942">
        <f t="shared" si="106"/>
        <v>0</v>
      </c>
      <c r="BI181" s="2942">
        <f t="shared" si="107"/>
        <v>0</v>
      </c>
      <c r="BJ181" s="2942">
        <f t="shared" si="108"/>
        <v>0</v>
      </c>
      <c r="BK181" s="2942">
        <f t="shared" si="109"/>
        <v>0</v>
      </c>
      <c r="BL181" s="2942">
        <f t="shared" si="110"/>
        <v>0</v>
      </c>
      <c r="BM181" s="2942">
        <f t="shared" si="111"/>
        <v>0</v>
      </c>
      <c r="BN181" s="2942">
        <f t="shared" si="112"/>
        <v>0</v>
      </c>
      <c r="BO181" s="2942">
        <f t="shared" si="113"/>
        <v>0</v>
      </c>
      <c r="BP181" s="2942">
        <f t="shared" si="114"/>
        <v>0</v>
      </c>
      <c r="BQ181" s="2942">
        <f t="shared" si="115"/>
        <v>0</v>
      </c>
      <c r="BR181" s="2942">
        <f t="shared" si="116"/>
        <v>0</v>
      </c>
      <c r="BS181" s="2942">
        <f t="shared" si="117"/>
        <v>0</v>
      </c>
      <c r="BT181" s="2994">
        <f t="shared" si="118"/>
        <v>0</v>
      </c>
    </row>
    <row r="182" spans="1:72">
      <c r="A182" s="2939"/>
      <c r="B182" s="2940"/>
      <c r="C182" s="2940"/>
      <c r="D182" s="2941"/>
      <c r="E182" s="2942">
        <f t="shared" si="119"/>
        <v>0</v>
      </c>
      <c r="F182" s="2943"/>
      <c r="G182" s="2944">
        <f t="shared" si="94"/>
        <v>0</v>
      </c>
      <c r="H182" s="2945">
        <f t="shared" si="95"/>
        <v>0</v>
      </c>
      <c r="I182" s="2952"/>
      <c r="J182" s="2952"/>
      <c r="K182" s="2952"/>
      <c r="L182" s="2952"/>
      <c r="M182" s="2952"/>
      <c r="N182" s="2952"/>
      <c r="O182" s="2952"/>
      <c r="P182" s="2952"/>
      <c r="Q182" s="2952"/>
      <c r="R182" s="2952"/>
      <c r="S182" s="2952"/>
      <c r="T182" s="2952"/>
      <c r="U182" s="2952"/>
      <c r="V182" s="2952"/>
      <c r="W182" s="2952"/>
      <c r="X182" s="2952"/>
      <c r="Y182" s="2952"/>
      <c r="Z182" s="2952"/>
      <c r="AA182" s="2952"/>
      <c r="AB182" s="2952"/>
      <c r="AC182" s="2942">
        <f t="shared" si="96"/>
        <v>0</v>
      </c>
      <c r="AD182" s="2962"/>
      <c r="AE182" s="2962"/>
      <c r="AF182" s="2962"/>
      <c r="AG182" s="2962"/>
      <c r="AH182" s="2962"/>
      <c r="AI182" s="2962"/>
      <c r="AJ182" s="2962"/>
      <c r="AK182" s="2962"/>
      <c r="AL182" s="2962"/>
      <c r="AM182" s="2962"/>
      <c r="AN182" s="2962"/>
      <c r="AO182" s="2962"/>
      <c r="AP182" s="2962"/>
      <c r="AQ182" s="2962"/>
      <c r="AR182" s="2962"/>
      <c r="AS182" s="2962"/>
      <c r="AT182" s="2972"/>
      <c r="AU182" s="2973"/>
      <c r="AV182" s="1120">
        <f t="shared" si="120"/>
        <v>0</v>
      </c>
      <c r="AW182" s="1120">
        <f t="shared" si="121"/>
        <v>0</v>
      </c>
      <c r="AX182" s="1120">
        <f t="shared" si="122"/>
        <v>0</v>
      </c>
      <c r="AY182" s="2987">
        <f t="shared" si="97"/>
        <v>0</v>
      </c>
      <c r="AZ182" s="2942">
        <f t="shared" si="98"/>
        <v>0</v>
      </c>
      <c r="BA182" s="2942">
        <f t="shared" si="99"/>
        <v>0</v>
      </c>
      <c r="BB182" s="2942">
        <f t="shared" si="100"/>
        <v>0</v>
      </c>
      <c r="BC182" s="2942">
        <f t="shared" si="101"/>
        <v>0</v>
      </c>
      <c r="BD182" s="2942">
        <f t="shared" si="102"/>
        <v>0</v>
      </c>
      <c r="BE182" s="2942">
        <f t="shared" si="103"/>
        <v>0</v>
      </c>
      <c r="BF182" s="2942">
        <f t="shared" si="104"/>
        <v>0</v>
      </c>
      <c r="BG182" s="2942">
        <f t="shared" si="105"/>
        <v>0</v>
      </c>
      <c r="BH182" s="2942">
        <f t="shared" si="106"/>
        <v>0</v>
      </c>
      <c r="BI182" s="2942">
        <f t="shared" si="107"/>
        <v>0</v>
      </c>
      <c r="BJ182" s="2942">
        <f t="shared" si="108"/>
        <v>0</v>
      </c>
      <c r="BK182" s="2942">
        <f t="shared" si="109"/>
        <v>0</v>
      </c>
      <c r="BL182" s="2942">
        <f t="shared" si="110"/>
        <v>0</v>
      </c>
      <c r="BM182" s="2942">
        <f t="shared" si="111"/>
        <v>0</v>
      </c>
      <c r="BN182" s="2942">
        <f t="shared" si="112"/>
        <v>0</v>
      </c>
      <c r="BO182" s="2942">
        <f t="shared" si="113"/>
        <v>0</v>
      </c>
      <c r="BP182" s="2942">
        <f t="shared" si="114"/>
        <v>0</v>
      </c>
      <c r="BQ182" s="2942">
        <f t="shared" si="115"/>
        <v>0</v>
      </c>
      <c r="BR182" s="2942">
        <f t="shared" si="116"/>
        <v>0</v>
      </c>
      <c r="BS182" s="2942">
        <f t="shared" si="117"/>
        <v>0</v>
      </c>
      <c r="BT182" s="2994">
        <f t="shared" si="118"/>
        <v>0</v>
      </c>
    </row>
    <row r="183" spans="1:72">
      <c r="A183" s="2939"/>
      <c r="B183" s="2940"/>
      <c r="C183" s="2940"/>
      <c r="D183" s="2941"/>
      <c r="E183" s="2942">
        <f t="shared" si="119"/>
        <v>0</v>
      </c>
      <c r="F183" s="2943"/>
      <c r="G183" s="2944">
        <f t="shared" si="94"/>
        <v>0</v>
      </c>
      <c r="H183" s="2945">
        <f t="shared" si="95"/>
        <v>0</v>
      </c>
      <c r="I183" s="2952"/>
      <c r="J183" s="2952"/>
      <c r="K183" s="2952"/>
      <c r="L183" s="2952"/>
      <c r="M183" s="2952"/>
      <c r="N183" s="2952"/>
      <c r="O183" s="2952"/>
      <c r="P183" s="2952"/>
      <c r="Q183" s="2952"/>
      <c r="R183" s="2952"/>
      <c r="S183" s="2952"/>
      <c r="T183" s="2952"/>
      <c r="U183" s="2952"/>
      <c r="V183" s="2952"/>
      <c r="W183" s="2952"/>
      <c r="X183" s="2952"/>
      <c r="Y183" s="2952"/>
      <c r="Z183" s="2952"/>
      <c r="AA183" s="2952"/>
      <c r="AB183" s="2952"/>
      <c r="AC183" s="2942">
        <f t="shared" si="96"/>
        <v>0</v>
      </c>
      <c r="AD183" s="2962"/>
      <c r="AE183" s="2962"/>
      <c r="AF183" s="2962"/>
      <c r="AG183" s="2962"/>
      <c r="AH183" s="2962"/>
      <c r="AI183" s="2962"/>
      <c r="AJ183" s="2962"/>
      <c r="AK183" s="2962"/>
      <c r="AL183" s="2962"/>
      <c r="AM183" s="2962"/>
      <c r="AN183" s="2962"/>
      <c r="AO183" s="2962"/>
      <c r="AP183" s="2962"/>
      <c r="AQ183" s="2962"/>
      <c r="AR183" s="2962"/>
      <c r="AS183" s="2962"/>
      <c r="AT183" s="2972"/>
      <c r="AU183" s="2973"/>
      <c r="AV183" s="1120">
        <f t="shared" si="120"/>
        <v>0</v>
      </c>
      <c r="AW183" s="1120">
        <f t="shared" si="121"/>
        <v>0</v>
      </c>
      <c r="AX183" s="1120">
        <f t="shared" si="122"/>
        <v>0</v>
      </c>
      <c r="AY183" s="2987">
        <f t="shared" si="97"/>
        <v>0</v>
      </c>
      <c r="AZ183" s="2942">
        <f t="shared" si="98"/>
        <v>0</v>
      </c>
      <c r="BA183" s="2942">
        <f t="shared" si="99"/>
        <v>0</v>
      </c>
      <c r="BB183" s="2942">
        <f t="shared" si="100"/>
        <v>0</v>
      </c>
      <c r="BC183" s="2942">
        <f t="shared" si="101"/>
        <v>0</v>
      </c>
      <c r="BD183" s="2942">
        <f t="shared" si="102"/>
        <v>0</v>
      </c>
      <c r="BE183" s="2942">
        <f t="shared" si="103"/>
        <v>0</v>
      </c>
      <c r="BF183" s="2942">
        <f t="shared" si="104"/>
        <v>0</v>
      </c>
      <c r="BG183" s="2942">
        <f t="shared" si="105"/>
        <v>0</v>
      </c>
      <c r="BH183" s="2942">
        <f t="shared" si="106"/>
        <v>0</v>
      </c>
      <c r="BI183" s="2942">
        <f t="shared" si="107"/>
        <v>0</v>
      </c>
      <c r="BJ183" s="2942">
        <f t="shared" si="108"/>
        <v>0</v>
      </c>
      <c r="BK183" s="2942">
        <f t="shared" si="109"/>
        <v>0</v>
      </c>
      <c r="BL183" s="2942">
        <f t="shared" si="110"/>
        <v>0</v>
      </c>
      <c r="BM183" s="2942">
        <f t="shared" si="111"/>
        <v>0</v>
      </c>
      <c r="BN183" s="2942">
        <f t="shared" si="112"/>
        <v>0</v>
      </c>
      <c r="BO183" s="2942">
        <f t="shared" si="113"/>
        <v>0</v>
      </c>
      <c r="BP183" s="2942">
        <f t="shared" si="114"/>
        <v>0</v>
      </c>
      <c r="BQ183" s="2942">
        <f t="shared" si="115"/>
        <v>0</v>
      </c>
      <c r="BR183" s="2942">
        <f t="shared" si="116"/>
        <v>0</v>
      </c>
      <c r="BS183" s="2942">
        <f t="shared" si="117"/>
        <v>0</v>
      </c>
      <c r="BT183" s="2994">
        <f t="shared" si="118"/>
        <v>0</v>
      </c>
    </row>
    <row r="184" spans="1:72">
      <c r="A184" s="2939"/>
      <c r="B184" s="2940"/>
      <c r="C184" s="2940"/>
      <c r="D184" s="2941"/>
      <c r="E184" s="2942">
        <f t="shared" si="119"/>
        <v>0</v>
      </c>
      <c r="F184" s="2943"/>
      <c r="G184" s="2944">
        <f t="shared" si="94"/>
        <v>0</v>
      </c>
      <c r="H184" s="2945">
        <f t="shared" si="95"/>
        <v>0</v>
      </c>
      <c r="I184" s="2952"/>
      <c r="J184" s="2952"/>
      <c r="K184" s="2952"/>
      <c r="L184" s="2952"/>
      <c r="M184" s="2952"/>
      <c r="N184" s="2952"/>
      <c r="O184" s="2952"/>
      <c r="P184" s="2952"/>
      <c r="Q184" s="2952"/>
      <c r="R184" s="2952"/>
      <c r="S184" s="2952"/>
      <c r="T184" s="2952"/>
      <c r="U184" s="2952"/>
      <c r="V184" s="2952"/>
      <c r="W184" s="2952"/>
      <c r="X184" s="2952"/>
      <c r="Y184" s="2952"/>
      <c r="Z184" s="2952"/>
      <c r="AA184" s="2952"/>
      <c r="AB184" s="2952"/>
      <c r="AC184" s="2942">
        <f t="shared" si="96"/>
        <v>0</v>
      </c>
      <c r="AD184" s="2962"/>
      <c r="AE184" s="2962"/>
      <c r="AF184" s="2962"/>
      <c r="AG184" s="2962"/>
      <c r="AH184" s="2962"/>
      <c r="AI184" s="2962"/>
      <c r="AJ184" s="2962"/>
      <c r="AK184" s="2962"/>
      <c r="AL184" s="2962"/>
      <c r="AM184" s="2962"/>
      <c r="AN184" s="2962"/>
      <c r="AO184" s="2962"/>
      <c r="AP184" s="2962"/>
      <c r="AQ184" s="2962"/>
      <c r="AR184" s="2962"/>
      <c r="AS184" s="2962"/>
      <c r="AT184" s="2972"/>
      <c r="AU184" s="2973"/>
      <c r="AV184" s="1120">
        <f t="shared" si="120"/>
        <v>0</v>
      </c>
      <c r="AW184" s="1120">
        <f t="shared" si="121"/>
        <v>0</v>
      </c>
      <c r="AX184" s="1120">
        <f t="shared" si="122"/>
        <v>0</v>
      </c>
      <c r="AY184" s="2987">
        <f t="shared" si="97"/>
        <v>0</v>
      </c>
      <c r="AZ184" s="2942">
        <f t="shared" si="98"/>
        <v>0</v>
      </c>
      <c r="BA184" s="2942">
        <f t="shared" si="99"/>
        <v>0</v>
      </c>
      <c r="BB184" s="2942">
        <f t="shared" si="100"/>
        <v>0</v>
      </c>
      <c r="BC184" s="2942">
        <f t="shared" si="101"/>
        <v>0</v>
      </c>
      <c r="BD184" s="2942">
        <f t="shared" si="102"/>
        <v>0</v>
      </c>
      <c r="BE184" s="2942">
        <f t="shared" si="103"/>
        <v>0</v>
      </c>
      <c r="BF184" s="2942">
        <f t="shared" si="104"/>
        <v>0</v>
      </c>
      <c r="BG184" s="2942">
        <f t="shared" si="105"/>
        <v>0</v>
      </c>
      <c r="BH184" s="2942">
        <f t="shared" si="106"/>
        <v>0</v>
      </c>
      <c r="BI184" s="2942">
        <f t="shared" si="107"/>
        <v>0</v>
      </c>
      <c r="BJ184" s="2942">
        <f t="shared" si="108"/>
        <v>0</v>
      </c>
      <c r="BK184" s="2942">
        <f t="shared" si="109"/>
        <v>0</v>
      </c>
      <c r="BL184" s="2942">
        <f t="shared" si="110"/>
        <v>0</v>
      </c>
      <c r="BM184" s="2942">
        <f t="shared" si="111"/>
        <v>0</v>
      </c>
      <c r="BN184" s="2942">
        <f t="shared" si="112"/>
        <v>0</v>
      </c>
      <c r="BO184" s="2942">
        <f t="shared" si="113"/>
        <v>0</v>
      </c>
      <c r="BP184" s="2942">
        <f t="shared" si="114"/>
        <v>0</v>
      </c>
      <c r="BQ184" s="2942">
        <f t="shared" si="115"/>
        <v>0</v>
      </c>
      <c r="BR184" s="2942">
        <f t="shared" si="116"/>
        <v>0</v>
      </c>
      <c r="BS184" s="2942">
        <f t="shared" si="117"/>
        <v>0</v>
      </c>
      <c r="BT184" s="2994">
        <f t="shared" si="118"/>
        <v>0</v>
      </c>
    </row>
    <row r="185" spans="1:72">
      <c r="A185" s="2939"/>
      <c r="B185" s="2940"/>
      <c r="C185" s="2940"/>
      <c r="D185" s="2941"/>
      <c r="E185" s="2942">
        <f t="shared" si="119"/>
        <v>0</v>
      </c>
      <c r="F185" s="2943"/>
      <c r="G185" s="2944">
        <f t="shared" si="94"/>
        <v>0</v>
      </c>
      <c r="H185" s="2945">
        <f t="shared" si="95"/>
        <v>0</v>
      </c>
      <c r="I185" s="2952"/>
      <c r="J185" s="2952"/>
      <c r="K185" s="2952"/>
      <c r="L185" s="2952"/>
      <c r="M185" s="2952"/>
      <c r="N185" s="2952"/>
      <c r="O185" s="2952"/>
      <c r="P185" s="2952"/>
      <c r="Q185" s="2952"/>
      <c r="R185" s="2952"/>
      <c r="S185" s="2952"/>
      <c r="T185" s="2952"/>
      <c r="U185" s="2952"/>
      <c r="V185" s="2952"/>
      <c r="W185" s="2952"/>
      <c r="X185" s="2952"/>
      <c r="Y185" s="2952"/>
      <c r="Z185" s="2952"/>
      <c r="AA185" s="2952"/>
      <c r="AB185" s="2952"/>
      <c r="AC185" s="2942">
        <f t="shared" si="96"/>
        <v>0</v>
      </c>
      <c r="AD185" s="2962"/>
      <c r="AE185" s="2962"/>
      <c r="AF185" s="2962"/>
      <c r="AG185" s="2962"/>
      <c r="AH185" s="2962"/>
      <c r="AI185" s="2962"/>
      <c r="AJ185" s="2962"/>
      <c r="AK185" s="2962"/>
      <c r="AL185" s="2962"/>
      <c r="AM185" s="2962"/>
      <c r="AN185" s="2962"/>
      <c r="AO185" s="2962"/>
      <c r="AP185" s="2962"/>
      <c r="AQ185" s="2962"/>
      <c r="AR185" s="2962"/>
      <c r="AS185" s="2962"/>
      <c r="AT185" s="2972"/>
      <c r="AU185" s="2973"/>
      <c r="AV185" s="1120">
        <f t="shared" si="120"/>
        <v>0</v>
      </c>
      <c r="AW185" s="1120">
        <f t="shared" si="121"/>
        <v>0</v>
      </c>
      <c r="AX185" s="1120">
        <f t="shared" si="122"/>
        <v>0</v>
      </c>
      <c r="AY185" s="2987">
        <f t="shared" si="97"/>
        <v>0</v>
      </c>
      <c r="AZ185" s="2942">
        <f t="shared" si="98"/>
        <v>0</v>
      </c>
      <c r="BA185" s="2942">
        <f t="shared" si="99"/>
        <v>0</v>
      </c>
      <c r="BB185" s="2942">
        <f t="shared" si="100"/>
        <v>0</v>
      </c>
      <c r="BC185" s="2942">
        <f t="shared" si="101"/>
        <v>0</v>
      </c>
      <c r="BD185" s="2942">
        <f t="shared" si="102"/>
        <v>0</v>
      </c>
      <c r="BE185" s="2942">
        <f t="shared" si="103"/>
        <v>0</v>
      </c>
      <c r="BF185" s="2942">
        <f t="shared" si="104"/>
        <v>0</v>
      </c>
      <c r="BG185" s="2942">
        <f t="shared" si="105"/>
        <v>0</v>
      </c>
      <c r="BH185" s="2942">
        <f t="shared" si="106"/>
        <v>0</v>
      </c>
      <c r="BI185" s="2942">
        <f t="shared" si="107"/>
        <v>0</v>
      </c>
      <c r="BJ185" s="2942">
        <f t="shared" si="108"/>
        <v>0</v>
      </c>
      <c r="BK185" s="2942">
        <f t="shared" si="109"/>
        <v>0</v>
      </c>
      <c r="BL185" s="2942">
        <f t="shared" si="110"/>
        <v>0</v>
      </c>
      <c r="BM185" s="2942">
        <f t="shared" si="111"/>
        <v>0</v>
      </c>
      <c r="BN185" s="2942">
        <f t="shared" si="112"/>
        <v>0</v>
      </c>
      <c r="BO185" s="2942">
        <f t="shared" si="113"/>
        <v>0</v>
      </c>
      <c r="BP185" s="2942">
        <f t="shared" si="114"/>
        <v>0</v>
      </c>
      <c r="BQ185" s="2942">
        <f t="shared" si="115"/>
        <v>0</v>
      </c>
      <c r="BR185" s="2942">
        <f t="shared" si="116"/>
        <v>0</v>
      </c>
      <c r="BS185" s="2942">
        <f t="shared" si="117"/>
        <v>0</v>
      </c>
      <c r="BT185" s="2994">
        <f t="shared" si="118"/>
        <v>0</v>
      </c>
    </row>
    <row r="186" spans="1:72">
      <c r="A186" s="2939"/>
      <c r="B186" s="2940"/>
      <c r="C186" s="2940"/>
      <c r="D186" s="2941"/>
      <c r="E186" s="2942">
        <f t="shared" si="119"/>
        <v>0</v>
      </c>
      <c r="F186" s="2943"/>
      <c r="G186" s="2944">
        <f t="shared" si="94"/>
        <v>0</v>
      </c>
      <c r="H186" s="2945">
        <f t="shared" si="95"/>
        <v>0</v>
      </c>
      <c r="I186" s="2952"/>
      <c r="J186" s="2952"/>
      <c r="K186" s="2952"/>
      <c r="L186" s="2952"/>
      <c r="M186" s="2952"/>
      <c r="N186" s="2952"/>
      <c r="O186" s="2952"/>
      <c r="P186" s="2952"/>
      <c r="Q186" s="2952"/>
      <c r="R186" s="2952"/>
      <c r="S186" s="2952"/>
      <c r="T186" s="2952"/>
      <c r="U186" s="2952"/>
      <c r="V186" s="2952"/>
      <c r="W186" s="2952"/>
      <c r="X186" s="2952"/>
      <c r="Y186" s="2952"/>
      <c r="Z186" s="2952"/>
      <c r="AA186" s="2952"/>
      <c r="AB186" s="2952"/>
      <c r="AC186" s="2942">
        <f t="shared" si="96"/>
        <v>0</v>
      </c>
      <c r="AD186" s="2962"/>
      <c r="AE186" s="2962"/>
      <c r="AF186" s="2962"/>
      <c r="AG186" s="2962"/>
      <c r="AH186" s="2962"/>
      <c r="AI186" s="2962"/>
      <c r="AJ186" s="2962"/>
      <c r="AK186" s="2962"/>
      <c r="AL186" s="2962"/>
      <c r="AM186" s="2962"/>
      <c r="AN186" s="2962"/>
      <c r="AO186" s="2962"/>
      <c r="AP186" s="2962"/>
      <c r="AQ186" s="2962"/>
      <c r="AR186" s="2962"/>
      <c r="AS186" s="2962"/>
      <c r="AT186" s="2972"/>
      <c r="AU186" s="2973"/>
      <c r="AV186" s="1120">
        <f t="shared" si="120"/>
        <v>0</v>
      </c>
      <c r="AW186" s="1120">
        <f t="shared" si="121"/>
        <v>0</v>
      </c>
      <c r="AX186" s="1120">
        <f t="shared" si="122"/>
        <v>0</v>
      </c>
      <c r="AY186" s="2987">
        <f t="shared" si="97"/>
        <v>0</v>
      </c>
      <c r="AZ186" s="2942">
        <f t="shared" si="98"/>
        <v>0</v>
      </c>
      <c r="BA186" s="2942">
        <f t="shared" si="99"/>
        <v>0</v>
      </c>
      <c r="BB186" s="2942">
        <f t="shared" si="100"/>
        <v>0</v>
      </c>
      <c r="BC186" s="2942">
        <f t="shared" si="101"/>
        <v>0</v>
      </c>
      <c r="BD186" s="2942">
        <f t="shared" si="102"/>
        <v>0</v>
      </c>
      <c r="BE186" s="2942">
        <f t="shared" si="103"/>
        <v>0</v>
      </c>
      <c r="BF186" s="2942">
        <f t="shared" si="104"/>
        <v>0</v>
      </c>
      <c r="BG186" s="2942">
        <f t="shared" si="105"/>
        <v>0</v>
      </c>
      <c r="BH186" s="2942">
        <f t="shared" si="106"/>
        <v>0</v>
      </c>
      <c r="BI186" s="2942">
        <f t="shared" si="107"/>
        <v>0</v>
      </c>
      <c r="BJ186" s="2942">
        <f t="shared" si="108"/>
        <v>0</v>
      </c>
      <c r="BK186" s="2942">
        <f t="shared" si="109"/>
        <v>0</v>
      </c>
      <c r="BL186" s="2942">
        <f t="shared" si="110"/>
        <v>0</v>
      </c>
      <c r="BM186" s="2942">
        <f t="shared" si="111"/>
        <v>0</v>
      </c>
      <c r="BN186" s="2942">
        <f t="shared" si="112"/>
        <v>0</v>
      </c>
      <c r="BO186" s="2942">
        <f t="shared" si="113"/>
        <v>0</v>
      </c>
      <c r="BP186" s="2942">
        <f t="shared" si="114"/>
        <v>0</v>
      </c>
      <c r="BQ186" s="2942">
        <f t="shared" si="115"/>
        <v>0</v>
      </c>
      <c r="BR186" s="2942">
        <f t="shared" si="116"/>
        <v>0</v>
      </c>
      <c r="BS186" s="2942">
        <f t="shared" si="117"/>
        <v>0</v>
      </c>
      <c r="BT186" s="2994">
        <f t="shared" si="118"/>
        <v>0</v>
      </c>
    </row>
    <row r="187" spans="1:72">
      <c r="A187" s="2939"/>
      <c r="B187" s="2940"/>
      <c r="C187" s="2940"/>
      <c r="D187" s="2941"/>
      <c r="E187" s="2942">
        <f t="shared" si="119"/>
        <v>0</v>
      </c>
      <c r="F187" s="2943"/>
      <c r="G187" s="2944">
        <f t="shared" si="94"/>
        <v>0</v>
      </c>
      <c r="H187" s="2945">
        <f t="shared" si="95"/>
        <v>0</v>
      </c>
      <c r="I187" s="2952"/>
      <c r="J187" s="2952"/>
      <c r="K187" s="2952"/>
      <c r="L187" s="2952"/>
      <c r="M187" s="2952"/>
      <c r="N187" s="2952"/>
      <c r="O187" s="2952"/>
      <c r="P187" s="2952"/>
      <c r="Q187" s="2952"/>
      <c r="R187" s="2952"/>
      <c r="S187" s="2952"/>
      <c r="T187" s="2952"/>
      <c r="U187" s="2952"/>
      <c r="V187" s="2952"/>
      <c r="W187" s="2952"/>
      <c r="X187" s="2952"/>
      <c r="Y187" s="2952"/>
      <c r="Z187" s="2952"/>
      <c r="AA187" s="2952"/>
      <c r="AB187" s="2952"/>
      <c r="AC187" s="2942">
        <f t="shared" si="96"/>
        <v>0</v>
      </c>
      <c r="AD187" s="2962"/>
      <c r="AE187" s="2962"/>
      <c r="AF187" s="2962"/>
      <c r="AG187" s="2962"/>
      <c r="AH187" s="2962"/>
      <c r="AI187" s="2962"/>
      <c r="AJ187" s="2962"/>
      <c r="AK187" s="2962"/>
      <c r="AL187" s="2962"/>
      <c r="AM187" s="2962"/>
      <c r="AN187" s="2962"/>
      <c r="AO187" s="2962"/>
      <c r="AP187" s="2962"/>
      <c r="AQ187" s="2962"/>
      <c r="AR187" s="2962"/>
      <c r="AS187" s="2962"/>
      <c r="AT187" s="2972"/>
      <c r="AU187" s="2973"/>
      <c r="AV187" s="1120">
        <f t="shared" si="120"/>
        <v>0</v>
      </c>
      <c r="AW187" s="1120">
        <f t="shared" si="121"/>
        <v>0</v>
      </c>
      <c r="AX187" s="1120">
        <f t="shared" si="122"/>
        <v>0</v>
      </c>
      <c r="AY187" s="2987">
        <f t="shared" si="97"/>
        <v>0</v>
      </c>
      <c r="AZ187" s="2942">
        <f t="shared" si="98"/>
        <v>0</v>
      </c>
      <c r="BA187" s="2942">
        <f t="shared" si="99"/>
        <v>0</v>
      </c>
      <c r="BB187" s="2942">
        <f t="shared" si="100"/>
        <v>0</v>
      </c>
      <c r="BC187" s="2942">
        <f t="shared" si="101"/>
        <v>0</v>
      </c>
      <c r="BD187" s="2942">
        <f t="shared" si="102"/>
        <v>0</v>
      </c>
      <c r="BE187" s="2942">
        <f t="shared" si="103"/>
        <v>0</v>
      </c>
      <c r="BF187" s="2942">
        <f t="shared" si="104"/>
        <v>0</v>
      </c>
      <c r="BG187" s="2942">
        <f t="shared" si="105"/>
        <v>0</v>
      </c>
      <c r="BH187" s="2942">
        <f t="shared" si="106"/>
        <v>0</v>
      </c>
      <c r="BI187" s="2942">
        <f t="shared" si="107"/>
        <v>0</v>
      </c>
      <c r="BJ187" s="2942">
        <f t="shared" si="108"/>
        <v>0</v>
      </c>
      <c r="BK187" s="2942">
        <f t="shared" si="109"/>
        <v>0</v>
      </c>
      <c r="BL187" s="2942">
        <f t="shared" si="110"/>
        <v>0</v>
      </c>
      <c r="BM187" s="2942">
        <f t="shared" si="111"/>
        <v>0</v>
      </c>
      <c r="BN187" s="2942">
        <f t="shared" si="112"/>
        <v>0</v>
      </c>
      <c r="BO187" s="2942">
        <f t="shared" si="113"/>
        <v>0</v>
      </c>
      <c r="BP187" s="2942">
        <f t="shared" si="114"/>
        <v>0</v>
      </c>
      <c r="BQ187" s="2942">
        <f t="shared" si="115"/>
        <v>0</v>
      </c>
      <c r="BR187" s="2942">
        <f t="shared" si="116"/>
        <v>0</v>
      </c>
      <c r="BS187" s="2942">
        <f t="shared" si="117"/>
        <v>0</v>
      </c>
      <c r="BT187" s="2994">
        <f t="shared" si="118"/>
        <v>0</v>
      </c>
    </row>
    <row r="188" spans="1:72">
      <c r="A188" s="2939"/>
      <c r="B188" s="2940"/>
      <c r="C188" s="2940"/>
      <c r="D188" s="2941"/>
      <c r="E188" s="2942">
        <f t="shared" si="119"/>
        <v>0</v>
      </c>
      <c r="F188" s="2943"/>
      <c r="G188" s="2944">
        <f t="shared" si="94"/>
        <v>0</v>
      </c>
      <c r="H188" s="2945">
        <f t="shared" si="95"/>
        <v>0</v>
      </c>
      <c r="I188" s="2952"/>
      <c r="J188" s="2952"/>
      <c r="K188" s="2952"/>
      <c r="L188" s="2952"/>
      <c r="M188" s="2952"/>
      <c r="N188" s="2952"/>
      <c r="O188" s="2952"/>
      <c r="P188" s="2952"/>
      <c r="Q188" s="2952"/>
      <c r="R188" s="2952"/>
      <c r="S188" s="2952"/>
      <c r="T188" s="2952"/>
      <c r="U188" s="2952"/>
      <c r="V188" s="2952"/>
      <c r="W188" s="2952"/>
      <c r="X188" s="2952"/>
      <c r="Y188" s="2952"/>
      <c r="Z188" s="2952"/>
      <c r="AA188" s="2952"/>
      <c r="AB188" s="2952"/>
      <c r="AC188" s="2942">
        <f t="shared" si="96"/>
        <v>0</v>
      </c>
      <c r="AD188" s="2962"/>
      <c r="AE188" s="2962"/>
      <c r="AF188" s="2962"/>
      <c r="AG188" s="2962"/>
      <c r="AH188" s="2962"/>
      <c r="AI188" s="2962"/>
      <c r="AJ188" s="2962"/>
      <c r="AK188" s="2962"/>
      <c r="AL188" s="2962"/>
      <c r="AM188" s="2962"/>
      <c r="AN188" s="2962"/>
      <c r="AO188" s="2962"/>
      <c r="AP188" s="2962"/>
      <c r="AQ188" s="2962"/>
      <c r="AR188" s="2962"/>
      <c r="AS188" s="2962"/>
      <c r="AT188" s="2972"/>
      <c r="AU188" s="2973"/>
      <c r="AV188" s="1120">
        <f t="shared" si="120"/>
        <v>0</v>
      </c>
      <c r="AW188" s="1120">
        <f t="shared" si="121"/>
        <v>0</v>
      </c>
      <c r="AX188" s="1120">
        <f t="shared" si="122"/>
        <v>0</v>
      </c>
      <c r="AY188" s="2987">
        <f t="shared" si="97"/>
        <v>0</v>
      </c>
      <c r="AZ188" s="2942">
        <f t="shared" si="98"/>
        <v>0</v>
      </c>
      <c r="BA188" s="2942">
        <f t="shared" si="99"/>
        <v>0</v>
      </c>
      <c r="BB188" s="2942">
        <f t="shared" si="100"/>
        <v>0</v>
      </c>
      <c r="BC188" s="2942">
        <f t="shared" si="101"/>
        <v>0</v>
      </c>
      <c r="BD188" s="2942">
        <f t="shared" si="102"/>
        <v>0</v>
      </c>
      <c r="BE188" s="2942">
        <f t="shared" si="103"/>
        <v>0</v>
      </c>
      <c r="BF188" s="2942">
        <f t="shared" si="104"/>
        <v>0</v>
      </c>
      <c r="BG188" s="2942">
        <f t="shared" si="105"/>
        <v>0</v>
      </c>
      <c r="BH188" s="2942">
        <f t="shared" si="106"/>
        <v>0</v>
      </c>
      <c r="BI188" s="2942">
        <f t="shared" si="107"/>
        <v>0</v>
      </c>
      <c r="BJ188" s="2942">
        <f t="shared" si="108"/>
        <v>0</v>
      </c>
      <c r="BK188" s="2942">
        <f t="shared" si="109"/>
        <v>0</v>
      </c>
      <c r="BL188" s="2942">
        <f t="shared" si="110"/>
        <v>0</v>
      </c>
      <c r="BM188" s="2942">
        <f t="shared" si="111"/>
        <v>0</v>
      </c>
      <c r="BN188" s="2942">
        <f t="shared" si="112"/>
        <v>0</v>
      </c>
      <c r="BO188" s="2942">
        <f t="shared" si="113"/>
        <v>0</v>
      </c>
      <c r="BP188" s="2942">
        <f t="shared" si="114"/>
        <v>0</v>
      </c>
      <c r="BQ188" s="2942">
        <f t="shared" si="115"/>
        <v>0</v>
      </c>
      <c r="BR188" s="2942">
        <f t="shared" si="116"/>
        <v>0</v>
      </c>
      <c r="BS188" s="2942">
        <f t="shared" si="117"/>
        <v>0</v>
      </c>
      <c r="BT188" s="2994">
        <f t="shared" si="118"/>
        <v>0</v>
      </c>
    </row>
    <row r="189" spans="1:72">
      <c r="A189" s="2939"/>
      <c r="B189" s="2940"/>
      <c r="C189" s="2940"/>
      <c r="D189" s="2941"/>
      <c r="E189" s="2942">
        <f t="shared" si="119"/>
        <v>0</v>
      </c>
      <c r="F189" s="2943"/>
      <c r="G189" s="2944">
        <f t="shared" si="94"/>
        <v>0</v>
      </c>
      <c r="H189" s="2945">
        <f t="shared" si="95"/>
        <v>0</v>
      </c>
      <c r="I189" s="2952"/>
      <c r="J189" s="2952"/>
      <c r="K189" s="2952"/>
      <c r="L189" s="2952"/>
      <c r="M189" s="2952"/>
      <c r="N189" s="2952"/>
      <c r="O189" s="2952"/>
      <c r="P189" s="2952"/>
      <c r="Q189" s="2952"/>
      <c r="R189" s="2952"/>
      <c r="S189" s="2952"/>
      <c r="T189" s="2952"/>
      <c r="U189" s="2952"/>
      <c r="V189" s="2952"/>
      <c r="W189" s="2952"/>
      <c r="X189" s="2952"/>
      <c r="Y189" s="2952"/>
      <c r="Z189" s="2952"/>
      <c r="AA189" s="2952"/>
      <c r="AB189" s="2952"/>
      <c r="AC189" s="2942">
        <f t="shared" si="96"/>
        <v>0</v>
      </c>
      <c r="AD189" s="2962"/>
      <c r="AE189" s="2962"/>
      <c r="AF189" s="2962"/>
      <c r="AG189" s="2962"/>
      <c r="AH189" s="2962"/>
      <c r="AI189" s="2962"/>
      <c r="AJ189" s="2962"/>
      <c r="AK189" s="2962"/>
      <c r="AL189" s="2962"/>
      <c r="AM189" s="2962"/>
      <c r="AN189" s="2962"/>
      <c r="AO189" s="2962"/>
      <c r="AP189" s="2962"/>
      <c r="AQ189" s="2962"/>
      <c r="AR189" s="2962"/>
      <c r="AS189" s="2962"/>
      <c r="AT189" s="2972"/>
      <c r="AU189" s="2973"/>
      <c r="AV189" s="1120">
        <f t="shared" si="120"/>
        <v>0</v>
      </c>
      <c r="AW189" s="1120">
        <f t="shared" si="121"/>
        <v>0</v>
      </c>
      <c r="AX189" s="1120">
        <f t="shared" si="122"/>
        <v>0</v>
      </c>
      <c r="AY189" s="2987">
        <f t="shared" si="97"/>
        <v>0</v>
      </c>
      <c r="AZ189" s="2942">
        <f t="shared" si="98"/>
        <v>0</v>
      </c>
      <c r="BA189" s="2942">
        <f t="shared" si="99"/>
        <v>0</v>
      </c>
      <c r="BB189" s="2942">
        <f t="shared" si="100"/>
        <v>0</v>
      </c>
      <c r="BC189" s="2942">
        <f t="shared" si="101"/>
        <v>0</v>
      </c>
      <c r="BD189" s="2942">
        <f t="shared" si="102"/>
        <v>0</v>
      </c>
      <c r="BE189" s="2942">
        <f t="shared" si="103"/>
        <v>0</v>
      </c>
      <c r="BF189" s="2942">
        <f t="shared" si="104"/>
        <v>0</v>
      </c>
      <c r="BG189" s="2942">
        <f t="shared" si="105"/>
        <v>0</v>
      </c>
      <c r="BH189" s="2942">
        <f t="shared" si="106"/>
        <v>0</v>
      </c>
      <c r="BI189" s="2942">
        <f t="shared" si="107"/>
        <v>0</v>
      </c>
      <c r="BJ189" s="2942">
        <f t="shared" si="108"/>
        <v>0</v>
      </c>
      <c r="BK189" s="2942">
        <f t="shared" si="109"/>
        <v>0</v>
      </c>
      <c r="BL189" s="2942">
        <f t="shared" si="110"/>
        <v>0</v>
      </c>
      <c r="BM189" s="2942">
        <f t="shared" si="111"/>
        <v>0</v>
      </c>
      <c r="BN189" s="2942">
        <f t="shared" si="112"/>
        <v>0</v>
      </c>
      <c r="BO189" s="2942">
        <f t="shared" si="113"/>
        <v>0</v>
      </c>
      <c r="BP189" s="2942">
        <f t="shared" si="114"/>
        <v>0</v>
      </c>
      <c r="BQ189" s="2942">
        <f t="shared" si="115"/>
        <v>0</v>
      </c>
      <c r="BR189" s="2942">
        <f t="shared" si="116"/>
        <v>0</v>
      </c>
      <c r="BS189" s="2942">
        <f t="shared" si="117"/>
        <v>0</v>
      </c>
      <c r="BT189" s="2994">
        <f t="shared" si="118"/>
        <v>0</v>
      </c>
    </row>
    <row r="190" spans="1:72">
      <c r="A190" s="2939"/>
      <c r="B190" s="2940"/>
      <c r="C190" s="2940"/>
      <c r="D190" s="2941"/>
      <c r="E190" s="2942">
        <f t="shared" si="119"/>
        <v>0</v>
      </c>
      <c r="F190" s="2943"/>
      <c r="G190" s="2944">
        <f t="shared" si="94"/>
        <v>0</v>
      </c>
      <c r="H190" s="2945">
        <f t="shared" si="95"/>
        <v>0</v>
      </c>
      <c r="I190" s="2952"/>
      <c r="J190" s="2952"/>
      <c r="K190" s="2952"/>
      <c r="L190" s="2952"/>
      <c r="M190" s="2952"/>
      <c r="N190" s="2952"/>
      <c r="O190" s="2952"/>
      <c r="P190" s="2952"/>
      <c r="Q190" s="2952"/>
      <c r="R190" s="2952"/>
      <c r="S190" s="2952"/>
      <c r="T190" s="2952"/>
      <c r="U190" s="2952"/>
      <c r="V190" s="2952"/>
      <c r="W190" s="2952"/>
      <c r="X190" s="2952"/>
      <c r="Y190" s="2952"/>
      <c r="Z190" s="2952"/>
      <c r="AA190" s="2952"/>
      <c r="AB190" s="2952"/>
      <c r="AC190" s="2942">
        <f t="shared" si="96"/>
        <v>0</v>
      </c>
      <c r="AD190" s="2962"/>
      <c r="AE190" s="2962"/>
      <c r="AF190" s="2962"/>
      <c r="AG190" s="2962"/>
      <c r="AH190" s="2962"/>
      <c r="AI190" s="2962"/>
      <c r="AJ190" s="2962"/>
      <c r="AK190" s="2962"/>
      <c r="AL190" s="2962"/>
      <c r="AM190" s="2962"/>
      <c r="AN190" s="2962"/>
      <c r="AO190" s="2962"/>
      <c r="AP190" s="2962"/>
      <c r="AQ190" s="2962"/>
      <c r="AR190" s="2962"/>
      <c r="AS190" s="2962"/>
      <c r="AT190" s="2972"/>
      <c r="AU190" s="2973"/>
      <c r="AV190" s="1120">
        <f t="shared" si="120"/>
        <v>0</v>
      </c>
      <c r="AW190" s="1120">
        <f t="shared" si="121"/>
        <v>0</v>
      </c>
      <c r="AX190" s="1120">
        <f t="shared" si="122"/>
        <v>0</v>
      </c>
      <c r="AY190" s="2987">
        <f t="shared" si="97"/>
        <v>0</v>
      </c>
      <c r="AZ190" s="2942">
        <f t="shared" si="98"/>
        <v>0</v>
      </c>
      <c r="BA190" s="2942">
        <f t="shared" si="99"/>
        <v>0</v>
      </c>
      <c r="BB190" s="2942">
        <f t="shared" si="100"/>
        <v>0</v>
      </c>
      <c r="BC190" s="2942">
        <f t="shared" si="101"/>
        <v>0</v>
      </c>
      <c r="BD190" s="2942">
        <f t="shared" si="102"/>
        <v>0</v>
      </c>
      <c r="BE190" s="2942">
        <f t="shared" si="103"/>
        <v>0</v>
      </c>
      <c r="BF190" s="2942">
        <f t="shared" si="104"/>
        <v>0</v>
      </c>
      <c r="BG190" s="2942">
        <f t="shared" si="105"/>
        <v>0</v>
      </c>
      <c r="BH190" s="2942">
        <f t="shared" si="106"/>
        <v>0</v>
      </c>
      <c r="BI190" s="2942">
        <f t="shared" si="107"/>
        <v>0</v>
      </c>
      <c r="BJ190" s="2942">
        <f t="shared" si="108"/>
        <v>0</v>
      </c>
      <c r="BK190" s="2942">
        <f t="shared" si="109"/>
        <v>0</v>
      </c>
      <c r="BL190" s="2942">
        <f t="shared" si="110"/>
        <v>0</v>
      </c>
      <c r="BM190" s="2942">
        <f t="shared" si="111"/>
        <v>0</v>
      </c>
      <c r="BN190" s="2942">
        <f t="shared" si="112"/>
        <v>0</v>
      </c>
      <c r="BO190" s="2942">
        <f t="shared" si="113"/>
        <v>0</v>
      </c>
      <c r="BP190" s="2942">
        <f t="shared" si="114"/>
        <v>0</v>
      </c>
      <c r="BQ190" s="2942">
        <f t="shared" si="115"/>
        <v>0</v>
      </c>
      <c r="BR190" s="2942">
        <f t="shared" si="116"/>
        <v>0</v>
      </c>
      <c r="BS190" s="2942">
        <f t="shared" si="117"/>
        <v>0</v>
      </c>
      <c r="BT190" s="2994">
        <f t="shared" si="118"/>
        <v>0</v>
      </c>
    </row>
    <row r="191" spans="1:72">
      <c r="A191" s="2939"/>
      <c r="B191" s="2940"/>
      <c r="C191" s="2940"/>
      <c r="D191" s="2941"/>
      <c r="E191" s="2942">
        <f t="shared" si="119"/>
        <v>0</v>
      </c>
      <c r="F191" s="2943"/>
      <c r="G191" s="2944">
        <f t="shared" si="94"/>
        <v>0</v>
      </c>
      <c r="H191" s="2945">
        <f t="shared" si="95"/>
        <v>0</v>
      </c>
      <c r="I191" s="2952"/>
      <c r="J191" s="2952"/>
      <c r="K191" s="2952"/>
      <c r="L191" s="2952"/>
      <c r="M191" s="2952"/>
      <c r="N191" s="2952"/>
      <c r="O191" s="2952"/>
      <c r="P191" s="2952"/>
      <c r="Q191" s="2952"/>
      <c r="R191" s="2952"/>
      <c r="S191" s="2952"/>
      <c r="T191" s="2952"/>
      <c r="U191" s="2952"/>
      <c r="V191" s="2952"/>
      <c r="W191" s="2952"/>
      <c r="X191" s="2952"/>
      <c r="Y191" s="2952"/>
      <c r="Z191" s="2952"/>
      <c r="AA191" s="2952"/>
      <c r="AB191" s="2952"/>
      <c r="AC191" s="2942">
        <f t="shared" si="96"/>
        <v>0</v>
      </c>
      <c r="AD191" s="2962"/>
      <c r="AE191" s="2962"/>
      <c r="AF191" s="2962"/>
      <c r="AG191" s="2962"/>
      <c r="AH191" s="2962"/>
      <c r="AI191" s="2962"/>
      <c r="AJ191" s="2962"/>
      <c r="AK191" s="2962"/>
      <c r="AL191" s="2962"/>
      <c r="AM191" s="2962"/>
      <c r="AN191" s="2962"/>
      <c r="AO191" s="2962"/>
      <c r="AP191" s="2962"/>
      <c r="AQ191" s="2962"/>
      <c r="AR191" s="2962"/>
      <c r="AS191" s="2962"/>
      <c r="AT191" s="2972"/>
      <c r="AU191" s="2973"/>
      <c r="AV191" s="1120">
        <f t="shared" si="120"/>
        <v>0</v>
      </c>
      <c r="AW191" s="1120">
        <f t="shared" si="121"/>
        <v>0</v>
      </c>
      <c r="AX191" s="1120">
        <f t="shared" si="122"/>
        <v>0</v>
      </c>
      <c r="AY191" s="2987">
        <f t="shared" si="97"/>
        <v>0</v>
      </c>
      <c r="AZ191" s="2942">
        <f t="shared" si="98"/>
        <v>0</v>
      </c>
      <c r="BA191" s="2942">
        <f t="shared" si="99"/>
        <v>0</v>
      </c>
      <c r="BB191" s="2942">
        <f t="shared" si="100"/>
        <v>0</v>
      </c>
      <c r="BC191" s="2942">
        <f t="shared" si="101"/>
        <v>0</v>
      </c>
      <c r="BD191" s="2942">
        <f t="shared" si="102"/>
        <v>0</v>
      </c>
      <c r="BE191" s="2942">
        <f t="shared" si="103"/>
        <v>0</v>
      </c>
      <c r="BF191" s="2942">
        <f t="shared" si="104"/>
        <v>0</v>
      </c>
      <c r="BG191" s="2942">
        <f t="shared" si="105"/>
        <v>0</v>
      </c>
      <c r="BH191" s="2942">
        <f t="shared" si="106"/>
        <v>0</v>
      </c>
      <c r="BI191" s="2942">
        <f t="shared" si="107"/>
        <v>0</v>
      </c>
      <c r="BJ191" s="2942">
        <f t="shared" si="108"/>
        <v>0</v>
      </c>
      <c r="BK191" s="2942">
        <f t="shared" si="109"/>
        <v>0</v>
      </c>
      <c r="BL191" s="2942">
        <f t="shared" si="110"/>
        <v>0</v>
      </c>
      <c r="BM191" s="2942">
        <f t="shared" si="111"/>
        <v>0</v>
      </c>
      <c r="BN191" s="2942">
        <f t="shared" si="112"/>
        <v>0</v>
      </c>
      <c r="BO191" s="2942">
        <f t="shared" si="113"/>
        <v>0</v>
      </c>
      <c r="BP191" s="2942">
        <f t="shared" si="114"/>
        <v>0</v>
      </c>
      <c r="BQ191" s="2942">
        <f t="shared" si="115"/>
        <v>0</v>
      </c>
      <c r="BR191" s="2942">
        <f t="shared" si="116"/>
        <v>0</v>
      </c>
      <c r="BS191" s="2942">
        <f t="shared" si="117"/>
        <v>0</v>
      </c>
      <c r="BT191" s="2994">
        <f t="shared" si="118"/>
        <v>0</v>
      </c>
    </row>
    <row r="192" spans="1:72">
      <c r="A192" s="2939"/>
      <c r="B192" s="2940"/>
      <c r="C192" s="2940"/>
      <c r="D192" s="2941"/>
      <c r="E192" s="2942">
        <f t="shared" si="119"/>
        <v>0</v>
      </c>
      <c r="F192" s="2943"/>
      <c r="G192" s="2944">
        <f t="shared" si="94"/>
        <v>0</v>
      </c>
      <c r="H192" s="2945">
        <f t="shared" si="95"/>
        <v>0</v>
      </c>
      <c r="I192" s="2952"/>
      <c r="J192" s="2952"/>
      <c r="K192" s="2952"/>
      <c r="L192" s="2952"/>
      <c r="M192" s="2952"/>
      <c r="N192" s="2952"/>
      <c r="O192" s="2952"/>
      <c r="P192" s="2952"/>
      <c r="Q192" s="2952"/>
      <c r="R192" s="2952"/>
      <c r="S192" s="2952"/>
      <c r="T192" s="2952"/>
      <c r="U192" s="2952"/>
      <c r="V192" s="2952"/>
      <c r="W192" s="2952"/>
      <c r="X192" s="2952"/>
      <c r="Y192" s="2952"/>
      <c r="Z192" s="2952"/>
      <c r="AA192" s="2952"/>
      <c r="AB192" s="2952"/>
      <c r="AC192" s="2942">
        <f t="shared" si="96"/>
        <v>0</v>
      </c>
      <c r="AD192" s="2962"/>
      <c r="AE192" s="2962"/>
      <c r="AF192" s="2962"/>
      <c r="AG192" s="2962"/>
      <c r="AH192" s="2962"/>
      <c r="AI192" s="2962"/>
      <c r="AJ192" s="2962"/>
      <c r="AK192" s="2962"/>
      <c r="AL192" s="2962"/>
      <c r="AM192" s="2962"/>
      <c r="AN192" s="2962"/>
      <c r="AO192" s="2962"/>
      <c r="AP192" s="2962"/>
      <c r="AQ192" s="2962"/>
      <c r="AR192" s="2962"/>
      <c r="AS192" s="2962"/>
      <c r="AT192" s="2972"/>
      <c r="AU192" s="2973"/>
      <c r="AV192" s="1120">
        <f t="shared" si="120"/>
        <v>0</v>
      </c>
      <c r="AW192" s="1120">
        <f t="shared" si="121"/>
        <v>0</v>
      </c>
      <c r="AX192" s="1120">
        <f t="shared" si="122"/>
        <v>0</v>
      </c>
      <c r="AY192" s="2987">
        <f t="shared" si="97"/>
        <v>0</v>
      </c>
      <c r="AZ192" s="2942">
        <f t="shared" si="98"/>
        <v>0</v>
      </c>
      <c r="BA192" s="2942">
        <f t="shared" si="99"/>
        <v>0</v>
      </c>
      <c r="BB192" s="2942">
        <f t="shared" si="100"/>
        <v>0</v>
      </c>
      <c r="BC192" s="2942">
        <f t="shared" si="101"/>
        <v>0</v>
      </c>
      <c r="BD192" s="2942">
        <f t="shared" si="102"/>
        <v>0</v>
      </c>
      <c r="BE192" s="2942">
        <f t="shared" si="103"/>
        <v>0</v>
      </c>
      <c r="BF192" s="2942">
        <f t="shared" si="104"/>
        <v>0</v>
      </c>
      <c r="BG192" s="2942">
        <f t="shared" si="105"/>
        <v>0</v>
      </c>
      <c r="BH192" s="2942">
        <f t="shared" si="106"/>
        <v>0</v>
      </c>
      <c r="BI192" s="2942">
        <f t="shared" si="107"/>
        <v>0</v>
      </c>
      <c r="BJ192" s="2942">
        <f t="shared" si="108"/>
        <v>0</v>
      </c>
      <c r="BK192" s="2942">
        <f t="shared" si="109"/>
        <v>0</v>
      </c>
      <c r="BL192" s="2942">
        <f t="shared" si="110"/>
        <v>0</v>
      </c>
      <c r="BM192" s="2942">
        <f t="shared" si="111"/>
        <v>0</v>
      </c>
      <c r="BN192" s="2942">
        <f t="shared" si="112"/>
        <v>0</v>
      </c>
      <c r="BO192" s="2942">
        <f t="shared" si="113"/>
        <v>0</v>
      </c>
      <c r="BP192" s="2942">
        <f t="shared" si="114"/>
        <v>0</v>
      </c>
      <c r="BQ192" s="2942">
        <f t="shared" si="115"/>
        <v>0</v>
      </c>
      <c r="BR192" s="2942">
        <f t="shared" si="116"/>
        <v>0</v>
      </c>
      <c r="BS192" s="2942">
        <f t="shared" si="117"/>
        <v>0</v>
      </c>
      <c r="BT192" s="2994">
        <f t="shared" si="118"/>
        <v>0</v>
      </c>
    </row>
    <row r="193" spans="1:72">
      <c r="A193" s="2939"/>
      <c r="B193" s="2940"/>
      <c r="C193" s="2940"/>
      <c r="D193" s="2941"/>
      <c r="E193" s="2942">
        <f t="shared" si="119"/>
        <v>0</v>
      </c>
      <c r="F193" s="2943"/>
      <c r="G193" s="2944">
        <f t="shared" si="94"/>
        <v>0</v>
      </c>
      <c r="H193" s="2945">
        <f t="shared" si="95"/>
        <v>0</v>
      </c>
      <c r="I193" s="2952"/>
      <c r="J193" s="2952"/>
      <c r="K193" s="2952"/>
      <c r="L193" s="2952"/>
      <c r="M193" s="2952"/>
      <c r="N193" s="2952"/>
      <c r="O193" s="2952"/>
      <c r="P193" s="2952"/>
      <c r="Q193" s="2952"/>
      <c r="R193" s="2952"/>
      <c r="S193" s="2952"/>
      <c r="T193" s="2952"/>
      <c r="U193" s="2952"/>
      <c r="V193" s="2952"/>
      <c r="W193" s="2952"/>
      <c r="X193" s="2952"/>
      <c r="Y193" s="2952"/>
      <c r="Z193" s="2952"/>
      <c r="AA193" s="2952"/>
      <c r="AB193" s="2952"/>
      <c r="AC193" s="2942">
        <f t="shared" si="96"/>
        <v>0</v>
      </c>
      <c r="AD193" s="2962"/>
      <c r="AE193" s="2962"/>
      <c r="AF193" s="2962"/>
      <c r="AG193" s="2962"/>
      <c r="AH193" s="2962"/>
      <c r="AI193" s="2962"/>
      <c r="AJ193" s="2962"/>
      <c r="AK193" s="2962"/>
      <c r="AL193" s="2962"/>
      <c r="AM193" s="2962"/>
      <c r="AN193" s="2962"/>
      <c r="AO193" s="2962"/>
      <c r="AP193" s="2962"/>
      <c r="AQ193" s="2962"/>
      <c r="AR193" s="2962"/>
      <c r="AS193" s="2962"/>
      <c r="AT193" s="2972"/>
      <c r="AU193" s="2973"/>
      <c r="AV193" s="1120">
        <f t="shared" si="120"/>
        <v>0</v>
      </c>
      <c r="AW193" s="1120">
        <f t="shared" si="121"/>
        <v>0</v>
      </c>
      <c r="AX193" s="1120">
        <f t="shared" si="122"/>
        <v>0</v>
      </c>
      <c r="AY193" s="2987">
        <f t="shared" si="97"/>
        <v>0</v>
      </c>
      <c r="AZ193" s="2942">
        <f t="shared" si="98"/>
        <v>0</v>
      </c>
      <c r="BA193" s="2942">
        <f t="shared" si="99"/>
        <v>0</v>
      </c>
      <c r="BB193" s="2942">
        <f t="shared" si="100"/>
        <v>0</v>
      </c>
      <c r="BC193" s="2942">
        <f t="shared" si="101"/>
        <v>0</v>
      </c>
      <c r="BD193" s="2942">
        <f t="shared" si="102"/>
        <v>0</v>
      </c>
      <c r="BE193" s="2942">
        <f t="shared" si="103"/>
        <v>0</v>
      </c>
      <c r="BF193" s="2942">
        <f t="shared" si="104"/>
        <v>0</v>
      </c>
      <c r="BG193" s="2942">
        <f t="shared" si="105"/>
        <v>0</v>
      </c>
      <c r="BH193" s="2942">
        <f t="shared" si="106"/>
        <v>0</v>
      </c>
      <c r="BI193" s="2942">
        <f t="shared" si="107"/>
        <v>0</v>
      </c>
      <c r="BJ193" s="2942">
        <f t="shared" si="108"/>
        <v>0</v>
      </c>
      <c r="BK193" s="2942">
        <f t="shared" si="109"/>
        <v>0</v>
      </c>
      <c r="BL193" s="2942">
        <f t="shared" si="110"/>
        <v>0</v>
      </c>
      <c r="BM193" s="2942">
        <f t="shared" si="111"/>
        <v>0</v>
      </c>
      <c r="BN193" s="2942">
        <f t="shared" si="112"/>
        <v>0</v>
      </c>
      <c r="BO193" s="2942">
        <f t="shared" si="113"/>
        <v>0</v>
      </c>
      <c r="BP193" s="2942">
        <f t="shared" si="114"/>
        <v>0</v>
      </c>
      <c r="BQ193" s="2942">
        <f t="shared" si="115"/>
        <v>0</v>
      </c>
      <c r="BR193" s="2942">
        <f t="shared" si="116"/>
        <v>0</v>
      </c>
      <c r="BS193" s="2942">
        <f t="shared" si="117"/>
        <v>0</v>
      </c>
      <c r="BT193" s="2994">
        <f t="shared" si="118"/>
        <v>0</v>
      </c>
    </row>
    <row r="194" spans="1:72">
      <c r="A194" s="2939"/>
      <c r="B194" s="2940"/>
      <c r="C194" s="2940"/>
      <c r="D194" s="2941"/>
      <c r="E194" s="2942">
        <f t="shared" si="119"/>
        <v>0</v>
      </c>
      <c r="F194" s="2943"/>
      <c r="G194" s="2944">
        <f t="shared" si="94"/>
        <v>0</v>
      </c>
      <c r="H194" s="2945">
        <f t="shared" si="95"/>
        <v>0</v>
      </c>
      <c r="I194" s="2952"/>
      <c r="J194" s="2952"/>
      <c r="K194" s="2952"/>
      <c r="L194" s="2952"/>
      <c r="M194" s="2952"/>
      <c r="N194" s="2952"/>
      <c r="O194" s="2952"/>
      <c r="P194" s="2952"/>
      <c r="Q194" s="2952"/>
      <c r="R194" s="2952"/>
      <c r="S194" s="2952"/>
      <c r="T194" s="2952"/>
      <c r="U194" s="2952"/>
      <c r="V194" s="2952"/>
      <c r="W194" s="2952"/>
      <c r="X194" s="2952"/>
      <c r="Y194" s="2952"/>
      <c r="Z194" s="2952"/>
      <c r="AA194" s="2952"/>
      <c r="AB194" s="2952"/>
      <c r="AC194" s="2942">
        <f t="shared" si="96"/>
        <v>0</v>
      </c>
      <c r="AD194" s="2962"/>
      <c r="AE194" s="2962"/>
      <c r="AF194" s="2962"/>
      <c r="AG194" s="2962"/>
      <c r="AH194" s="2962"/>
      <c r="AI194" s="2962"/>
      <c r="AJ194" s="2962"/>
      <c r="AK194" s="2962"/>
      <c r="AL194" s="2962"/>
      <c r="AM194" s="2962"/>
      <c r="AN194" s="2962"/>
      <c r="AO194" s="2962"/>
      <c r="AP194" s="2962"/>
      <c r="AQ194" s="2962"/>
      <c r="AR194" s="2962"/>
      <c r="AS194" s="2962"/>
      <c r="AT194" s="2972"/>
      <c r="AU194" s="2973"/>
      <c r="AV194" s="1120">
        <f t="shared" si="120"/>
        <v>0</v>
      </c>
      <c r="AW194" s="1120">
        <f t="shared" si="121"/>
        <v>0</v>
      </c>
      <c r="AX194" s="1120">
        <f t="shared" si="122"/>
        <v>0</v>
      </c>
      <c r="AY194" s="2987">
        <f t="shared" si="97"/>
        <v>0</v>
      </c>
      <c r="AZ194" s="2942">
        <f t="shared" si="98"/>
        <v>0</v>
      </c>
      <c r="BA194" s="2942">
        <f t="shared" si="99"/>
        <v>0</v>
      </c>
      <c r="BB194" s="2942">
        <f t="shared" si="100"/>
        <v>0</v>
      </c>
      <c r="BC194" s="2942">
        <f t="shared" si="101"/>
        <v>0</v>
      </c>
      <c r="BD194" s="2942">
        <f t="shared" si="102"/>
        <v>0</v>
      </c>
      <c r="BE194" s="2942">
        <f t="shared" si="103"/>
        <v>0</v>
      </c>
      <c r="BF194" s="2942">
        <f t="shared" si="104"/>
        <v>0</v>
      </c>
      <c r="BG194" s="2942">
        <f t="shared" si="105"/>
        <v>0</v>
      </c>
      <c r="BH194" s="2942">
        <f t="shared" si="106"/>
        <v>0</v>
      </c>
      <c r="BI194" s="2942">
        <f t="shared" si="107"/>
        <v>0</v>
      </c>
      <c r="BJ194" s="2942">
        <f t="shared" si="108"/>
        <v>0</v>
      </c>
      <c r="BK194" s="2942">
        <f t="shared" si="109"/>
        <v>0</v>
      </c>
      <c r="BL194" s="2942">
        <f t="shared" si="110"/>
        <v>0</v>
      </c>
      <c r="BM194" s="2942">
        <f t="shared" si="111"/>
        <v>0</v>
      </c>
      <c r="BN194" s="2942">
        <f t="shared" si="112"/>
        <v>0</v>
      </c>
      <c r="BO194" s="2942">
        <f t="shared" si="113"/>
        <v>0</v>
      </c>
      <c r="BP194" s="2942">
        <f t="shared" si="114"/>
        <v>0</v>
      </c>
      <c r="BQ194" s="2942">
        <f t="shared" si="115"/>
        <v>0</v>
      </c>
      <c r="BR194" s="2942">
        <f t="shared" si="116"/>
        <v>0</v>
      </c>
      <c r="BS194" s="2942">
        <f t="shared" si="117"/>
        <v>0</v>
      </c>
      <c r="BT194" s="2994">
        <f t="shared" si="118"/>
        <v>0</v>
      </c>
    </row>
    <row r="195" spans="1:72">
      <c r="A195" s="2939"/>
      <c r="B195" s="2940"/>
      <c r="C195" s="2940"/>
      <c r="D195" s="2941"/>
      <c r="E195" s="2942">
        <f t="shared" si="119"/>
        <v>0</v>
      </c>
      <c r="F195" s="2943"/>
      <c r="G195" s="2944">
        <f t="shared" si="94"/>
        <v>0</v>
      </c>
      <c r="H195" s="2945">
        <f t="shared" si="95"/>
        <v>0</v>
      </c>
      <c r="I195" s="2952"/>
      <c r="J195" s="2952"/>
      <c r="K195" s="2952"/>
      <c r="L195" s="2952"/>
      <c r="M195" s="2952"/>
      <c r="N195" s="2952"/>
      <c r="O195" s="2952"/>
      <c r="P195" s="2952"/>
      <c r="Q195" s="2952"/>
      <c r="R195" s="2952"/>
      <c r="S195" s="2952"/>
      <c r="T195" s="2952"/>
      <c r="U195" s="2952"/>
      <c r="V195" s="2952"/>
      <c r="W195" s="2952"/>
      <c r="X195" s="2952"/>
      <c r="Y195" s="2952"/>
      <c r="Z195" s="2952"/>
      <c r="AA195" s="2952"/>
      <c r="AB195" s="2952"/>
      <c r="AC195" s="2942">
        <f t="shared" si="96"/>
        <v>0</v>
      </c>
      <c r="AD195" s="2962"/>
      <c r="AE195" s="2962"/>
      <c r="AF195" s="2962"/>
      <c r="AG195" s="2962"/>
      <c r="AH195" s="2962"/>
      <c r="AI195" s="2962"/>
      <c r="AJ195" s="2962"/>
      <c r="AK195" s="2962"/>
      <c r="AL195" s="2962"/>
      <c r="AM195" s="2962"/>
      <c r="AN195" s="2962"/>
      <c r="AO195" s="2962"/>
      <c r="AP195" s="2962"/>
      <c r="AQ195" s="2962"/>
      <c r="AR195" s="2962"/>
      <c r="AS195" s="2962"/>
      <c r="AT195" s="2972"/>
      <c r="AU195" s="2973"/>
      <c r="AV195" s="1120">
        <f t="shared" si="120"/>
        <v>0</v>
      </c>
      <c r="AW195" s="1120">
        <f t="shared" si="121"/>
        <v>0</v>
      </c>
      <c r="AX195" s="1120">
        <f t="shared" si="122"/>
        <v>0</v>
      </c>
      <c r="AY195" s="2987">
        <f t="shared" si="97"/>
        <v>0</v>
      </c>
      <c r="AZ195" s="2942">
        <f t="shared" si="98"/>
        <v>0</v>
      </c>
      <c r="BA195" s="2942">
        <f t="shared" si="99"/>
        <v>0</v>
      </c>
      <c r="BB195" s="2942">
        <f t="shared" si="100"/>
        <v>0</v>
      </c>
      <c r="BC195" s="2942">
        <f t="shared" si="101"/>
        <v>0</v>
      </c>
      <c r="BD195" s="2942">
        <f t="shared" si="102"/>
        <v>0</v>
      </c>
      <c r="BE195" s="2942">
        <f t="shared" si="103"/>
        <v>0</v>
      </c>
      <c r="BF195" s="2942">
        <f t="shared" si="104"/>
        <v>0</v>
      </c>
      <c r="BG195" s="2942">
        <f t="shared" si="105"/>
        <v>0</v>
      </c>
      <c r="BH195" s="2942">
        <f t="shared" si="106"/>
        <v>0</v>
      </c>
      <c r="BI195" s="2942">
        <f t="shared" si="107"/>
        <v>0</v>
      </c>
      <c r="BJ195" s="2942">
        <f t="shared" si="108"/>
        <v>0</v>
      </c>
      <c r="BK195" s="2942">
        <f t="shared" si="109"/>
        <v>0</v>
      </c>
      <c r="BL195" s="2942">
        <f t="shared" si="110"/>
        <v>0</v>
      </c>
      <c r="BM195" s="2942">
        <f t="shared" si="111"/>
        <v>0</v>
      </c>
      <c r="BN195" s="2942">
        <f t="shared" si="112"/>
        <v>0</v>
      </c>
      <c r="BO195" s="2942">
        <f t="shared" si="113"/>
        <v>0</v>
      </c>
      <c r="BP195" s="2942">
        <f t="shared" si="114"/>
        <v>0</v>
      </c>
      <c r="BQ195" s="2942">
        <f t="shared" si="115"/>
        <v>0</v>
      </c>
      <c r="BR195" s="2942">
        <f t="shared" si="116"/>
        <v>0</v>
      </c>
      <c r="BS195" s="2942">
        <f t="shared" si="117"/>
        <v>0</v>
      </c>
      <c r="BT195" s="2994">
        <f t="shared" si="118"/>
        <v>0</v>
      </c>
    </row>
    <row r="196" spans="1:72">
      <c r="A196" s="2939"/>
      <c r="B196" s="2940"/>
      <c r="C196" s="2940"/>
      <c r="D196" s="2941"/>
      <c r="E196" s="2942">
        <f t="shared" si="119"/>
        <v>0</v>
      </c>
      <c r="F196" s="2943"/>
      <c r="G196" s="2944">
        <f t="shared" si="94"/>
        <v>0</v>
      </c>
      <c r="H196" s="2945">
        <f t="shared" si="95"/>
        <v>0</v>
      </c>
      <c r="I196" s="2952"/>
      <c r="J196" s="2952"/>
      <c r="K196" s="2952"/>
      <c r="L196" s="2952"/>
      <c r="M196" s="2952"/>
      <c r="N196" s="2952"/>
      <c r="O196" s="2952"/>
      <c r="P196" s="2952"/>
      <c r="Q196" s="2952"/>
      <c r="R196" s="2952"/>
      <c r="S196" s="2952"/>
      <c r="T196" s="2952"/>
      <c r="U196" s="2952"/>
      <c r="V196" s="2952"/>
      <c r="W196" s="2952"/>
      <c r="X196" s="2952"/>
      <c r="Y196" s="2952"/>
      <c r="Z196" s="2952"/>
      <c r="AA196" s="2952"/>
      <c r="AB196" s="2952"/>
      <c r="AC196" s="2942">
        <f t="shared" si="96"/>
        <v>0</v>
      </c>
      <c r="AD196" s="2962"/>
      <c r="AE196" s="2962"/>
      <c r="AF196" s="2962"/>
      <c r="AG196" s="2962"/>
      <c r="AH196" s="2962"/>
      <c r="AI196" s="2962"/>
      <c r="AJ196" s="2962"/>
      <c r="AK196" s="2962"/>
      <c r="AL196" s="2962"/>
      <c r="AM196" s="2962"/>
      <c r="AN196" s="2962"/>
      <c r="AO196" s="2962"/>
      <c r="AP196" s="2962"/>
      <c r="AQ196" s="2962"/>
      <c r="AR196" s="2962"/>
      <c r="AS196" s="2962"/>
      <c r="AT196" s="2972"/>
      <c r="AU196" s="2973"/>
      <c r="AV196" s="1120">
        <f t="shared" si="120"/>
        <v>0</v>
      </c>
      <c r="AW196" s="1120">
        <f t="shared" si="121"/>
        <v>0</v>
      </c>
      <c r="AX196" s="1120">
        <f t="shared" si="122"/>
        <v>0</v>
      </c>
      <c r="AY196" s="2987">
        <f t="shared" si="97"/>
        <v>0</v>
      </c>
      <c r="AZ196" s="2942">
        <f t="shared" si="98"/>
        <v>0</v>
      </c>
      <c r="BA196" s="2942">
        <f t="shared" si="99"/>
        <v>0</v>
      </c>
      <c r="BB196" s="2942">
        <f t="shared" si="100"/>
        <v>0</v>
      </c>
      <c r="BC196" s="2942">
        <f t="shared" si="101"/>
        <v>0</v>
      </c>
      <c r="BD196" s="2942">
        <f t="shared" si="102"/>
        <v>0</v>
      </c>
      <c r="BE196" s="2942">
        <f t="shared" si="103"/>
        <v>0</v>
      </c>
      <c r="BF196" s="2942">
        <f t="shared" si="104"/>
        <v>0</v>
      </c>
      <c r="BG196" s="2942">
        <f t="shared" si="105"/>
        <v>0</v>
      </c>
      <c r="BH196" s="2942">
        <f t="shared" si="106"/>
        <v>0</v>
      </c>
      <c r="BI196" s="2942">
        <f t="shared" si="107"/>
        <v>0</v>
      </c>
      <c r="BJ196" s="2942">
        <f t="shared" si="108"/>
        <v>0</v>
      </c>
      <c r="BK196" s="2942">
        <f t="shared" si="109"/>
        <v>0</v>
      </c>
      <c r="BL196" s="2942">
        <f t="shared" si="110"/>
        <v>0</v>
      </c>
      <c r="BM196" s="2942">
        <f t="shared" si="111"/>
        <v>0</v>
      </c>
      <c r="BN196" s="2942">
        <f t="shared" si="112"/>
        <v>0</v>
      </c>
      <c r="BO196" s="2942">
        <f t="shared" si="113"/>
        <v>0</v>
      </c>
      <c r="BP196" s="2942">
        <f t="shared" si="114"/>
        <v>0</v>
      </c>
      <c r="BQ196" s="2942">
        <f t="shared" si="115"/>
        <v>0</v>
      </c>
      <c r="BR196" s="2942">
        <f t="shared" si="116"/>
        <v>0</v>
      </c>
      <c r="BS196" s="2942">
        <f t="shared" si="117"/>
        <v>0</v>
      </c>
      <c r="BT196" s="2994">
        <f t="shared" si="118"/>
        <v>0</v>
      </c>
    </row>
    <row r="197" spans="1:72">
      <c r="A197" s="2939"/>
      <c r="B197" s="2940"/>
      <c r="C197" s="2940"/>
      <c r="D197" s="2941"/>
      <c r="E197" s="2942">
        <f t="shared" si="119"/>
        <v>0</v>
      </c>
      <c r="F197" s="2943"/>
      <c r="G197" s="2944">
        <f t="shared" si="94"/>
        <v>0</v>
      </c>
      <c r="H197" s="2945">
        <f t="shared" si="95"/>
        <v>0</v>
      </c>
      <c r="I197" s="2952"/>
      <c r="J197" s="2952"/>
      <c r="K197" s="2952"/>
      <c r="L197" s="2952"/>
      <c r="M197" s="2952"/>
      <c r="N197" s="2952"/>
      <c r="O197" s="2952"/>
      <c r="P197" s="2952"/>
      <c r="Q197" s="2952"/>
      <c r="R197" s="2952"/>
      <c r="S197" s="2952"/>
      <c r="T197" s="2952"/>
      <c r="U197" s="2952"/>
      <c r="V197" s="2952"/>
      <c r="W197" s="2952"/>
      <c r="X197" s="2952"/>
      <c r="Y197" s="2952"/>
      <c r="Z197" s="2952"/>
      <c r="AA197" s="2952"/>
      <c r="AB197" s="2952"/>
      <c r="AC197" s="2942">
        <f t="shared" si="96"/>
        <v>0</v>
      </c>
      <c r="AD197" s="2962"/>
      <c r="AE197" s="2962"/>
      <c r="AF197" s="2962"/>
      <c r="AG197" s="2962"/>
      <c r="AH197" s="2962"/>
      <c r="AI197" s="2962"/>
      <c r="AJ197" s="2962"/>
      <c r="AK197" s="2962"/>
      <c r="AL197" s="2962"/>
      <c r="AM197" s="2962"/>
      <c r="AN197" s="2962"/>
      <c r="AO197" s="2962"/>
      <c r="AP197" s="2962"/>
      <c r="AQ197" s="2962"/>
      <c r="AR197" s="2962"/>
      <c r="AS197" s="2962"/>
      <c r="AT197" s="2972"/>
      <c r="AU197" s="2973"/>
      <c r="AV197" s="1120">
        <f t="shared" si="120"/>
        <v>0</v>
      </c>
      <c r="AW197" s="1120">
        <f t="shared" si="121"/>
        <v>0</v>
      </c>
      <c r="AX197" s="1120">
        <f t="shared" si="122"/>
        <v>0</v>
      </c>
      <c r="AY197" s="2987">
        <f t="shared" si="97"/>
        <v>0</v>
      </c>
      <c r="AZ197" s="2942">
        <f t="shared" si="98"/>
        <v>0</v>
      </c>
      <c r="BA197" s="2942">
        <f t="shared" si="99"/>
        <v>0</v>
      </c>
      <c r="BB197" s="2942">
        <f t="shared" si="100"/>
        <v>0</v>
      </c>
      <c r="BC197" s="2942">
        <f t="shared" si="101"/>
        <v>0</v>
      </c>
      <c r="BD197" s="2942">
        <f t="shared" si="102"/>
        <v>0</v>
      </c>
      <c r="BE197" s="2942">
        <f t="shared" si="103"/>
        <v>0</v>
      </c>
      <c r="BF197" s="2942">
        <f t="shared" si="104"/>
        <v>0</v>
      </c>
      <c r="BG197" s="2942">
        <f t="shared" si="105"/>
        <v>0</v>
      </c>
      <c r="BH197" s="2942">
        <f t="shared" si="106"/>
        <v>0</v>
      </c>
      <c r="BI197" s="2942">
        <f t="shared" si="107"/>
        <v>0</v>
      </c>
      <c r="BJ197" s="2942">
        <f t="shared" si="108"/>
        <v>0</v>
      </c>
      <c r="BK197" s="2942">
        <f t="shared" si="109"/>
        <v>0</v>
      </c>
      <c r="BL197" s="2942">
        <f t="shared" si="110"/>
        <v>0</v>
      </c>
      <c r="BM197" s="2942">
        <f t="shared" si="111"/>
        <v>0</v>
      </c>
      <c r="BN197" s="2942">
        <f t="shared" si="112"/>
        <v>0</v>
      </c>
      <c r="BO197" s="2942">
        <f t="shared" si="113"/>
        <v>0</v>
      </c>
      <c r="BP197" s="2942">
        <f t="shared" si="114"/>
        <v>0</v>
      </c>
      <c r="BQ197" s="2942">
        <f t="shared" si="115"/>
        <v>0</v>
      </c>
      <c r="BR197" s="2942">
        <f t="shared" si="116"/>
        <v>0</v>
      </c>
      <c r="BS197" s="2942">
        <f t="shared" si="117"/>
        <v>0</v>
      </c>
      <c r="BT197" s="2994">
        <f t="shared" si="118"/>
        <v>0</v>
      </c>
    </row>
    <row r="198" spans="1:72">
      <c r="A198" s="2939"/>
      <c r="B198" s="2940"/>
      <c r="C198" s="2940"/>
      <c r="D198" s="2941"/>
      <c r="E198" s="2942">
        <f t="shared" si="119"/>
        <v>0</v>
      </c>
      <c r="F198" s="2943"/>
      <c r="G198" s="2944">
        <f t="shared" si="94"/>
        <v>0</v>
      </c>
      <c r="H198" s="2945">
        <f t="shared" si="95"/>
        <v>0</v>
      </c>
      <c r="I198" s="2952"/>
      <c r="J198" s="2952"/>
      <c r="K198" s="2952"/>
      <c r="L198" s="2952"/>
      <c r="M198" s="2952"/>
      <c r="N198" s="2952"/>
      <c r="O198" s="2952"/>
      <c r="P198" s="2952"/>
      <c r="Q198" s="2952"/>
      <c r="R198" s="2952"/>
      <c r="S198" s="2952"/>
      <c r="T198" s="2952"/>
      <c r="U198" s="2952"/>
      <c r="V198" s="2952"/>
      <c r="W198" s="2952"/>
      <c r="X198" s="2952"/>
      <c r="Y198" s="2952"/>
      <c r="Z198" s="2952"/>
      <c r="AA198" s="2952"/>
      <c r="AB198" s="2952"/>
      <c r="AC198" s="2942">
        <f t="shared" si="96"/>
        <v>0</v>
      </c>
      <c r="AD198" s="2962"/>
      <c r="AE198" s="2962"/>
      <c r="AF198" s="2962"/>
      <c r="AG198" s="2962"/>
      <c r="AH198" s="2962"/>
      <c r="AI198" s="2962"/>
      <c r="AJ198" s="2962"/>
      <c r="AK198" s="2962"/>
      <c r="AL198" s="2962"/>
      <c r="AM198" s="2962"/>
      <c r="AN198" s="2962"/>
      <c r="AO198" s="2962"/>
      <c r="AP198" s="2962"/>
      <c r="AQ198" s="2962"/>
      <c r="AR198" s="2962"/>
      <c r="AS198" s="2962"/>
      <c r="AT198" s="2972"/>
      <c r="AU198" s="2973"/>
      <c r="AV198" s="1120">
        <f t="shared" si="120"/>
        <v>0</v>
      </c>
      <c r="AW198" s="1120">
        <f t="shared" si="121"/>
        <v>0</v>
      </c>
      <c r="AX198" s="1120">
        <f t="shared" si="122"/>
        <v>0</v>
      </c>
      <c r="AY198" s="2987">
        <f t="shared" si="97"/>
        <v>0</v>
      </c>
      <c r="AZ198" s="2942">
        <f t="shared" si="98"/>
        <v>0</v>
      </c>
      <c r="BA198" s="2942">
        <f t="shared" si="99"/>
        <v>0</v>
      </c>
      <c r="BB198" s="2942">
        <f t="shared" si="100"/>
        <v>0</v>
      </c>
      <c r="BC198" s="2942">
        <f t="shared" si="101"/>
        <v>0</v>
      </c>
      <c r="BD198" s="2942">
        <f t="shared" si="102"/>
        <v>0</v>
      </c>
      <c r="BE198" s="2942">
        <f t="shared" si="103"/>
        <v>0</v>
      </c>
      <c r="BF198" s="2942">
        <f t="shared" si="104"/>
        <v>0</v>
      </c>
      <c r="BG198" s="2942">
        <f t="shared" si="105"/>
        <v>0</v>
      </c>
      <c r="BH198" s="2942">
        <f t="shared" si="106"/>
        <v>0</v>
      </c>
      <c r="BI198" s="2942">
        <f t="shared" si="107"/>
        <v>0</v>
      </c>
      <c r="BJ198" s="2942">
        <f t="shared" si="108"/>
        <v>0</v>
      </c>
      <c r="BK198" s="2942">
        <f t="shared" si="109"/>
        <v>0</v>
      </c>
      <c r="BL198" s="2942">
        <f t="shared" si="110"/>
        <v>0</v>
      </c>
      <c r="BM198" s="2942">
        <f t="shared" si="111"/>
        <v>0</v>
      </c>
      <c r="BN198" s="2942">
        <f t="shared" si="112"/>
        <v>0</v>
      </c>
      <c r="BO198" s="2942">
        <f t="shared" si="113"/>
        <v>0</v>
      </c>
      <c r="BP198" s="2942">
        <f t="shared" si="114"/>
        <v>0</v>
      </c>
      <c r="BQ198" s="2942">
        <f t="shared" si="115"/>
        <v>0</v>
      </c>
      <c r="BR198" s="2942">
        <f t="shared" si="116"/>
        <v>0</v>
      </c>
      <c r="BS198" s="2942">
        <f t="shared" si="117"/>
        <v>0</v>
      </c>
      <c r="BT198" s="2994">
        <f t="shared" si="118"/>
        <v>0</v>
      </c>
    </row>
    <row r="199" spans="1:72">
      <c r="A199" s="2939"/>
      <c r="B199" s="2940"/>
      <c r="C199" s="2940"/>
      <c r="D199" s="2941"/>
      <c r="E199" s="2942">
        <f t="shared" si="119"/>
        <v>0</v>
      </c>
      <c r="F199" s="2943"/>
      <c r="G199" s="2944">
        <f t="shared" si="94"/>
        <v>0</v>
      </c>
      <c r="H199" s="2945">
        <f t="shared" si="95"/>
        <v>0</v>
      </c>
      <c r="I199" s="2952"/>
      <c r="J199" s="2952"/>
      <c r="K199" s="2952"/>
      <c r="L199" s="2952"/>
      <c r="M199" s="2952"/>
      <c r="N199" s="2952"/>
      <c r="O199" s="2952"/>
      <c r="P199" s="2952"/>
      <c r="Q199" s="2952"/>
      <c r="R199" s="2952"/>
      <c r="S199" s="2952"/>
      <c r="T199" s="2952"/>
      <c r="U199" s="2952"/>
      <c r="V199" s="2952"/>
      <c r="W199" s="2952"/>
      <c r="X199" s="2952"/>
      <c r="Y199" s="2952"/>
      <c r="Z199" s="2952"/>
      <c r="AA199" s="2952"/>
      <c r="AB199" s="2952"/>
      <c r="AC199" s="2942">
        <f t="shared" si="96"/>
        <v>0</v>
      </c>
      <c r="AD199" s="2962"/>
      <c r="AE199" s="2962"/>
      <c r="AF199" s="2962"/>
      <c r="AG199" s="2962"/>
      <c r="AH199" s="2962"/>
      <c r="AI199" s="2962"/>
      <c r="AJ199" s="2962"/>
      <c r="AK199" s="2962"/>
      <c r="AL199" s="2962"/>
      <c r="AM199" s="2962"/>
      <c r="AN199" s="2962"/>
      <c r="AO199" s="2962"/>
      <c r="AP199" s="2962"/>
      <c r="AQ199" s="2962"/>
      <c r="AR199" s="2962"/>
      <c r="AS199" s="2962"/>
      <c r="AT199" s="2972"/>
      <c r="AU199" s="2973"/>
      <c r="AV199" s="1120">
        <f t="shared" si="120"/>
        <v>0</v>
      </c>
      <c r="AW199" s="1120">
        <f t="shared" si="121"/>
        <v>0</v>
      </c>
      <c r="AX199" s="1120">
        <f t="shared" si="122"/>
        <v>0</v>
      </c>
      <c r="AY199" s="2987">
        <f t="shared" si="97"/>
        <v>0</v>
      </c>
      <c r="AZ199" s="2942">
        <f t="shared" si="98"/>
        <v>0</v>
      </c>
      <c r="BA199" s="2942">
        <f t="shared" si="99"/>
        <v>0</v>
      </c>
      <c r="BB199" s="2942">
        <f t="shared" si="100"/>
        <v>0</v>
      </c>
      <c r="BC199" s="2942">
        <f t="shared" si="101"/>
        <v>0</v>
      </c>
      <c r="BD199" s="2942">
        <f t="shared" si="102"/>
        <v>0</v>
      </c>
      <c r="BE199" s="2942">
        <f t="shared" si="103"/>
        <v>0</v>
      </c>
      <c r="BF199" s="2942">
        <f t="shared" si="104"/>
        <v>0</v>
      </c>
      <c r="BG199" s="2942">
        <f t="shared" si="105"/>
        <v>0</v>
      </c>
      <c r="BH199" s="2942">
        <f t="shared" si="106"/>
        <v>0</v>
      </c>
      <c r="BI199" s="2942">
        <f t="shared" si="107"/>
        <v>0</v>
      </c>
      <c r="BJ199" s="2942">
        <f t="shared" si="108"/>
        <v>0</v>
      </c>
      <c r="BK199" s="2942">
        <f t="shared" si="109"/>
        <v>0</v>
      </c>
      <c r="BL199" s="2942">
        <f t="shared" si="110"/>
        <v>0</v>
      </c>
      <c r="BM199" s="2942">
        <f t="shared" si="111"/>
        <v>0</v>
      </c>
      <c r="BN199" s="2942">
        <f t="shared" si="112"/>
        <v>0</v>
      </c>
      <c r="BO199" s="2942">
        <f t="shared" si="113"/>
        <v>0</v>
      </c>
      <c r="BP199" s="2942">
        <f t="shared" si="114"/>
        <v>0</v>
      </c>
      <c r="BQ199" s="2942">
        <f t="shared" si="115"/>
        <v>0</v>
      </c>
      <c r="BR199" s="2942">
        <f t="shared" si="116"/>
        <v>0</v>
      </c>
      <c r="BS199" s="2942">
        <f t="shared" si="117"/>
        <v>0</v>
      </c>
      <c r="BT199" s="2994">
        <f t="shared" si="118"/>
        <v>0</v>
      </c>
    </row>
    <row r="200" spans="1:72">
      <c r="A200" s="2939"/>
      <c r="B200" s="2940"/>
      <c r="C200" s="2940"/>
      <c r="D200" s="2941"/>
      <c r="E200" s="2942">
        <f t="shared" si="119"/>
        <v>0</v>
      </c>
      <c r="F200" s="2943"/>
      <c r="G200" s="2944">
        <f t="shared" si="94"/>
        <v>0</v>
      </c>
      <c r="H200" s="2945">
        <f t="shared" si="95"/>
        <v>0</v>
      </c>
      <c r="I200" s="2952"/>
      <c r="J200" s="2952"/>
      <c r="K200" s="2952"/>
      <c r="L200" s="2952"/>
      <c r="M200" s="2952"/>
      <c r="N200" s="2952"/>
      <c r="O200" s="2952"/>
      <c r="P200" s="2952"/>
      <c r="Q200" s="2952"/>
      <c r="R200" s="2952"/>
      <c r="S200" s="2952"/>
      <c r="T200" s="2952"/>
      <c r="U200" s="2952"/>
      <c r="V200" s="2952"/>
      <c r="W200" s="2952"/>
      <c r="X200" s="2952"/>
      <c r="Y200" s="2952"/>
      <c r="Z200" s="2952"/>
      <c r="AA200" s="2952"/>
      <c r="AB200" s="2952"/>
      <c r="AC200" s="2942">
        <f t="shared" si="96"/>
        <v>0</v>
      </c>
      <c r="AD200" s="2962"/>
      <c r="AE200" s="2962"/>
      <c r="AF200" s="2962"/>
      <c r="AG200" s="2962"/>
      <c r="AH200" s="2962"/>
      <c r="AI200" s="2962"/>
      <c r="AJ200" s="2962"/>
      <c r="AK200" s="2962"/>
      <c r="AL200" s="2962"/>
      <c r="AM200" s="2962"/>
      <c r="AN200" s="2962"/>
      <c r="AO200" s="2962"/>
      <c r="AP200" s="2962"/>
      <c r="AQ200" s="2962"/>
      <c r="AR200" s="2962"/>
      <c r="AS200" s="2962"/>
      <c r="AT200" s="2972"/>
      <c r="AU200" s="2973"/>
      <c r="AV200" s="1120">
        <f t="shared" si="120"/>
        <v>0</v>
      </c>
      <c r="AW200" s="1120">
        <f t="shared" si="121"/>
        <v>0</v>
      </c>
      <c r="AX200" s="1120">
        <f t="shared" si="122"/>
        <v>0</v>
      </c>
      <c r="AY200" s="2987">
        <f t="shared" si="97"/>
        <v>0</v>
      </c>
      <c r="AZ200" s="2942">
        <f t="shared" si="98"/>
        <v>0</v>
      </c>
      <c r="BA200" s="2942">
        <f t="shared" si="99"/>
        <v>0</v>
      </c>
      <c r="BB200" s="2942">
        <f t="shared" si="100"/>
        <v>0</v>
      </c>
      <c r="BC200" s="2942">
        <f t="shared" si="101"/>
        <v>0</v>
      </c>
      <c r="BD200" s="2942">
        <f t="shared" si="102"/>
        <v>0</v>
      </c>
      <c r="BE200" s="2942">
        <f t="shared" si="103"/>
        <v>0</v>
      </c>
      <c r="BF200" s="2942">
        <f t="shared" si="104"/>
        <v>0</v>
      </c>
      <c r="BG200" s="2942">
        <f t="shared" si="105"/>
        <v>0</v>
      </c>
      <c r="BH200" s="2942">
        <f t="shared" si="106"/>
        <v>0</v>
      </c>
      <c r="BI200" s="2942">
        <f t="shared" si="107"/>
        <v>0</v>
      </c>
      <c r="BJ200" s="2942">
        <f t="shared" si="108"/>
        <v>0</v>
      </c>
      <c r="BK200" s="2942">
        <f t="shared" si="109"/>
        <v>0</v>
      </c>
      <c r="BL200" s="2942">
        <f t="shared" si="110"/>
        <v>0</v>
      </c>
      <c r="BM200" s="2942">
        <f t="shared" si="111"/>
        <v>0</v>
      </c>
      <c r="BN200" s="2942">
        <f t="shared" si="112"/>
        <v>0</v>
      </c>
      <c r="BO200" s="2942">
        <f t="shared" si="113"/>
        <v>0</v>
      </c>
      <c r="BP200" s="2942">
        <f t="shared" si="114"/>
        <v>0</v>
      </c>
      <c r="BQ200" s="2942">
        <f t="shared" si="115"/>
        <v>0</v>
      </c>
      <c r="BR200" s="2942">
        <f t="shared" si="116"/>
        <v>0</v>
      </c>
      <c r="BS200" s="2942">
        <f t="shared" si="117"/>
        <v>0</v>
      </c>
      <c r="BT200" s="2994">
        <f t="shared" si="118"/>
        <v>0</v>
      </c>
    </row>
    <row r="201" spans="1:72">
      <c r="A201" s="2939"/>
      <c r="B201" s="2940"/>
      <c r="C201" s="2940"/>
      <c r="D201" s="2941"/>
      <c r="E201" s="2942">
        <f t="shared" si="119"/>
        <v>0</v>
      </c>
      <c r="F201" s="2943"/>
      <c r="G201" s="2944">
        <f t="shared" si="94"/>
        <v>0</v>
      </c>
      <c r="H201" s="2945">
        <f t="shared" si="95"/>
        <v>0</v>
      </c>
      <c r="I201" s="2952"/>
      <c r="J201" s="2952"/>
      <c r="K201" s="2952"/>
      <c r="L201" s="2952"/>
      <c r="M201" s="2952"/>
      <c r="N201" s="2952"/>
      <c r="O201" s="2952"/>
      <c r="P201" s="2952"/>
      <c r="Q201" s="2952"/>
      <c r="R201" s="2952"/>
      <c r="S201" s="2952"/>
      <c r="T201" s="2952"/>
      <c r="U201" s="2952"/>
      <c r="V201" s="2952"/>
      <c r="W201" s="2952"/>
      <c r="X201" s="2952"/>
      <c r="Y201" s="2952"/>
      <c r="Z201" s="2952"/>
      <c r="AA201" s="2952"/>
      <c r="AB201" s="2952"/>
      <c r="AC201" s="2942">
        <f t="shared" si="96"/>
        <v>0</v>
      </c>
      <c r="AD201" s="2962"/>
      <c r="AE201" s="2962"/>
      <c r="AF201" s="2962"/>
      <c r="AG201" s="2962"/>
      <c r="AH201" s="2962"/>
      <c r="AI201" s="2962"/>
      <c r="AJ201" s="2962"/>
      <c r="AK201" s="2962"/>
      <c r="AL201" s="2962"/>
      <c r="AM201" s="2962"/>
      <c r="AN201" s="2962"/>
      <c r="AO201" s="2962"/>
      <c r="AP201" s="2962"/>
      <c r="AQ201" s="2962"/>
      <c r="AR201" s="2962"/>
      <c r="AS201" s="2962"/>
      <c r="AT201" s="2972"/>
      <c r="AU201" s="2973"/>
      <c r="AV201" s="1120">
        <f t="shared" si="120"/>
        <v>0</v>
      </c>
      <c r="AW201" s="1120">
        <f t="shared" si="121"/>
        <v>0</v>
      </c>
      <c r="AX201" s="1120">
        <f t="shared" si="122"/>
        <v>0</v>
      </c>
      <c r="AY201" s="2987">
        <f t="shared" si="97"/>
        <v>0</v>
      </c>
      <c r="AZ201" s="2942">
        <f t="shared" si="98"/>
        <v>0</v>
      </c>
      <c r="BA201" s="2942">
        <f t="shared" si="99"/>
        <v>0</v>
      </c>
      <c r="BB201" s="2942">
        <f t="shared" si="100"/>
        <v>0</v>
      </c>
      <c r="BC201" s="2942">
        <f t="shared" si="101"/>
        <v>0</v>
      </c>
      <c r="BD201" s="2942">
        <f t="shared" si="102"/>
        <v>0</v>
      </c>
      <c r="BE201" s="2942">
        <f t="shared" si="103"/>
        <v>0</v>
      </c>
      <c r="BF201" s="2942">
        <f t="shared" si="104"/>
        <v>0</v>
      </c>
      <c r="BG201" s="2942">
        <f t="shared" si="105"/>
        <v>0</v>
      </c>
      <c r="BH201" s="2942">
        <f t="shared" si="106"/>
        <v>0</v>
      </c>
      <c r="BI201" s="2942">
        <f t="shared" si="107"/>
        <v>0</v>
      </c>
      <c r="BJ201" s="2942">
        <f t="shared" si="108"/>
        <v>0</v>
      </c>
      <c r="BK201" s="2942">
        <f t="shared" si="109"/>
        <v>0</v>
      </c>
      <c r="BL201" s="2942">
        <f t="shared" si="110"/>
        <v>0</v>
      </c>
      <c r="BM201" s="2942">
        <f t="shared" si="111"/>
        <v>0</v>
      </c>
      <c r="BN201" s="2942">
        <f t="shared" si="112"/>
        <v>0</v>
      </c>
      <c r="BO201" s="2942">
        <f t="shared" si="113"/>
        <v>0</v>
      </c>
      <c r="BP201" s="2942">
        <f t="shared" si="114"/>
        <v>0</v>
      </c>
      <c r="BQ201" s="2942">
        <f t="shared" si="115"/>
        <v>0</v>
      </c>
      <c r="BR201" s="2942">
        <f t="shared" si="116"/>
        <v>0</v>
      </c>
      <c r="BS201" s="2942">
        <f t="shared" si="117"/>
        <v>0</v>
      </c>
      <c r="BT201" s="2994">
        <f t="shared" si="118"/>
        <v>0</v>
      </c>
    </row>
    <row r="202" spans="1:72">
      <c r="A202" s="2939"/>
      <c r="B202" s="2940"/>
      <c r="C202" s="2940"/>
      <c r="D202" s="2941"/>
      <c r="E202" s="2942">
        <f t="shared" si="119"/>
        <v>0</v>
      </c>
      <c r="F202" s="2943"/>
      <c r="G202" s="2944">
        <f t="shared" si="94"/>
        <v>0</v>
      </c>
      <c r="H202" s="2945">
        <f t="shared" si="95"/>
        <v>0</v>
      </c>
      <c r="I202" s="2952"/>
      <c r="J202" s="2952"/>
      <c r="K202" s="2952"/>
      <c r="L202" s="2952"/>
      <c r="M202" s="2952"/>
      <c r="N202" s="2952"/>
      <c r="O202" s="2952"/>
      <c r="P202" s="2952"/>
      <c r="Q202" s="2952"/>
      <c r="R202" s="2952"/>
      <c r="S202" s="2952"/>
      <c r="T202" s="2952"/>
      <c r="U202" s="2952"/>
      <c r="V202" s="2952"/>
      <c r="W202" s="2952"/>
      <c r="X202" s="2952"/>
      <c r="Y202" s="2952"/>
      <c r="Z202" s="2952"/>
      <c r="AA202" s="2952"/>
      <c r="AB202" s="2952"/>
      <c r="AC202" s="2942">
        <f t="shared" si="96"/>
        <v>0</v>
      </c>
      <c r="AD202" s="2962"/>
      <c r="AE202" s="2962"/>
      <c r="AF202" s="2962"/>
      <c r="AG202" s="2962"/>
      <c r="AH202" s="2962"/>
      <c r="AI202" s="2962"/>
      <c r="AJ202" s="2962"/>
      <c r="AK202" s="2962"/>
      <c r="AL202" s="2962"/>
      <c r="AM202" s="2962"/>
      <c r="AN202" s="2962"/>
      <c r="AO202" s="2962"/>
      <c r="AP202" s="2962"/>
      <c r="AQ202" s="2962"/>
      <c r="AR202" s="2962"/>
      <c r="AS202" s="2962"/>
      <c r="AT202" s="2972"/>
      <c r="AU202" s="2973"/>
      <c r="AV202" s="1120">
        <f t="shared" si="120"/>
        <v>0</v>
      </c>
      <c r="AW202" s="1120">
        <f t="shared" si="121"/>
        <v>0</v>
      </c>
      <c r="AX202" s="1120">
        <f t="shared" si="122"/>
        <v>0</v>
      </c>
      <c r="AY202" s="2987">
        <f t="shared" si="97"/>
        <v>0</v>
      </c>
      <c r="AZ202" s="2942">
        <f t="shared" si="98"/>
        <v>0</v>
      </c>
      <c r="BA202" s="2942">
        <f t="shared" si="99"/>
        <v>0</v>
      </c>
      <c r="BB202" s="2942">
        <f t="shared" si="100"/>
        <v>0</v>
      </c>
      <c r="BC202" s="2942">
        <f t="shared" si="101"/>
        <v>0</v>
      </c>
      <c r="BD202" s="2942">
        <f t="shared" si="102"/>
        <v>0</v>
      </c>
      <c r="BE202" s="2942">
        <f t="shared" si="103"/>
        <v>0</v>
      </c>
      <c r="BF202" s="2942">
        <f t="shared" si="104"/>
        <v>0</v>
      </c>
      <c r="BG202" s="2942">
        <f t="shared" si="105"/>
        <v>0</v>
      </c>
      <c r="BH202" s="2942">
        <f t="shared" si="106"/>
        <v>0</v>
      </c>
      <c r="BI202" s="2942">
        <f t="shared" si="107"/>
        <v>0</v>
      </c>
      <c r="BJ202" s="2942">
        <f t="shared" si="108"/>
        <v>0</v>
      </c>
      <c r="BK202" s="2942">
        <f t="shared" si="109"/>
        <v>0</v>
      </c>
      <c r="BL202" s="2942">
        <f t="shared" si="110"/>
        <v>0</v>
      </c>
      <c r="BM202" s="2942">
        <f t="shared" si="111"/>
        <v>0</v>
      </c>
      <c r="BN202" s="2942">
        <f t="shared" si="112"/>
        <v>0</v>
      </c>
      <c r="BO202" s="2942">
        <f t="shared" si="113"/>
        <v>0</v>
      </c>
      <c r="BP202" s="2942">
        <f t="shared" si="114"/>
        <v>0</v>
      </c>
      <c r="BQ202" s="2942">
        <f t="shared" si="115"/>
        <v>0</v>
      </c>
      <c r="BR202" s="2942">
        <f t="shared" si="116"/>
        <v>0</v>
      </c>
      <c r="BS202" s="2942">
        <f t="shared" si="117"/>
        <v>0</v>
      </c>
      <c r="BT202" s="2994">
        <f t="shared" si="118"/>
        <v>0</v>
      </c>
    </row>
    <row r="203" spans="1:72">
      <c r="A203" s="2939"/>
      <c r="B203" s="2940"/>
      <c r="C203" s="2940"/>
      <c r="D203" s="2941"/>
      <c r="E203" s="2942">
        <f t="shared" si="119"/>
        <v>0</v>
      </c>
      <c r="F203" s="2943"/>
      <c r="G203" s="2944">
        <f t="shared" si="94"/>
        <v>0</v>
      </c>
      <c r="H203" s="2945">
        <f t="shared" si="95"/>
        <v>0</v>
      </c>
      <c r="I203" s="2952"/>
      <c r="J203" s="2952"/>
      <c r="K203" s="2952"/>
      <c r="L203" s="2952"/>
      <c r="M203" s="2952"/>
      <c r="N203" s="2952"/>
      <c r="O203" s="2952"/>
      <c r="P203" s="2952"/>
      <c r="Q203" s="2952"/>
      <c r="R203" s="2952"/>
      <c r="S203" s="2952"/>
      <c r="T203" s="2952"/>
      <c r="U203" s="2952"/>
      <c r="V203" s="2952"/>
      <c r="W203" s="2952"/>
      <c r="X203" s="2952"/>
      <c r="Y203" s="2952"/>
      <c r="Z203" s="2952"/>
      <c r="AA203" s="2952"/>
      <c r="AB203" s="2952"/>
      <c r="AC203" s="2942">
        <f t="shared" si="96"/>
        <v>0</v>
      </c>
      <c r="AD203" s="2962"/>
      <c r="AE203" s="2962"/>
      <c r="AF203" s="2962"/>
      <c r="AG203" s="2962"/>
      <c r="AH203" s="2962"/>
      <c r="AI203" s="2962"/>
      <c r="AJ203" s="2962"/>
      <c r="AK203" s="2962"/>
      <c r="AL203" s="2962"/>
      <c r="AM203" s="2962"/>
      <c r="AN203" s="2962"/>
      <c r="AO203" s="2962"/>
      <c r="AP203" s="2962"/>
      <c r="AQ203" s="2962"/>
      <c r="AR203" s="2962"/>
      <c r="AS203" s="2962"/>
      <c r="AT203" s="2972"/>
      <c r="AU203" s="2973"/>
      <c r="AV203" s="1120">
        <f t="shared" si="120"/>
        <v>0</v>
      </c>
      <c r="AW203" s="1120">
        <f t="shared" si="121"/>
        <v>0</v>
      </c>
      <c r="AX203" s="1120">
        <f t="shared" si="122"/>
        <v>0</v>
      </c>
      <c r="AY203" s="2987">
        <f t="shared" si="97"/>
        <v>0</v>
      </c>
      <c r="AZ203" s="2942">
        <f t="shared" si="98"/>
        <v>0</v>
      </c>
      <c r="BA203" s="2942">
        <f t="shared" si="99"/>
        <v>0</v>
      </c>
      <c r="BB203" s="2942">
        <f t="shared" si="100"/>
        <v>0</v>
      </c>
      <c r="BC203" s="2942">
        <f t="shared" si="101"/>
        <v>0</v>
      </c>
      <c r="BD203" s="2942">
        <f t="shared" si="102"/>
        <v>0</v>
      </c>
      <c r="BE203" s="2942">
        <f t="shared" si="103"/>
        <v>0</v>
      </c>
      <c r="BF203" s="2942">
        <f t="shared" si="104"/>
        <v>0</v>
      </c>
      <c r="BG203" s="2942">
        <f t="shared" si="105"/>
        <v>0</v>
      </c>
      <c r="BH203" s="2942">
        <f t="shared" si="106"/>
        <v>0</v>
      </c>
      <c r="BI203" s="2942">
        <f t="shared" si="107"/>
        <v>0</v>
      </c>
      <c r="BJ203" s="2942">
        <f t="shared" si="108"/>
        <v>0</v>
      </c>
      <c r="BK203" s="2942">
        <f t="shared" si="109"/>
        <v>0</v>
      </c>
      <c r="BL203" s="2942">
        <f t="shared" si="110"/>
        <v>0</v>
      </c>
      <c r="BM203" s="2942">
        <f t="shared" si="111"/>
        <v>0</v>
      </c>
      <c r="BN203" s="2942">
        <f t="shared" si="112"/>
        <v>0</v>
      </c>
      <c r="BO203" s="2942">
        <f t="shared" si="113"/>
        <v>0</v>
      </c>
      <c r="BP203" s="2942">
        <f t="shared" si="114"/>
        <v>0</v>
      </c>
      <c r="BQ203" s="2942">
        <f t="shared" si="115"/>
        <v>0</v>
      </c>
      <c r="BR203" s="2942">
        <f t="shared" si="116"/>
        <v>0</v>
      </c>
      <c r="BS203" s="2942">
        <f t="shared" si="117"/>
        <v>0</v>
      </c>
      <c r="BT203" s="2994">
        <f t="shared" si="118"/>
        <v>0</v>
      </c>
    </row>
    <row r="204" spans="1:72">
      <c r="A204" s="2939"/>
      <c r="B204" s="2940"/>
      <c r="C204" s="2940"/>
      <c r="D204" s="2941"/>
      <c r="E204" s="2942">
        <f t="shared" si="119"/>
        <v>0</v>
      </c>
      <c r="F204" s="2943"/>
      <c r="G204" s="2944">
        <f t="shared" si="94"/>
        <v>0</v>
      </c>
      <c r="H204" s="2945">
        <f t="shared" si="95"/>
        <v>0</v>
      </c>
      <c r="I204" s="2952"/>
      <c r="J204" s="2952"/>
      <c r="K204" s="2952"/>
      <c r="L204" s="2952"/>
      <c r="M204" s="2952"/>
      <c r="N204" s="2952"/>
      <c r="O204" s="2952"/>
      <c r="P204" s="2952"/>
      <c r="Q204" s="2952"/>
      <c r="R204" s="2952"/>
      <c r="S204" s="2952"/>
      <c r="T204" s="2952"/>
      <c r="U204" s="2952"/>
      <c r="V204" s="2952"/>
      <c r="W204" s="2952"/>
      <c r="X204" s="2952"/>
      <c r="Y204" s="2952"/>
      <c r="Z204" s="2952"/>
      <c r="AA204" s="2952"/>
      <c r="AB204" s="2952"/>
      <c r="AC204" s="2942">
        <f t="shared" si="96"/>
        <v>0</v>
      </c>
      <c r="AD204" s="2962"/>
      <c r="AE204" s="2962"/>
      <c r="AF204" s="2962"/>
      <c r="AG204" s="2962"/>
      <c r="AH204" s="2962"/>
      <c r="AI204" s="2962"/>
      <c r="AJ204" s="2962"/>
      <c r="AK204" s="2962"/>
      <c r="AL204" s="2962"/>
      <c r="AM204" s="2962"/>
      <c r="AN204" s="2962"/>
      <c r="AO204" s="2962"/>
      <c r="AP204" s="2962"/>
      <c r="AQ204" s="2962"/>
      <c r="AR204" s="2962"/>
      <c r="AS204" s="2962"/>
      <c r="AT204" s="2972"/>
      <c r="AU204" s="2973"/>
      <c r="AV204" s="1120">
        <f t="shared" si="120"/>
        <v>0</v>
      </c>
      <c r="AW204" s="1120">
        <f t="shared" si="121"/>
        <v>0</v>
      </c>
      <c r="AX204" s="1120">
        <f t="shared" si="122"/>
        <v>0</v>
      </c>
      <c r="AY204" s="2987">
        <f t="shared" si="97"/>
        <v>0</v>
      </c>
      <c r="AZ204" s="2942">
        <f t="shared" si="98"/>
        <v>0</v>
      </c>
      <c r="BA204" s="2942">
        <f t="shared" si="99"/>
        <v>0</v>
      </c>
      <c r="BB204" s="2942">
        <f t="shared" si="100"/>
        <v>0</v>
      </c>
      <c r="BC204" s="2942">
        <f t="shared" si="101"/>
        <v>0</v>
      </c>
      <c r="BD204" s="2942">
        <f t="shared" si="102"/>
        <v>0</v>
      </c>
      <c r="BE204" s="2942">
        <f t="shared" si="103"/>
        <v>0</v>
      </c>
      <c r="BF204" s="2942">
        <f t="shared" si="104"/>
        <v>0</v>
      </c>
      <c r="BG204" s="2942">
        <f t="shared" si="105"/>
        <v>0</v>
      </c>
      <c r="BH204" s="2942">
        <f t="shared" si="106"/>
        <v>0</v>
      </c>
      <c r="BI204" s="2942">
        <f t="shared" si="107"/>
        <v>0</v>
      </c>
      <c r="BJ204" s="2942">
        <f t="shared" si="108"/>
        <v>0</v>
      </c>
      <c r="BK204" s="2942">
        <f t="shared" si="109"/>
        <v>0</v>
      </c>
      <c r="BL204" s="2942">
        <f t="shared" si="110"/>
        <v>0</v>
      </c>
      <c r="BM204" s="2942">
        <f t="shared" si="111"/>
        <v>0</v>
      </c>
      <c r="BN204" s="2942">
        <f t="shared" si="112"/>
        <v>0</v>
      </c>
      <c r="BO204" s="2942">
        <f t="shared" si="113"/>
        <v>0</v>
      </c>
      <c r="BP204" s="2942">
        <f t="shared" si="114"/>
        <v>0</v>
      </c>
      <c r="BQ204" s="2942">
        <f t="shared" si="115"/>
        <v>0</v>
      </c>
      <c r="BR204" s="2942">
        <f t="shared" si="116"/>
        <v>0</v>
      </c>
      <c r="BS204" s="2942">
        <f t="shared" si="117"/>
        <v>0</v>
      </c>
      <c r="BT204" s="2994">
        <f t="shared" si="118"/>
        <v>0</v>
      </c>
    </row>
    <row r="205" spans="1:72">
      <c r="A205" s="2939"/>
      <c r="B205" s="2939"/>
      <c r="C205" s="2939"/>
      <c r="D205" s="2941"/>
      <c r="E205" s="2942">
        <f t="shared" si="119"/>
        <v>0</v>
      </c>
      <c r="F205" s="2995"/>
      <c r="G205" s="2944">
        <f t="shared" si="94"/>
        <v>0</v>
      </c>
      <c r="H205" s="2945">
        <f t="shared" si="95"/>
        <v>0</v>
      </c>
      <c r="I205" s="2996"/>
      <c r="J205" s="2996"/>
      <c r="K205" s="2952"/>
      <c r="L205" s="2952"/>
      <c r="M205" s="2952"/>
      <c r="N205" s="2952"/>
      <c r="O205" s="2952"/>
      <c r="P205" s="2952"/>
      <c r="Q205" s="2952"/>
      <c r="R205" s="2952"/>
      <c r="S205" s="2952"/>
      <c r="T205" s="2952"/>
      <c r="U205" s="2952"/>
      <c r="V205" s="2952"/>
      <c r="W205" s="2952"/>
      <c r="X205" s="2952"/>
      <c r="Y205" s="2952"/>
      <c r="Z205" s="2952"/>
      <c r="AA205" s="2952"/>
      <c r="AB205" s="2952"/>
      <c r="AC205" s="2942">
        <f t="shared" si="96"/>
        <v>0</v>
      </c>
      <c r="AD205" s="2962"/>
      <c r="AE205" s="2962"/>
      <c r="AF205" s="2962"/>
      <c r="AG205" s="2962"/>
      <c r="AH205" s="2962"/>
      <c r="AI205" s="2962"/>
      <c r="AJ205" s="2962"/>
      <c r="AK205" s="2962"/>
      <c r="AL205" s="2962"/>
      <c r="AM205" s="2962"/>
      <c r="AN205" s="2962"/>
      <c r="AO205" s="2962"/>
      <c r="AP205" s="2962"/>
      <c r="AQ205" s="2962"/>
      <c r="AR205" s="2962"/>
      <c r="AS205" s="2962"/>
      <c r="AT205" s="2962"/>
      <c r="AU205" s="2997"/>
      <c r="AV205" s="1120">
        <f t="shared" si="120"/>
        <v>0</v>
      </c>
      <c r="AW205" s="1120">
        <f t="shared" si="121"/>
        <v>0</v>
      </c>
      <c r="AX205" s="1120">
        <f t="shared" si="122"/>
        <v>0</v>
      </c>
      <c r="AY205" s="2987">
        <f t="shared" si="97"/>
        <v>0</v>
      </c>
      <c r="AZ205" s="2942">
        <f t="shared" si="98"/>
        <v>0</v>
      </c>
      <c r="BA205" s="2942">
        <f t="shared" si="99"/>
        <v>0</v>
      </c>
      <c r="BB205" s="2942">
        <f t="shared" si="100"/>
        <v>0</v>
      </c>
      <c r="BC205" s="2942">
        <f t="shared" si="101"/>
        <v>0</v>
      </c>
      <c r="BD205" s="2942">
        <f t="shared" si="102"/>
        <v>0</v>
      </c>
      <c r="BE205" s="2942">
        <f t="shared" si="103"/>
        <v>0</v>
      </c>
      <c r="BF205" s="2942">
        <f t="shared" si="104"/>
        <v>0</v>
      </c>
      <c r="BG205" s="2942">
        <f t="shared" si="105"/>
        <v>0</v>
      </c>
      <c r="BH205" s="2942">
        <f t="shared" si="106"/>
        <v>0</v>
      </c>
      <c r="BI205" s="2942">
        <f t="shared" si="107"/>
        <v>0</v>
      </c>
      <c r="BJ205" s="2942">
        <f t="shared" si="108"/>
        <v>0</v>
      </c>
      <c r="BK205" s="2942">
        <f t="shared" si="109"/>
        <v>0</v>
      </c>
      <c r="BL205" s="2942">
        <f t="shared" si="110"/>
        <v>0</v>
      </c>
      <c r="BM205" s="2942">
        <f t="shared" si="111"/>
        <v>0</v>
      </c>
      <c r="BN205" s="2942">
        <f t="shared" si="112"/>
        <v>0</v>
      </c>
      <c r="BO205" s="2942">
        <f t="shared" si="113"/>
        <v>0</v>
      </c>
      <c r="BP205" s="2942">
        <f t="shared" si="114"/>
        <v>0</v>
      </c>
      <c r="BQ205" s="2942">
        <f t="shared" si="115"/>
        <v>0</v>
      </c>
      <c r="BR205" s="2942">
        <f t="shared" si="116"/>
        <v>0</v>
      </c>
      <c r="BS205" s="2942">
        <f t="shared" si="117"/>
        <v>0</v>
      </c>
      <c r="BT205" s="2994">
        <f t="shared" si="118"/>
        <v>0</v>
      </c>
    </row>
    <row r="206" spans="1:72">
      <c r="A206" s="2939"/>
      <c r="B206" s="2939"/>
      <c r="C206" s="2939"/>
      <c r="D206" s="2941"/>
      <c r="E206" s="2942">
        <f t="shared" si="119"/>
        <v>0</v>
      </c>
      <c r="F206" s="2995"/>
      <c r="G206" s="2944">
        <f t="shared" si="94"/>
        <v>0</v>
      </c>
      <c r="H206" s="2945">
        <f t="shared" si="95"/>
        <v>0</v>
      </c>
      <c r="I206" s="2952"/>
      <c r="J206" s="2952"/>
      <c r="K206" s="2952"/>
      <c r="L206" s="2952"/>
      <c r="M206" s="2952"/>
      <c r="N206" s="2952"/>
      <c r="O206" s="2952"/>
      <c r="P206" s="2952"/>
      <c r="Q206" s="2952"/>
      <c r="R206" s="2952"/>
      <c r="S206" s="2952"/>
      <c r="T206" s="2952"/>
      <c r="U206" s="2952"/>
      <c r="V206" s="2952"/>
      <c r="W206" s="2952"/>
      <c r="X206" s="2952"/>
      <c r="Y206" s="2952"/>
      <c r="Z206" s="2952"/>
      <c r="AA206" s="2952"/>
      <c r="AB206" s="2952"/>
      <c r="AC206" s="2942">
        <f t="shared" si="96"/>
        <v>0</v>
      </c>
      <c r="AD206" s="2962"/>
      <c r="AE206" s="2962"/>
      <c r="AF206" s="2962"/>
      <c r="AG206" s="2962"/>
      <c r="AH206" s="2962"/>
      <c r="AI206" s="2962"/>
      <c r="AJ206" s="2962"/>
      <c r="AK206" s="2962"/>
      <c r="AL206" s="2962"/>
      <c r="AM206" s="2962"/>
      <c r="AN206" s="2962"/>
      <c r="AO206" s="2962"/>
      <c r="AP206" s="2962"/>
      <c r="AQ206" s="2962"/>
      <c r="AR206" s="2962"/>
      <c r="AS206" s="2962"/>
      <c r="AT206" s="2962"/>
      <c r="AU206" s="2997"/>
      <c r="AV206" s="1120">
        <f t="shared" si="120"/>
        <v>0</v>
      </c>
      <c r="AW206" s="1120">
        <f t="shared" si="121"/>
        <v>0</v>
      </c>
      <c r="AX206" s="1120">
        <f t="shared" si="122"/>
        <v>0</v>
      </c>
      <c r="AY206" s="2987">
        <f t="shared" si="97"/>
        <v>0</v>
      </c>
      <c r="AZ206" s="2942">
        <f t="shared" si="98"/>
        <v>0</v>
      </c>
      <c r="BA206" s="2942">
        <f t="shared" si="99"/>
        <v>0</v>
      </c>
      <c r="BB206" s="2942">
        <f t="shared" si="100"/>
        <v>0</v>
      </c>
      <c r="BC206" s="2942">
        <f t="shared" si="101"/>
        <v>0</v>
      </c>
      <c r="BD206" s="2942">
        <f t="shared" si="102"/>
        <v>0</v>
      </c>
      <c r="BE206" s="2942">
        <f t="shared" si="103"/>
        <v>0</v>
      </c>
      <c r="BF206" s="2942">
        <f t="shared" si="104"/>
        <v>0</v>
      </c>
      <c r="BG206" s="2942">
        <f t="shared" si="105"/>
        <v>0</v>
      </c>
      <c r="BH206" s="2942">
        <f t="shared" si="106"/>
        <v>0</v>
      </c>
      <c r="BI206" s="2942">
        <f t="shared" si="107"/>
        <v>0</v>
      </c>
      <c r="BJ206" s="2942">
        <f t="shared" si="108"/>
        <v>0</v>
      </c>
      <c r="BK206" s="2942">
        <f t="shared" si="109"/>
        <v>0</v>
      </c>
      <c r="BL206" s="2942">
        <f t="shared" si="110"/>
        <v>0</v>
      </c>
      <c r="BM206" s="2942">
        <f t="shared" si="111"/>
        <v>0</v>
      </c>
      <c r="BN206" s="2942">
        <f t="shared" si="112"/>
        <v>0</v>
      </c>
      <c r="BO206" s="2942">
        <f t="shared" si="113"/>
        <v>0</v>
      </c>
      <c r="BP206" s="2942">
        <f t="shared" si="114"/>
        <v>0</v>
      </c>
      <c r="BQ206" s="2942">
        <f t="shared" si="115"/>
        <v>0</v>
      </c>
      <c r="BR206" s="2942">
        <f t="shared" si="116"/>
        <v>0</v>
      </c>
      <c r="BS206" s="2942">
        <f t="shared" si="117"/>
        <v>0</v>
      </c>
      <c r="BT206" s="2994">
        <f t="shared" si="118"/>
        <v>0</v>
      </c>
    </row>
    <row r="207" spans="1:72">
      <c r="A207" s="2939"/>
      <c r="B207" s="2939"/>
      <c r="C207" s="2939"/>
      <c r="D207" s="2941"/>
      <c r="E207" s="2942">
        <f t="shared" si="119"/>
        <v>0</v>
      </c>
      <c r="F207" s="2995"/>
      <c r="G207" s="2944">
        <f t="shared" si="94"/>
        <v>0</v>
      </c>
      <c r="H207" s="2945">
        <f t="shared" si="95"/>
        <v>0</v>
      </c>
      <c r="I207" s="2952"/>
      <c r="J207" s="2952"/>
      <c r="K207" s="2952"/>
      <c r="L207" s="2952"/>
      <c r="M207" s="2952"/>
      <c r="N207" s="2952"/>
      <c r="O207" s="2952"/>
      <c r="P207" s="2952"/>
      <c r="Q207" s="2952"/>
      <c r="R207" s="2952"/>
      <c r="S207" s="2952"/>
      <c r="T207" s="2952"/>
      <c r="U207" s="2952"/>
      <c r="V207" s="2952"/>
      <c r="W207" s="2952"/>
      <c r="X207" s="2952"/>
      <c r="Y207" s="2952"/>
      <c r="Z207" s="2952"/>
      <c r="AA207" s="2952"/>
      <c r="AB207" s="2952"/>
      <c r="AC207" s="2942">
        <f t="shared" si="96"/>
        <v>0</v>
      </c>
      <c r="AD207" s="2962"/>
      <c r="AE207" s="2962"/>
      <c r="AF207" s="2962"/>
      <c r="AG207" s="2962"/>
      <c r="AH207" s="2962"/>
      <c r="AI207" s="2962"/>
      <c r="AJ207" s="2962"/>
      <c r="AK207" s="2962"/>
      <c r="AL207" s="2962"/>
      <c r="AM207" s="2962"/>
      <c r="AN207" s="2962"/>
      <c r="AO207" s="2962"/>
      <c r="AP207" s="2962"/>
      <c r="AQ207" s="2962"/>
      <c r="AR207" s="2962"/>
      <c r="AS207" s="2962"/>
      <c r="AT207" s="2962"/>
      <c r="AU207" s="2997"/>
      <c r="AV207" s="1120">
        <f t="shared" si="120"/>
        <v>0</v>
      </c>
      <c r="AW207" s="1120">
        <f t="shared" si="121"/>
        <v>0</v>
      </c>
      <c r="AX207" s="1120">
        <f t="shared" si="122"/>
        <v>0</v>
      </c>
      <c r="AY207" s="2987">
        <f t="shared" si="97"/>
        <v>0</v>
      </c>
      <c r="AZ207" s="2942">
        <f t="shared" si="98"/>
        <v>0</v>
      </c>
      <c r="BA207" s="2942">
        <f t="shared" si="99"/>
        <v>0</v>
      </c>
      <c r="BB207" s="2942">
        <f t="shared" si="100"/>
        <v>0</v>
      </c>
      <c r="BC207" s="2942">
        <f t="shared" si="101"/>
        <v>0</v>
      </c>
      <c r="BD207" s="2942">
        <f t="shared" si="102"/>
        <v>0</v>
      </c>
      <c r="BE207" s="2942">
        <f t="shared" si="103"/>
        <v>0</v>
      </c>
      <c r="BF207" s="2942">
        <f t="shared" si="104"/>
        <v>0</v>
      </c>
      <c r="BG207" s="2942">
        <f t="shared" si="105"/>
        <v>0</v>
      </c>
      <c r="BH207" s="2942">
        <f t="shared" si="106"/>
        <v>0</v>
      </c>
      <c r="BI207" s="2942">
        <f t="shared" si="107"/>
        <v>0</v>
      </c>
      <c r="BJ207" s="2942">
        <f t="shared" si="108"/>
        <v>0</v>
      </c>
      <c r="BK207" s="2942">
        <f t="shared" si="109"/>
        <v>0</v>
      </c>
      <c r="BL207" s="2942">
        <f t="shared" si="110"/>
        <v>0</v>
      </c>
      <c r="BM207" s="2942">
        <f t="shared" si="111"/>
        <v>0</v>
      </c>
      <c r="BN207" s="2942">
        <f t="shared" si="112"/>
        <v>0</v>
      </c>
      <c r="BO207" s="2942">
        <f t="shared" si="113"/>
        <v>0</v>
      </c>
      <c r="BP207" s="2942">
        <f t="shared" si="114"/>
        <v>0</v>
      </c>
      <c r="BQ207" s="2942">
        <f t="shared" si="115"/>
        <v>0</v>
      </c>
      <c r="BR207" s="2942">
        <f t="shared" si="116"/>
        <v>0</v>
      </c>
      <c r="BS207" s="2942">
        <f t="shared" si="117"/>
        <v>0</v>
      </c>
      <c r="BT207" s="2994">
        <f t="shared" si="118"/>
        <v>0</v>
      </c>
    </row>
    <row r="208" spans="1:72">
      <c r="A208" s="2939"/>
      <c r="B208" s="2940"/>
      <c r="C208" s="2940"/>
      <c r="D208" s="2941"/>
      <c r="E208" s="2942">
        <f t="shared" ref="E208:E302" si="123">IF($C$3="是",ROUND($A$3*G208/$B$3,2),ROUND($A$3*(G208-AT208)/$B$3,2))</f>
        <v>0</v>
      </c>
      <c r="F208" s="2943"/>
      <c r="G208" s="2944">
        <f t="shared" ref="G208:G299" si="124">H208+AC208+AT208</f>
        <v>0</v>
      </c>
      <c r="H208" s="2945">
        <f t="shared" ref="H208:H299" si="125">SUMIF(I$12:AB$12,"总值",I208:AB208)</f>
        <v>0</v>
      </c>
      <c r="I208" s="2952"/>
      <c r="J208" s="2952"/>
      <c r="K208" s="2952"/>
      <c r="L208" s="2952"/>
      <c r="M208" s="2952"/>
      <c r="N208" s="2952"/>
      <c r="O208" s="2952"/>
      <c r="P208" s="2952"/>
      <c r="Q208" s="2952"/>
      <c r="R208" s="2952"/>
      <c r="S208" s="2952"/>
      <c r="T208" s="2952"/>
      <c r="U208" s="2952"/>
      <c r="V208" s="2952"/>
      <c r="W208" s="2952"/>
      <c r="X208" s="2952"/>
      <c r="Y208" s="2952"/>
      <c r="Z208" s="2952"/>
      <c r="AA208" s="2952"/>
      <c r="AB208" s="2952"/>
      <c r="AC208" s="2942">
        <f t="shared" ref="AC208:AC299" si="126">SUMIF(AD$12:AS$12,"总值",AD208:AS208)</f>
        <v>0</v>
      </c>
      <c r="AD208" s="2962"/>
      <c r="AE208" s="2962"/>
      <c r="AF208" s="2962"/>
      <c r="AG208" s="2962"/>
      <c r="AH208" s="2962"/>
      <c r="AI208" s="2962"/>
      <c r="AJ208" s="2962"/>
      <c r="AK208" s="2962"/>
      <c r="AL208" s="2962"/>
      <c r="AM208" s="2962"/>
      <c r="AN208" s="2962"/>
      <c r="AO208" s="2962"/>
      <c r="AP208" s="2962"/>
      <c r="AQ208" s="2962"/>
      <c r="AR208" s="2962"/>
      <c r="AS208" s="2962"/>
      <c r="AT208" s="2972"/>
      <c r="AU208" s="2973"/>
      <c r="AV208" s="1120">
        <f t="shared" ref="AV208:AV302" si="127">A208</f>
        <v>0</v>
      </c>
      <c r="AW208" s="1120">
        <f t="shared" ref="AW208:AW302" si="128">B208</f>
        <v>0</v>
      </c>
      <c r="AX208" s="1120">
        <f t="shared" ref="AX208:AX302" si="129">C208</f>
        <v>0</v>
      </c>
      <c r="AY208" s="2987">
        <f t="shared" ref="AY208:AY299" si="130">ROUND($AY$6*AZ208/$AZ$5,2)</f>
        <v>0</v>
      </c>
      <c r="AZ208" s="2942">
        <f t="shared" ref="AZ208:AZ299" si="131">BA208+BL208</f>
        <v>0</v>
      </c>
      <c r="BA208" s="2942">
        <f t="shared" ref="BA208:BA299" si="132">SUM(BB208:BK208)</f>
        <v>0</v>
      </c>
      <c r="BB208" s="2942">
        <f t="shared" ref="BB208:BB299" si="133">IF($D208="是",I208-J208,0)</f>
        <v>0</v>
      </c>
      <c r="BC208" s="2942">
        <f t="shared" ref="BC208:BC299" si="134">IF($D208="是",K208-L208,0)</f>
        <v>0</v>
      </c>
      <c r="BD208" s="2942">
        <f t="shared" ref="BD208:BD299" si="135">IF($D208="是",M208-N208,0)</f>
        <v>0</v>
      </c>
      <c r="BE208" s="2942">
        <f t="shared" ref="BE208:BE299" si="136">IF($D208="是",O208-P208,0)</f>
        <v>0</v>
      </c>
      <c r="BF208" s="2942">
        <f t="shared" ref="BF208:BF299" si="137">IF($D208="是",Q208-R208,0)</f>
        <v>0</v>
      </c>
      <c r="BG208" s="2942">
        <f t="shared" ref="BG208:BG299" si="138">IF($D208="是",S208-T208,0)</f>
        <v>0</v>
      </c>
      <c r="BH208" s="2942">
        <f t="shared" ref="BH208:BH299" si="139">IF($D208="是",U208-V208,0)</f>
        <v>0</v>
      </c>
      <c r="BI208" s="2942">
        <f t="shared" ref="BI208:BI299" si="140">IF($D208="是",W208-X208,0)</f>
        <v>0</v>
      </c>
      <c r="BJ208" s="2942">
        <f t="shared" ref="BJ208:BJ299" si="141">IF($D208="是",Y208-Z208,0)</f>
        <v>0</v>
      </c>
      <c r="BK208" s="2942">
        <f t="shared" ref="BK208:BK299" si="142">IF($D208="是",AA208-AB208,0)</f>
        <v>0</v>
      </c>
      <c r="BL208" s="2942">
        <f t="shared" ref="BL208:BL299" si="143">SUM(BM208:BT208)</f>
        <v>0</v>
      </c>
      <c r="BM208" s="2942">
        <f t="shared" ref="BM208:BM299" si="144">IF($D208="是",AD208-AE208,0)</f>
        <v>0</v>
      </c>
      <c r="BN208" s="2942">
        <f t="shared" ref="BN208:BN299" si="145">IF($D208="是",AF208-AG208,0)</f>
        <v>0</v>
      </c>
      <c r="BO208" s="2942">
        <f t="shared" ref="BO208:BO299" si="146">IF($D208="是",AH208-AI208,0)</f>
        <v>0</v>
      </c>
      <c r="BP208" s="2942">
        <f t="shared" ref="BP208:BP299" si="147">IF($D208="是",AJ208-AK208,0)</f>
        <v>0</v>
      </c>
      <c r="BQ208" s="2942">
        <f t="shared" ref="BQ208:BQ299" si="148">IF($D208="是",AL208-AM208,0)</f>
        <v>0</v>
      </c>
      <c r="BR208" s="2942">
        <f t="shared" ref="BR208:BR299" si="149">IF($D208="是",AN208-AO208,0)</f>
        <v>0</v>
      </c>
      <c r="BS208" s="2942">
        <f t="shared" ref="BS208:BS299" si="150">IF($D208="是",AP208-AQ208,0)</f>
        <v>0</v>
      </c>
      <c r="BT208" s="2994">
        <f t="shared" ref="BT208:BT299" si="151">IF($D208="是",AR208-AS208,0)</f>
        <v>0</v>
      </c>
    </row>
    <row r="209" spans="1:72">
      <c r="A209" s="2939"/>
      <c r="B209" s="2940"/>
      <c r="C209" s="2940"/>
      <c r="D209" s="2941"/>
      <c r="E209" s="2942">
        <f t="shared" si="123"/>
        <v>0</v>
      </c>
      <c r="F209" s="2943"/>
      <c r="G209" s="2944">
        <f t="shared" si="124"/>
        <v>0</v>
      </c>
      <c r="H209" s="2945">
        <f t="shared" si="125"/>
        <v>0</v>
      </c>
      <c r="I209" s="2952"/>
      <c r="J209" s="2952"/>
      <c r="K209" s="2952"/>
      <c r="L209" s="2952"/>
      <c r="M209" s="2952"/>
      <c r="N209" s="2952"/>
      <c r="O209" s="2952"/>
      <c r="P209" s="2952"/>
      <c r="Q209" s="2952"/>
      <c r="R209" s="2952"/>
      <c r="S209" s="2952"/>
      <c r="T209" s="2952"/>
      <c r="U209" s="2952"/>
      <c r="V209" s="2952"/>
      <c r="W209" s="2952"/>
      <c r="X209" s="2952"/>
      <c r="Y209" s="2952"/>
      <c r="Z209" s="2952"/>
      <c r="AA209" s="2952"/>
      <c r="AB209" s="2952"/>
      <c r="AC209" s="2942">
        <f t="shared" si="126"/>
        <v>0</v>
      </c>
      <c r="AD209" s="2962"/>
      <c r="AE209" s="2962"/>
      <c r="AF209" s="2962"/>
      <c r="AG209" s="2962"/>
      <c r="AH209" s="2962"/>
      <c r="AI209" s="2962"/>
      <c r="AJ209" s="2962"/>
      <c r="AK209" s="2962"/>
      <c r="AL209" s="2962"/>
      <c r="AM209" s="2962"/>
      <c r="AN209" s="2962"/>
      <c r="AO209" s="2962"/>
      <c r="AP209" s="2962"/>
      <c r="AQ209" s="2962"/>
      <c r="AR209" s="2962"/>
      <c r="AS209" s="2962"/>
      <c r="AT209" s="2972"/>
      <c r="AU209" s="2973"/>
      <c r="AV209" s="1120">
        <f t="shared" si="127"/>
        <v>0</v>
      </c>
      <c r="AW209" s="1120">
        <f t="shared" si="128"/>
        <v>0</v>
      </c>
      <c r="AX209" s="1120">
        <f t="shared" si="129"/>
        <v>0</v>
      </c>
      <c r="AY209" s="2987">
        <f t="shared" si="130"/>
        <v>0</v>
      </c>
      <c r="AZ209" s="2942">
        <f t="shared" si="131"/>
        <v>0</v>
      </c>
      <c r="BA209" s="2942">
        <f t="shared" si="132"/>
        <v>0</v>
      </c>
      <c r="BB209" s="2942">
        <f t="shared" si="133"/>
        <v>0</v>
      </c>
      <c r="BC209" s="2942">
        <f t="shared" si="134"/>
        <v>0</v>
      </c>
      <c r="BD209" s="2942">
        <f t="shared" si="135"/>
        <v>0</v>
      </c>
      <c r="BE209" s="2942">
        <f t="shared" si="136"/>
        <v>0</v>
      </c>
      <c r="BF209" s="2942">
        <f t="shared" si="137"/>
        <v>0</v>
      </c>
      <c r="BG209" s="2942">
        <f t="shared" si="138"/>
        <v>0</v>
      </c>
      <c r="BH209" s="2942">
        <f t="shared" si="139"/>
        <v>0</v>
      </c>
      <c r="BI209" s="2942">
        <f t="shared" si="140"/>
        <v>0</v>
      </c>
      <c r="BJ209" s="2942">
        <f t="shared" si="141"/>
        <v>0</v>
      </c>
      <c r="BK209" s="2942">
        <f t="shared" si="142"/>
        <v>0</v>
      </c>
      <c r="BL209" s="2942">
        <f t="shared" si="143"/>
        <v>0</v>
      </c>
      <c r="BM209" s="2942">
        <f t="shared" si="144"/>
        <v>0</v>
      </c>
      <c r="BN209" s="2942">
        <f t="shared" si="145"/>
        <v>0</v>
      </c>
      <c r="BO209" s="2942">
        <f t="shared" si="146"/>
        <v>0</v>
      </c>
      <c r="BP209" s="2942">
        <f t="shared" si="147"/>
        <v>0</v>
      </c>
      <c r="BQ209" s="2942">
        <f t="shared" si="148"/>
        <v>0</v>
      </c>
      <c r="BR209" s="2942">
        <f t="shared" si="149"/>
        <v>0</v>
      </c>
      <c r="BS209" s="2942">
        <f t="shared" si="150"/>
        <v>0</v>
      </c>
      <c r="BT209" s="2994">
        <f t="shared" si="151"/>
        <v>0</v>
      </c>
    </row>
    <row r="210" spans="1:72">
      <c r="A210" s="2939"/>
      <c r="B210" s="2940"/>
      <c r="C210" s="2940"/>
      <c r="D210" s="2941"/>
      <c r="E210" s="2942">
        <f t="shared" si="123"/>
        <v>0</v>
      </c>
      <c r="F210" s="2943"/>
      <c r="G210" s="2944">
        <f t="shared" si="124"/>
        <v>0</v>
      </c>
      <c r="H210" s="2945">
        <f t="shared" si="125"/>
        <v>0</v>
      </c>
      <c r="I210" s="2952"/>
      <c r="J210" s="2952"/>
      <c r="K210" s="2952"/>
      <c r="L210" s="2952"/>
      <c r="M210" s="2952"/>
      <c r="N210" s="2952"/>
      <c r="O210" s="2952"/>
      <c r="P210" s="2952"/>
      <c r="Q210" s="2952"/>
      <c r="R210" s="2952"/>
      <c r="S210" s="2952"/>
      <c r="T210" s="2952"/>
      <c r="U210" s="2952"/>
      <c r="V210" s="2952"/>
      <c r="W210" s="2952"/>
      <c r="X210" s="2952"/>
      <c r="Y210" s="2952"/>
      <c r="Z210" s="2952"/>
      <c r="AA210" s="2952"/>
      <c r="AB210" s="2952"/>
      <c r="AC210" s="2942">
        <f t="shared" si="126"/>
        <v>0</v>
      </c>
      <c r="AD210" s="2962"/>
      <c r="AE210" s="2962"/>
      <c r="AF210" s="2962"/>
      <c r="AG210" s="2962"/>
      <c r="AH210" s="2962"/>
      <c r="AI210" s="2962"/>
      <c r="AJ210" s="2962"/>
      <c r="AK210" s="2962"/>
      <c r="AL210" s="2962"/>
      <c r="AM210" s="2962"/>
      <c r="AN210" s="2962"/>
      <c r="AO210" s="2962"/>
      <c r="AP210" s="2962"/>
      <c r="AQ210" s="2962"/>
      <c r="AR210" s="2962"/>
      <c r="AS210" s="2962"/>
      <c r="AT210" s="2972"/>
      <c r="AU210" s="2973"/>
      <c r="AV210" s="1120">
        <f t="shared" si="127"/>
        <v>0</v>
      </c>
      <c r="AW210" s="1120">
        <f t="shared" si="128"/>
        <v>0</v>
      </c>
      <c r="AX210" s="1120">
        <f t="shared" si="129"/>
        <v>0</v>
      </c>
      <c r="AY210" s="2987">
        <f t="shared" si="130"/>
        <v>0</v>
      </c>
      <c r="AZ210" s="2942">
        <f t="shared" si="131"/>
        <v>0</v>
      </c>
      <c r="BA210" s="2942">
        <f t="shared" si="132"/>
        <v>0</v>
      </c>
      <c r="BB210" s="2942">
        <f t="shared" si="133"/>
        <v>0</v>
      </c>
      <c r="BC210" s="2942">
        <f t="shared" si="134"/>
        <v>0</v>
      </c>
      <c r="BD210" s="2942">
        <f t="shared" si="135"/>
        <v>0</v>
      </c>
      <c r="BE210" s="2942">
        <f t="shared" si="136"/>
        <v>0</v>
      </c>
      <c r="BF210" s="2942">
        <f t="shared" si="137"/>
        <v>0</v>
      </c>
      <c r="BG210" s="2942">
        <f t="shared" si="138"/>
        <v>0</v>
      </c>
      <c r="BH210" s="2942">
        <f t="shared" si="139"/>
        <v>0</v>
      </c>
      <c r="BI210" s="2942">
        <f t="shared" si="140"/>
        <v>0</v>
      </c>
      <c r="BJ210" s="2942">
        <f t="shared" si="141"/>
        <v>0</v>
      </c>
      <c r="BK210" s="2942">
        <f t="shared" si="142"/>
        <v>0</v>
      </c>
      <c r="BL210" s="2942">
        <f t="shared" si="143"/>
        <v>0</v>
      </c>
      <c r="BM210" s="2942">
        <f t="shared" si="144"/>
        <v>0</v>
      </c>
      <c r="BN210" s="2942">
        <f t="shared" si="145"/>
        <v>0</v>
      </c>
      <c r="BO210" s="2942">
        <f t="shared" si="146"/>
        <v>0</v>
      </c>
      <c r="BP210" s="2942">
        <f t="shared" si="147"/>
        <v>0</v>
      </c>
      <c r="BQ210" s="2942">
        <f t="shared" si="148"/>
        <v>0</v>
      </c>
      <c r="BR210" s="2942">
        <f t="shared" si="149"/>
        <v>0</v>
      </c>
      <c r="BS210" s="2942">
        <f t="shared" si="150"/>
        <v>0</v>
      </c>
      <c r="BT210" s="2994">
        <f t="shared" si="151"/>
        <v>0</v>
      </c>
    </row>
    <row r="211" spans="1:72">
      <c r="A211" s="2939"/>
      <c r="B211" s="2940"/>
      <c r="C211" s="2940"/>
      <c r="D211" s="2941"/>
      <c r="E211" s="2942">
        <f t="shared" si="123"/>
        <v>0</v>
      </c>
      <c r="F211" s="2943"/>
      <c r="G211" s="2944">
        <f t="shared" si="124"/>
        <v>0</v>
      </c>
      <c r="H211" s="2945">
        <f t="shared" si="125"/>
        <v>0</v>
      </c>
      <c r="I211" s="2952"/>
      <c r="J211" s="2952"/>
      <c r="K211" s="2952"/>
      <c r="L211" s="2952"/>
      <c r="M211" s="2952"/>
      <c r="N211" s="2952"/>
      <c r="O211" s="2952"/>
      <c r="P211" s="2952"/>
      <c r="Q211" s="2952"/>
      <c r="R211" s="2952"/>
      <c r="S211" s="2952"/>
      <c r="T211" s="2952"/>
      <c r="U211" s="2952"/>
      <c r="V211" s="2952"/>
      <c r="W211" s="2952"/>
      <c r="X211" s="2952"/>
      <c r="Y211" s="2952"/>
      <c r="Z211" s="2952"/>
      <c r="AA211" s="2952"/>
      <c r="AB211" s="2952"/>
      <c r="AC211" s="2942">
        <f t="shared" si="126"/>
        <v>0</v>
      </c>
      <c r="AD211" s="2962"/>
      <c r="AE211" s="2962"/>
      <c r="AF211" s="2962"/>
      <c r="AG211" s="2962"/>
      <c r="AH211" s="2962"/>
      <c r="AI211" s="2962"/>
      <c r="AJ211" s="2962"/>
      <c r="AK211" s="2962"/>
      <c r="AL211" s="2962"/>
      <c r="AM211" s="2962"/>
      <c r="AN211" s="2962"/>
      <c r="AO211" s="2962"/>
      <c r="AP211" s="2962"/>
      <c r="AQ211" s="2962"/>
      <c r="AR211" s="2962"/>
      <c r="AS211" s="2962"/>
      <c r="AT211" s="2972"/>
      <c r="AU211" s="2973"/>
      <c r="AV211" s="1120">
        <f t="shared" si="127"/>
        <v>0</v>
      </c>
      <c r="AW211" s="1120">
        <f t="shared" si="128"/>
        <v>0</v>
      </c>
      <c r="AX211" s="1120">
        <f t="shared" si="129"/>
        <v>0</v>
      </c>
      <c r="AY211" s="2987">
        <f t="shared" si="130"/>
        <v>0</v>
      </c>
      <c r="AZ211" s="2942">
        <f t="shared" si="131"/>
        <v>0</v>
      </c>
      <c r="BA211" s="2942">
        <f t="shared" si="132"/>
        <v>0</v>
      </c>
      <c r="BB211" s="2942">
        <f t="shared" si="133"/>
        <v>0</v>
      </c>
      <c r="BC211" s="2942">
        <f t="shared" si="134"/>
        <v>0</v>
      </c>
      <c r="BD211" s="2942">
        <f t="shared" si="135"/>
        <v>0</v>
      </c>
      <c r="BE211" s="2942">
        <f t="shared" si="136"/>
        <v>0</v>
      </c>
      <c r="BF211" s="2942">
        <f t="shared" si="137"/>
        <v>0</v>
      </c>
      <c r="BG211" s="2942">
        <f t="shared" si="138"/>
        <v>0</v>
      </c>
      <c r="BH211" s="2942">
        <f t="shared" si="139"/>
        <v>0</v>
      </c>
      <c r="BI211" s="2942">
        <f t="shared" si="140"/>
        <v>0</v>
      </c>
      <c r="BJ211" s="2942">
        <f t="shared" si="141"/>
        <v>0</v>
      </c>
      <c r="BK211" s="2942">
        <f t="shared" si="142"/>
        <v>0</v>
      </c>
      <c r="BL211" s="2942">
        <f t="shared" si="143"/>
        <v>0</v>
      </c>
      <c r="BM211" s="2942">
        <f t="shared" si="144"/>
        <v>0</v>
      </c>
      <c r="BN211" s="2942">
        <f t="shared" si="145"/>
        <v>0</v>
      </c>
      <c r="BO211" s="2942">
        <f t="shared" si="146"/>
        <v>0</v>
      </c>
      <c r="BP211" s="2942">
        <f t="shared" si="147"/>
        <v>0</v>
      </c>
      <c r="BQ211" s="2942">
        <f t="shared" si="148"/>
        <v>0</v>
      </c>
      <c r="BR211" s="2942">
        <f t="shared" si="149"/>
        <v>0</v>
      </c>
      <c r="BS211" s="2942">
        <f t="shared" si="150"/>
        <v>0</v>
      </c>
      <c r="BT211" s="2994">
        <f t="shared" si="151"/>
        <v>0</v>
      </c>
    </row>
    <row r="212" spans="1:72">
      <c r="A212" s="2939"/>
      <c r="B212" s="2940"/>
      <c r="C212" s="2940"/>
      <c r="D212" s="2941"/>
      <c r="E212" s="2942">
        <f t="shared" si="123"/>
        <v>0</v>
      </c>
      <c r="F212" s="2943"/>
      <c r="G212" s="2944">
        <f t="shared" si="124"/>
        <v>0</v>
      </c>
      <c r="H212" s="2945">
        <f t="shared" si="125"/>
        <v>0</v>
      </c>
      <c r="I212" s="2952"/>
      <c r="J212" s="2952"/>
      <c r="K212" s="2952"/>
      <c r="L212" s="2952"/>
      <c r="M212" s="2952"/>
      <c r="N212" s="2952"/>
      <c r="O212" s="2952"/>
      <c r="P212" s="2952"/>
      <c r="Q212" s="2952"/>
      <c r="R212" s="2952"/>
      <c r="S212" s="2952"/>
      <c r="T212" s="2952"/>
      <c r="U212" s="2952"/>
      <c r="V212" s="2952"/>
      <c r="W212" s="2952"/>
      <c r="X212" s="2952"/>
      <c r="Y212" s="2952"/>
      <c r="Z212" s="2952"/>
      <c r="AA212" s="2952"/>
      <c r="AB212" s="2952"/>
      <c r="AC212" s="2942">
        <f t="shared" si="126"/>
        <v>0</v>
      </c>
      <c r="AD212" s="2962"/>
      <c r="AE212" s="2962"/>
      <c r="AF212" s="2962"/>
      <c r="AG212" s="2962"/>
      <c r="AH212" s="2962"/>
      <c r="AI212" s="2962"/>
      <c r="AJ212" s="2962"/>
      <c r="AK212" s="2962"/>
      <c r="AL212" s="2962"/>
      <c r="AM212" s="2962"/>
      <c r="AN212" s="2962"/>
      <c r="AO212" s="2962"/>
      <c r="AP212" s="2962"/>
      <c r="AQ212" s="2962"/>
      <c r="AR212" s="2962"/>
      <c r="AS212" s="2962"/>
      <c r="AT212" s="2972"/>
      <c r="AU212" s="2973"/>
      <c r="AV212" s="1120">
        <f t="shared" si="127"/>
        <v>0</v>
      </c>
      <c r="AW212" s="1120">
        <f t="shared" si="128"/>
        <v>0</v>
      </c>
      <c r="AX212" s="1120">
        <f t="shared" si="129"/>
        <v>0</v>
      </c>
      <c r="AY212" s="2987">
        <f t="shared" si="130"/>
        <v>0</v>
      </c>
      <c r="AZ212" s="2942">
        <f t="shared" si="131"/>
        <v>0</v>
      </c>
      <c r="BA212" s="2942">
        <f t="shared" si="132"/>
        <v>0</v>
      </c>
      <c r="BB212" s="2942">
        <f t="shared" si="133"/>
        <v>0</v>
      </c>
      <c r="BC212" s="2942">
        <f t="shared" si="134"/>
        <v>0</v>
      </c>
      <c r="BD212" s="2942">
        <f t="shared" si="135"/>
        <v>0</v>
      </c>
      <c r="BE212" s="2942">
        <f t="shared" si="136"/>
        <v>0</v>
      </c>
      <c r="BF212" s="2942">
        <f t="shared" si="137"/>
        <v>0</v>
      </c>
      <c r="BG212" s="2942">
        <f t="shared" si="138"/>
        <v>0</v>
      </c>
      <c r="BH212" s="2942">
        <f t="shared" si="139"/>
        <v>0</v>
      </c>
      <c r="BI212" s="2942">
        <f t="shared" si="140"/>
        <v>0</v>
      </c>
      <c r="BJ212" s="2942">
        <f t="shared" si="141"/>
        <v>0</v>
      </c>
      <c r="BK212" s="2942">
        <f t="shared" si="142"/>
        <v>0</v>
      </c>
      <c r="BL212" s="2942">
        <f t="shared" si="143"/>
        <v>0</v>
      </c>
      <c r="BM212" s="2942">
        <f t="shared" si="144"/>
        <v>0</v>
      </c>
      <c r="BN212" s="2942">
        <f t="shared" si="145"/>
        <v>0</v>
      </c>
      <c r="BO212" s="2942">
        <f t="shared" si="146"/>
        <v>0</v>
      </c>
      <c r="BP212" s="2942">
        <f t="shared" si="147"/>
        <v>0</v>
      </c>
      <c r="BQ212" s="2942">
        <f t="shared" si="148"/>
        <v>0</v>
      </c>
      <c r="BR212" s="2942">
        <f t="shared" si="149"/>
        <v>0</v>
      </c>
      <c r="BS212" s="2942">
        <f t="shared" si="150"/>
        <v>0</v>
      </c>
      <c r="BT212" s="2994">
        <f t="shared" si="151"/>
        <v>0</v>
      </c>
    </row>
    <row r="213" spans="1:72">
      <c r="A213" s="2939"/>
      <c r="B213" s="2940"/>
      <c r="C213" s="2940"/>
      <c r="D213" s="2941"/>
      <c r="E213" s="2942">
        <f t="shared" si="123"/>
        <v>0</v>
      </c>
      <c r="F213" s="2943"/>
      <c r="G213" s="2944">
        <f t="shared" si="124"/>
        <v>0</v>
      </c>
      <c r="H213" s="2945">
        <f t="shared" si="125"/>
        <v>0</v>
      </c>
      <c r="I213" s="2952"/>
      <c r="J213" s="2952"/>
      <c r="K213" s="2952"/>
      <c r="L213" s="2952"/>
      <c r="M213" s="2952"/>
      <c r="N213" s="2952"/>
      <c r="O213" s="2952"/>
      <c r="P213" s="2952"/>
      <c r="Q213" s="2952"/>
      <c r="R213" s="2952"/>
      <c r="S213" s="2952"/>
      <c r="T213" s="2952"/>
      <c r="U213" s="2952"/>
      <c r="V213" s="2952"/>
      <c r="W213" s="2952"/>
      <c r="X213" s="2952"/>
      <c r="Y213" s="2952"/>
      <c r="Z213" s="2952"/>
      <c r="AA213" s="2952"/>
      <c r="AB213" s="2952"/>
      <c r="AC213" s="2942">
        <f t="shared" si="126"/>
        <v>0</v>
      </c>
      <c r="AD213" s="2962"/>
      <c r="AE213" s="2962"/>
      <c r="AF213" s="2962"/>
      <c r="AG213" s="2962"/>
      <c r="AH213" s="2962"/>
      <c r="AI213" s="2962"/>
      <c r="AJ213" s="2962"/>
      <c r="AK213" s="2962"/>
      <c r="AL213" s="2962"/>
      <c r="AM213" s="2962"/>
      <c r="AN213" s="2962"/>
      <c r="AO213" s="2962"/>
      <c r="AP213" s="2962"/>
      <c r="AQ213" s="2962"/>
      <c r="AR213" s="2962"/>
      <c r="AS213" s="2962"/>
      <c r="AT213" s="2972"/>
      <c r="AU213" s="2973"/>
      <c r="AV213" s="1120">
        <f t="shared" si="127"/>
        <v>0</v>
      </c>
      <c r="AW213" s="1120">
        <f t="shared" si="128"/>
        <v>0</v>
      </c>
      <c r="AX213" s="1120">
        <f t="shared" si="129"/>
        <v>0</v>
      </c>
      <c r="AY213" s="2987">
        <f t="shared" si="130"/>
        <v>0</v>
      </c>
      <c r="AZ213" s="2942">
        <f t="shared" si="131"/>
        <v>0</v>
      </c>
      <c r="BA213" s="2942">
        <f t="shared" si="132"/>
        <v>0</v>
      </c>
      <c r="BB213" s="2942">
        <f t="shared" si="133"/>
        <v>0</v>
      </c>
      <c r="BC213" s="2942">
        <f t="shared" si="134"/>
        <v>0</v>
      </c>
      <c r="BD213" s="2942">
        <f t="shared" si="135"/>
        <v>0</v>
      </c>
      <c r="BE213" s="2942">
        <f t="shared" si="136"/>
        <v>0</v>
      </c>
      <c r="BF213" s="2942">
        <f t="shared" si="137"/>
        <v>0</v>
      </c>
      <c r="BG213" s="2942">
        <f t="shared" si="138"/>
        <v>0</v>
      </c>
      <c r="BH213" s="2942">
        <f t="shared" si="139"/>
        <v>0</v>
      </c>
      <c r="BI213" s="2942">
        <f t="shared" si="140"/>
        <v>0</v>
      </c>
      <c r="BJ213" s="2942">
        <f t="shared" si="141"/>
        <v>0</v>
      </c>
      <c r="BK213" s="2942">
        <f t="shared" si="142"/>
        <v>0</v>
      </c>
      <c r="BL213" s="2942">
        <f t="shared" si="143"/>
        <v>0</v>
      </c>
      <c r="BM213" s="2942">
        <f t="shared" si="144"/>
        <v>0</v>
      </c>
      <c r="BN213" s="2942">
        <f t="shared" si="145"/>
        <v>0</v>
      </c>
      <c r="BO213" s="2942">
        <f t="shared" si="146"/>
        <v>0</v>
      </c>
      <c r="BP213" s="2942">
        <f t="shared" si="147"/>
        <v>0</v>
      </c>
      <c r="BQ213" s="2942">
        <f t="shared" si="148"/>
        <v>0</v>
      </c>
      <c r="BR213" s="2942">
        <f t="shared" si="149"/>
        <v>0</v>
      </c>
      <c r="BS213" s="2942">
        <f t="shared" si="150"/>
        <v>0</v>
      </c>
      <c r="BT213" s="2994">
        <f t="shared" si="151"/>
        <v>0</v>
      </c>
    </row>
    <row r="214" spans="1:72">
      <c r="A214" s="2939"/>
      <c r="B214" s="2940"/>
      <c r="C214" s="2940"/>
      <c r="D214" s="2941"/>
      <c r="E214" s="2942">
        <f t="shared" si="123"/>
        <v>0</v>
      </c>
      <c r="F214" s="2943"/>
      <c r="G214" s="2944">
        <f t="shared" si="124"/>
        <v>0</v>
      </c>
      <c r="H214" s="2945">
        <f t="shared" si="125"/>
        <v>0</v>
      </c>
      <c r="I214" s="2952"/>
      <c r="J214" s="2952"/>
      <c r="K214" s="2952"/>
      <c r="L214" s="2952"/>
      <c r="M214" s="2952"/>
      <c r="N214" s="2952"/>
      <c r="O214" s="2952"/>
      <c r="P214" s="2952"/>
      <c r="Q214" s="2952"/>
      <c r="R214" s="2952"/>
      <c r="S214" s="2952"/>
      <c r="T214" s="2952"/>
      <c r="U214" s="2952"/>
      <c r="V214" s="2952"/>
      <c r="W214" s="2952"/>
      <c r="X214" s="2952"/>
      <c r="Y214" s="2952"/>
      <c r="Z214" s="2952"/>
      <c r="AA214" s="2952"/>
      <c r="AB214" s="2952"/>
      <c r="AC214" s="2942">
        <f t="shared" si="126"/>
        <v>0</v>
      </c>
      <c r="AD214" s="2962"/>
      <c r="AE214" s="2962"/>
      <c r="AF214" s="2962"/>
      <c r="AG214" s="2962"/>
      <c r="AH214" s="2962"/>
      <c r="AI214" s="2962"/>
      <c r="AJ214" s="2962"/>
      <c r="AK214" s="2962"/>
      <c r="AL214" s="2962"/>
      <c r="AM214" s="2962"/>
      <c r="AN214" s="2962"/>
      <c r="AO214" s="2962"/>
      <c r="AP214" s="2962"/>
      <c r="AQ214" s="2962"/>
      <c r="AR214" s="2962"/>
      <c r="AS214" s="2962"/>
      <c r="AT214" s="2972"/>
      <c r="AU214" s="2973"/>
      <c r="AV214" s="1120">
        <f t="shared" si="127"/>
        <v>0</v>
      </c>
      <c r="AW214" s="1120">
        <f t="shared" si="128"/>
        <v>0</v>
      </c>
      <c r="AX214" s="1120">
        <f t="shared" si="129"/>
        <v>0</v>
      </c>
      <c r="AY214" s="2987">
        <f t="shared" si="130"/>
        <v>0</v>
      </c>
      <c r="AZ214" s="2942">
        <f t="shared" si="131"/>
        <v>0</v>
      </c>
      <c r="BA214" s="2942">
        <f t="shared" si="132"/>
        <v>0</v>
      </c>
      <c r="BB214" s="2942">
        <f t="shared" si="133"/>
        <v>0</v>
      </c>
      <c r="BC214" s="2942">
        <f t="shared" si="134"/>
        <v>0</v>
      </c>
      <c r="BD214" s="2942">
        <f t="shared" si="135"/>
        <v>0</v>
      </c>
      <c r="BE214" s="2942">
        <f t="shared" si="136"/>
        <v>0</v>
      </c>
      <c r="BF214" s="2942">
        <f t="shared" si="137"/>
        <v>0</v>
      </c>
      <c r="BG214" s="2942">
        <f t="shared" si="138"/>
        <v>0</v>
      </c>
      <c r="BH214" s="2942">
        <f t="shared" si="139"/>
        <v>0</v>
      </c>
      <c r="BI214" s="2942">
        <f t="shared" si="140"/>
        <v>0</v>
      </c>
      <c r="BJ214" s="2942">
        <f t="shared" si="141"/>
        <v>0</v>
      </c>
      <c r="BK214" s="2942">
        <f t="shared" si="142"/>
        <v>0</v>
      </c>
      <c r="BL214" s="2942">
        <f t="shared" si="143"/>
        <v>0</v>
      </c>
      <c r="BM214" s="2942">
        <f t="shared" si="144"/>
        <v>0</v>
      </c>
      <c r="BN214" s="2942">
        <f t="shared" si="145"/>
        <v>0</v>
      </c>
      <c r="BO214" s="2942">
        <f t="shared" si="146"/>
        <v>0</v>
      </c>
      <c r="BP214" s="2942">
        <f t="shared" si="147"/>
        <v>0</v>
      </c>
      <c r="BQ214" s="2942">
        <f t="shared" si="148"/>
        <v>0</v>
      </c>
      <c r="BR214" s="2942">
        <f t="shared" si="149"/>
        <v>0</v>
      </c>
      <c r="BS214" s="2942">
        <f t="shared" si="150"/>
        <v>0</v>
      </c>
      <c r="BT214" s="2994">
        <f t="shared" si="151"/>
        <v>0</v>
      </c>
    </row>
    <row r="215" spans="1:72">
      <c r="A215" s="2939"/>
      <c r="B215" s="2940"/>
      <c r="C215" s="2940"/>
      <c r="D215" s="2941"/>
      <c r="E215" s="2942">
        <f t="shared" si="123"/>
        <v>0</v>
      </c>
      <c r="F215" s="2943"/>
      <c r="G215" s="2944">
        <f t="shared" si="124"/>
        <v>0</v>
      </c>
      <c r="H215" s="2945">
        <f t="shared" si="125"/>
        <v>0</v>
      </c>
      <c r="I215" s="2952"/>
      <c r="J215" s="2952"/>
      <c r="K215" s="2952"/>
      <c r="L215" s="2952"/>
      <c r="M215" s="2952"/>
      <c r="N215" s="2952"/>
      <c r="O215" s="2952"/>
      <c r="P215" s="2952"/>
      <c r="Q215" s="2952"/>
      <c r="R215" s="2952"/>
      <c r="S215" s="2952"/>
      <c r="T215" s="2952"/>
      <c r="U215" s="2952"/>
      <c r="V215" s="2952"/>
      <c r="W215" s="2952"/>
      <c r="X215" s="2952"/>
      <c r="Y215" s="2952"/>
      <c r="Z215" s="2952"/>
      <c r="AA215" s="2952"/>
      <c r="AB215" s="2952"/>
      <c r="AC215" s="2942">
        <f t="shared" si="126"/>
        <v>0</v>
      </c>
      <c r="AD215" s="2962"/>
      <c r="AE215" s="2962"/>
      <c r="AF215" s="2962"/>
      <c r="AG215" s="2962"/>
      <c r="AH215" s="2962"/>
      <c r="AI215" s="2962"/>
      <c r="AJ215" s="2962"/>
      <c r="AK215" s="2962"/>
      <c r="AL215" s="2962"/>
      <c r="AM215" s="2962"/>
      <c r="AN215" s="2962"/>
      <c r="AO215" s="2962"/>
      <c r="AP215" s="2962"/>
      <c r="AQ215" s="2962"/>
      <c r="AR215" s="2962"/>
      <c r="AS215" s="2962"/>
      <c r="AT215" s="2972"/>
      <c r="AU215" s="2973"/>
      <c r="AV215" s="1120">
        <f t="shared" si="127"/>
        <v>0</v>
      </c>
      <c r="AW215" s="1120">
        <f t="shared" si="128"/>
        <v>0</v>
      </c>
      <c r="AX215" s="1120">
        <f t="shared" si="129"/>
        <v>0</v>
      </c>
      <c r="AY215" s="2987">
        <f t="shared" si="130"/>
        <v>0</v>
      </c>
      <c r="AZ215" s="2942">
        <f t="shared" si="131"/>
        <v>0</v>
      </c>
      <c r="BA215" s="2942">
        <f t="shared" si="132"/>
        <v>0</v>
      </c>
      <c r="BB215" s="2942">
        <f t="shared" si="133"/>
        <v>0</v>
      </c>
      <c r="BC215" s="2942">
        <f t="shared" si="134"/>
        <v>0</v>
      </c>
      <c r="BD215" s="2942">
        <f t="shared" si="135"/>
        <v>0</v>
      </c>
      <c r="BE215" s="2942">
        <f t="shared" si="136"/>
        <v>0</v>
      </c>
      <c r="BF215" s="2942">
        <f t="shared" si="137"/>
        <v>0</v>
      </c>
      <c r="BG215" s="2942">
        <f t="shared" si="138"/>
        <v>0</v>
      </c>
      <c r="BH215" s="2942">
        <f t="shared" si="139"/>
        <v>0</v>
      </c>
      <c r="BI215" s="2942">
        <f t="shared" si="140"/>
        <v>0</v>
      </c>
      <c r="BJ215" s="2942">
        <f t="shared" si="141"/>
        <v>0</v>
      </c>
      <c r="BK215" s="2942">
        <f t="shared" si="142"/>
        <v>0</v>
      </c>
      <c r="BL215" s="2942">
        <f t="shared" si="143"/>
        <v>0</v>
      </c>
      <c r="BM215" s="2942">
        <f t="shared" si="144"/>
        <v>0</v>
      </c>
      <c r="BN215" s="2942">
        <f t="shared" si="145"/>
        <v>0</v>
      </c>
      <c r="BO215" s="2942">
        <f t="shared" si="146"/>
        <v>0</v>
      </c>
      <c r="BP215" s="2942">
        <f t="shared" si="147"/>
        <v>0</v>
      </c>
      <c r="BQ215" s="2942">
        <f t="shared" si="148"/>
        <v>0</v>
      </c>
      <c r="BR215" s="2942">
        <f t="shared" si="149"/>
        <v>0</v>
      </c>
      <c r="BS215" s="2942">
        <f t="shared" si="150"/>
        <v>0</v>
      </c>
      <c r="BT215" s="2994">
        <f t="shared" si="151"/>
        <v>0</v>
      </c>
    </row>
    <row r="216" spans="1:72">
      <c r="A216" s="2939"/>
      <c r="B216" s="2940"/>
      <c r="C216" s="2940"/>
      <c r="D216" s="2941"/>
      <c r="E216" s="2942">
        <f t="shared" si="123"/>
        <v>0</v>
      </c>
      <c r="F216" s="2943"/>
      <c r="G216" s="2944">
        <f t="shared" si="124"/>
        <v>0</v>
      </c>
      <c r="H216" s="2945">
        <f t="shared" si="125"/>
        <v>0</v>
      </c>
      <c r="I216" s="2952"/>
      <c r="J216" s="2952"/>
      <c r="K216" s="2952"/>
      <c r="L216" s="2952"/>
      <c r="M216" s="2952"/>
      <c r="N216" s="2952"/>
      <c r="O216" s="2952"/>
      <c r="P216" s="2952"/>
      <c r="Q216" s="2952"/>
      <c r="R216" s="2952"/>
      <c r="S216" s="2952"/>
      <c r="T216" s="2952"/>
      <c r="U216" s="2952"/>
      <c r="V216" s="2952"/>
      <c r="W216" s="2952"/>
      <c r="X216" s="2952"/>
      <c r="Y216" s="2952"/>
      <c r="Z216" s="2952"/>
      <c r="AA216" s="2952"/>
      <c r="AB216" s="2952"/>
      <c r="AC216" s="2942">
        <f t="shared" si="126"/>
        <v>0</v>
      </c>
      <c r="AD216" s="2962"/>
      <c r="AE216" s="2962"/>
      <c r="AF216" s="2962"/>
      <c r="AG216" s="2962"/>
      <c r="AH216" s="2962"/>
      <c r="AI216" s="2962"/>
      <c r="AJ216" s="2962"/>
      <c r="AK216" s="2962"/>
      <c r="AL216" s="2962"/>
      <c r="AM216" s="2962"/>
      <c r="AN216" s="2962"/>
      <c r="AO216" s="2962"/>
      <c r="AP216" s="2962"/>
      <c r="AQ216" s="2962"/>
      <c r="AR216" s="2962"/>
      <c r="AS216" s="2962"/>
      <c r="AT216" s="2972"/>
      <c r="AU216" s="2973"/>
      <c r="AV216" s="1120">
        <f t="shared" si="127"/>
        <v>0</v>
      </c>
      <c r="AW216" s="1120">
        <f t="shared" si="128"/>
        <v>0</v>
      </c>
      <c r="AX216" s="1120">
        <f t="shared" si="129"/>
        <v>0</v>
      </c>
      <c r="AY216" s="2987">
        <f t="shared" si="130"/>
        <v>0</v>
      </c>
      <c r="AZ216" s="2942">
        <f t="shared" si="131"/>
        <v>0</v>
      </c>
      <c r="BA216" s="2942">
        <f t="shared" si="132"/>
        <v>0</v>
      </c>
      <c r="BB216" s="2942">
        <f t="shared" si="133"/>
        <v>0</v>
      </c>
      <c r="BC216" s="2942">
        <f t="shared" si="134"/>
        <v>0</v>
      </c>
      <c r="BD216" s="2942">
        <f t="shared" si="135"/>
        <v>0</v>
      </c>
      <c r="BE216" s="2942">
        <f t="shared" si="136"/>
        <v>0</v>
      </c>
      <c r="BF216" s="2942">
        <f t="shared" si="137"/>
        <v>0</v>
      </c>
      <c r="BG216" s="2942">
        <f t="shared" si="138"/>
        <v>0</v>
      </c>
      <c r="BH216" s="2942">
        <f t="shared" si="139"/>
        <v>0</v>
      </c>
      <c r="BI216" s="2942">
        <f t="shared" si="140"/>
        <v>0</v>
      </c>
      <c r="BJ216" s="2942">
        <f t="shared" si="141"/>
        <v>0</v>
      </c>
      <c r="BK216" s="2942">
        <f t="shared" si="142"/>
        <v>0</v>
      </c>
      <c r="BL216" s="2942">
        <f t="shared" si="143"/>
        <v>0</v>
      </c>
      <c r="BM216" s="2942">
        <f t="shared" si="144"/>
        <v>0</v>
      </c>
      <c r="BN216" s="2942">
        <f t="shared" si="145"/>
        <v>0</v>
      </c>
      <c r="BO216" s="2942">
        <f t="shared" si="146"/>
        <v>0</v>
      </c>
      <c r="BP216" s="2942">
        <f t="shared" si="147"/>
        <v>0</v>
      </c>
      <c r="BQ216" s="2942">
        <f t="shared" si="148"/>
        <v>0</v>
      </c>
      <c r="BR216" s="2942">
        <f t="shared" si="149"/>
        <v>0</v>
      </c>
      <c r="BS216" s="2942">
        <f t="shared" si="150"/>
        <v>0</v>
      </c>
      <c r="BT216" s="2994">
        <f t="shared" si="151"/>
        <v>0</v>
      </c>
    </row>
    <row r="217" spans="1:72">
      <c r="A217" s="2939"/>
      <c r="B217" s="2940"/>
      <c r="C217" s="2940"/>
      <c r="D217" s="2941"/>
      <c r="E217" s="2942">
        <f t="shared" si="123"/>
        <v>0</v>
      </c>
      <c r="F217" s="2943"/>
      <c r="G217" s="2944">
        <f t="shared" si="124"/>
        <v>0</v>
      </c>
      <c r="H217" s="2945">
        <f t="shared" si="125"/>
        <v>0</v>
      </c>
      <c r="I217" s="2952"/>
      <c r="J217" s="2952"/>
      <c r="K217" s="2952"/>
      <c r="L217" s="2952"/>
      <c r="M217" s="2952"/>
      <c r="N217" s="2952"/>
      <c r="O217" s="2952"/>
      <c r="P217" s="2952"/>
      <c r="Q217" s="2952"/>
      <c r="R217" s="2952"/>
      <c r="S217" s="2952"/>
      <c r="T217" s="2952"/>
      <c r="U217" s="2952"/>
      <c r="V217" s="2952"/>
      <c r="W217" s="2952"/>
      <c r="X217" s="2952"/>
      <c r="Y217" s="2952"/>
      <c r="Z217" s="2952"/>
      <c r="AA217" s="2952"/>
      <c r="AB217" s="2952"/>
      <c r="AC217" s="2942">
        <f t="shared" si="126"/>
        <v>0</v>
      </c>
      <c r="AD217" s="2962"/>
      <c r="AE217" s="2962"/>
      <c r="AF217" s="2962"/>
      <c r="AG217" s="2962"/>
      <c r="AH217" s="2962"/>
      <c r="AI217" s="2962"/>
      <c r="AJ217" s="2962"/>
      <c r="AK217" s="2962"/>
      <c r="AL217" s="2962"/>
      <c r="AM217" s="2962"/>
      <c r="AN217" s="2962"/>
      <c r="AO217" s="2962"/>
      <c r="AP217" s="2962"/>
      <c r="AQ217" s="2962"/>
      <c r="AR217" s="2962"/>
      <c r="AS217" s="2962"/>
      <c r="AT217" s="2972"/>
      <c r="AU217" s="2973"/>
      <c r="AV217" s="1120">
        <f t="shared" si="127"/>
        <v>0</v>
      </c>
      <c r="AW217" s="1120">
        <f t="shared" si="128"/>
        <v>0</v>
      </c>
      <c r="AX217" s="1120">
        <f t="shared" si="129"/>
        <v>0</v>
      </c>
      <c r="AY217" s="2987">
        <f t="shared" si="130"/>
        <v>0</v>
      </c>
      <c r="AZ217" s="2942">
        <f t="shared" si="131"/>
        <v>0</v>
      </c>
      <c r="BA217" s="2942">
        <f t="shared" si="132"/>
        <v>0</v>
      </c>
      <c r="BB217" s="2942">
        <f t="shared" si="133"/>
        <v>0</v>
      </c>
      <c r="BC217" s="2942">
        <f t="shared" si="134"/>
        <v>0</v>
      </c>
      <c r="BD217" s="2942">
        <f t="shared" si="135"/>
        <v>0</v>
      </c>
      <c r="BE217" s="2942">
        <f t="shared" si="136"/>
        <v>0</v>
      </c>
      <c r="BF217" s="2942">
        <f t="shared" si="137"/>
        <v>0</v>
      </c>
      <c r="BG217" s="2942">
        <f t="shared" si="138"/>
        <v>0</v>
      </c>
      <c r="BH217" s="2942">
        <f t="shared" si="139"/>
        <v>0</v>
      </c>
      <c r="BI217" s="2942">
        <f t="shared" si="140"/>
        <v>0</v>
      </c>
      <c r="BJ217" s="2942">
        <f t="shared" si="141"/>
        <v>0</v>
      </c>
      <c r="BK217" s="2942">
        <f t="shared" si="142"/>
        <v>0</v>
      </c>
      <c r="BL217" s="2942">
        <f t="shared" si="143"/>
        <v>0</v>
      </c>
      <c r="BM217" s="2942">
        <f t="shared" si="144"/>
        <v>0</v>
      </c>
      <c r="BN217" s="2942">
        <f t="shared" si="145"/>
        <v>0</v>
      </c>
      <c r="BO217" s="2942">
        <f t="shared" si="146"/>
        <v>0</v>
      </c>
      <c r="BP217" s="2942">
        <f t="shared" si="147"/>
        <v>0</v>
      </c>
      <c r="BQ217" s="2942">
        <f t="shared" si="148"/>
        <v>0</v>
      </c>
      <c r="BR217" s="2942">
        <f t="shared" si="149"/>
        <v>0</v>
      </c>
      <c r="BS217" s="2942">
        <f t="shared" si="150"/>
        <v>0</v>
      </c>
      <c r="BT217" s="2994">
        <f t="shared" si="151"/>
        <v>0</v>
      </c>
    </row>
    <row r="218" spans="1:72">
      <c r="A218" s="2939"/>
      <c r="B218" s="2940"/>
      <c r="C218" s="2940"/>
      <c r="D218" s="2941"/>
      <c r="E218" s="2942">
        <f t="shared" si="123"/>
        <v>0</v>
      </c>
      <c r="F218" s="2943"/>
      <c r="G218" s="2944">
        <f t="shared" si="124"/>
        <v>0</v>
      </c>
      <c r="H218" s="2945">
        <f t="shared" si="125"/>
        <v>0</v>
      </c>
      <c r="I218" s="2952"/>
      <c r="J218" s="2952"/>
      <c r="K218" s="2952"/>
      <c r="L218" s="2952"/>
      <c r="M218" s="2952"/>
      <c r="N218" s="2952"/>
      <c r="O218" s="2952"/>
      <c r="P218" s="2952"/>
      <c r="Q218" s="2952"/>
      <c r="R218" s="2952"/>
      <c r="S218" s="2952"/>
      <c r="T218" s="2952"/>
      <c r="U218" s="2952"/>
      <c r="V218" s="2952"/>
      <c r="W218" s="2952"/>
      <c r="X218" s="2952"/>
      <c r="Y218" s="2952"/>
      <c r="Z218" s="2952"/>
      <c r="AA218" s="2952"/>
      <c r="AB218" s="2952"/>
      <c r="AC218" s="2942">
        <f t="shared" si="126"/>
        <v>0</v>
      </c>
      <c r="AD218" s="2962"/>
      <c r="AE218" s="2962"/>
      <c r="AF218" s="2962"/>
      <c r="AG218" s="2962"/>
      <c r="AH218" s="2962"/>
      <c r="AI218" s="2962"/>
      <c r="AJ218" s="2962"/>
      <c r="AK218" s="2962"/>
      <c r="AL218" s="2962"/>
      <c r="AM218" s="2962"/>
      <c r="AN218" s="2962"/>
      <c r="AO218" s="2962"/>
      <c r="AP218" s="2962"/>
      <c r="AQ218" s="2962"/>
      <c r="AR218" s="2962"/>
      <c r="AS218" s="2962"/>
      <c r="AT218" s="2972"/>
      <c r="AU218" s="2973"/>
      <c r="AV218" s="1120">
        <f t="shared" si="127"/>
        <v>0</v>
      </c>
      <c r="AW218" s="1120">
        <f t="shared" si="128"/>
        <v>0</v>
      </c>
      <c r="AX218" s="1120">
        <f t="shared" si="129"/>
        <v>0</v>
      </c>
      <c r="AY218" s="2987">
        <f t="shared" si="130"/>
        <v>0</v>
      </c>
      <c r="AZ218" s="2942">
        <f t="shared" si="131"/>
        <v>0</v>
      </c>
      <c r="BA218" s="2942">
        <f t="shared" si="132"/>
        <v>0</v>
      </c>
      <c r="BB218" s="2942">
        <f t="shared" si="133"/>
        <v>0</v>
      </c>
      <c r="BC218" s="2942">
        <f t="shared" si="134"/>
        <v>0</v>
      </c>
      <c r="BD218" s="2942">
        <f t="shared" si="135"/>
        <v>0</v>
      </c>
      <c r="BE218" s="2942">
        <f t="shared" si="136"/>
        <v>0</v>
      </c>
      <c r="BF218" s="2942">
        <f t="shared" si="137"/>
        <v>0</v>
      </c>
      <c r="BG218" s="2942">
        <f t="shared" si="138"/>
        <v>0</v>
      </c>
      <c r="BH218" s="2942">
        <f t="shared" si="139"/>
        <v>0</v>
      </c>
      <c r="BI218" s="2942">
        <f t="shared" si="140"/>
        <v>0</v>
      </c>
      <c r="BJ218" s="2942">
        <f t="shared" si="141"/>
        <v>0</v>
      </c>
      <c r="BK218" s="2942">
        <f t="shared" si="142"/>
        <v>0</v>
      </c>
      <c r="BL218" s="2942">
        <f t="shared" si="143"/>
        <v>0</v>
      </c>
      <c r="BM218" s="2942">
        <f t="shared" si="144"/>
        <v>0</v>
      </c>
      <c r="BN218" s="2942">
        <f t="shared" si="145"/>
        <v>0</v>
      </c>
      <c r="BO218" s="2942">
        <f t="shared" si="146"/>
        <v>0</v>
      </c>
      <c r="BP218" s="2942">
        <f t="shared" si="147"/>
        <v>0</v>
      </c>
      <c r="BQ218" s="2942">
        <f t="shared" si="148"/>
        <v>0</v>
      </c>
      <c r="BR218" s="2942">
        <f t="shared" si="149"/>
        <v>0</v>
      </c>
      <c r="BS218" s="2942">
        <f t="shared" si="150"/>
        <v>0</v>
      </c>
      <c r="BT218" s="2994">
        <f t="shared" si="151"/>
        <v>0</v>
      </c>
    </row>
    <row r="219" spans="1:72">
      <c r="A219" s="2939"/>
      <c r="B219" s="2940"/>
      <c r="C219" s="2940"/>
      <c r="D219" s="2941"/>
      <c r="E219" s="2942">
        <f t="shared" si="123"/>
        <v>0</v>
      </c>
      <c r="F219" s="2943"/>
      <c r="G219" s="2944">
        <f t="shared" si="124"/>
        <v>0</v>
      </c>
      <c r="H219" s="2945">
        <f t="shared" si="125"/>
        <v>0</v>
      </c>
      <c r="I219" s="2952"/>
      <c r="J219" s="2952"/>
      <c r="K219" s="2952"/>
      <c r="L219" s="2952"/>
      <c r="M219" s="2952"/>
      <c r="N219" s="2952"/>
      <c r="O219" s="2952"/>
      <c r="P219" s="2952"/>
      <c r="Q219" s="2952"/>
      <c r="R219" s="2952"/>
      <c r="S219" s="2952"/>
      <c r="T219" s="2952"/>
      <c r="U219" s="2952"/>
      <c r="V219" s="2952"/>
      <c r="W219" s="2952"/>
      <c r="X219" s="2952"/>
      <c r="Y219" s="2952"/>
      <c r="Z219" s="2952"/>
      <c r="AA219" s="2952"/>
      <c r="AB219" s="2952"/>
      <c r="AC219" s="2942">
        <f t="shared" si="126"/>
        <v>0</v>
      </c>
      <c r="AD219" s="2962"/>
      <c r="AE219" s="2962"/>
      <c r="AF219" s="2962"/>
      <c r="AG219" s="2962"/>
      <c r="AH219" s="2962"/>
      <c r="AI219" s="2962"/>
      <c r="AJ219" s="2962"/>
      <c r="AK219" s="2962"/>
      <c r="AL219" s="2962"/>
      <c r="AM219" s="2962"/>
      <c r="AN219" s="2962"/>
      <c r="AO219" s="2962"/>
      <c r="AP219" s="2962"/>
      <c r="AQ219" s="2962"/>
      <c r="AR219" s="2962"/>
      <c r="AS219" s="2962"/>
      <c r="AT219" s="2972"/>
      <c r="AU219" s="2973"/>
      <c r="AV219" s="1120">
        <f t="shared" si="127"/>
        <v>0</v>
      </c>
      <c r="AW219" s="1120">
        <f t="shared" si="128"/>
        <v>0</v>
      </c>
      <c r="AX219" s="1120">
        <f t="shared" si="129"/>
        <v>0</v>
      </c>
      <c r="AY219" s="2987">
        <f t="shared" si="130"/>
        <v>0</v>
      </c>
      <c r="AZ219" s="2942">
        <f t="shared" si="131"/>
        <v>0</v>
      </c>
      <c r="BA219" s="2942">
        <f t="shared" si="132"/>
        <v>0</v>
      </c>
      <c r="BB219" s="2942">
        <f t="shared" si="133"/>
        <v>0</v>
      </c>
      <c r="BC219" s="2942">
        <f t="shared" si="134"/>
        <v>0</v>
      </c>
      <c r="BD219" s="2942">
        <f t="shared" si="135"/>
        <v>0</v>
      </c>
      <c r="BE219" s="2942">
        <f t="shared" si="136"/>
        <v>0</v>
      </c>
      <c r="BF219" s="2942">
        <f t="shared" si="137"/>
        <v>0</v>
      </c>
      <c r="BG219" s="2942">
        <f t="shared" si="138"/>
        <v>0</v>
      </c>
      <c r="BH219" s="2942">
        <f t="shared" si="139"/>
        <v>0</v>
      </c>
      <c r="BI219" s="2942">
        <f t="shared" si="140"/>
        <v>0</v>
      </c>
      <c r="BJ219" s="2942">
        <f t="shared" si="141"/>
        <v>0</v>
      </c>
      <c r="BK219" s="2942">
        <f t="shared" si="142"/>
        <v>0</v>
      </c>
      <c r="BL219" s="2942">
        <f t="shared" si="143"/>
        <v>0</v>
      </c>
      <c r="BM219" s="2942">
        <f t="shared" si="144"/>
        <v>0</v>
      </c>
      <c r="BN219" s="2942">
        <f t="shared" si="145"/>
        <v>0</v>
      </c>
      <c r="BO219" s="2942">
        <f t="shared" si="146"/>
        <v>0</v>
      </c>
      <c r="BP219" s="2942">
        <f t="shared" si="147"/>
        <v>0</v>
      </c>
      <c r="BQ219" s="2942">
        <f t="shared" si="148"/>
        <v>0</v>
      </c>
      <c r="BR219" s="2942">
        <f t="shared" si="149"/>
        <v>0</v>
      </c>
      <c r="BS219" s="2942">
        <f t="shared" si="150"/>
        <v>0</v>
      </c>
      <c r="BT219" s="2994">
        <f t="shared" si="151"/>
        <v>0</v>
      </c>
    </row>
    <row r="220" spans="1:72">
      <c r="A220" s="2939"/>
      <c r="B220" s="2940"/>
      <c r="C220" s="2940"/>
      <c r="D220" s="2941"/>
      <c r="E220" s="2942">
        <f t="shared" si="123"/>
        <v>0</v>
      </c>
      <c r="F220" s="2943"/>
      <c r="G220" s="2944">
        <f t="shared" si="124"/>
        <v>0</v>
      </c>
      <c r="H220" s="2945">
        <f t="shared" si="125"/>
        <v>0</v>
      </c>
      <c r="I220" s="2952"/>
      <c r="J220" s="2952"/>
      <c r="K220" s="2952"/>
      <c r="L220" s="2952"/>
      <c r="M220" s="2952"/>
      <c r="N220" s="2952"/>
      <c r="O220" s="2952"/>
      <c r="P220" s="2952"/>
      <c r="Q220" s="2952"/>
      <c r="R220" s="2952"/>
      <c r="S220" s="2952"/>
      <c r="T220" s="2952"/>
      <c r="U220" s="2952"/>
      <c r="V220" s="2952"/>
      <c r="W220" s="2952"/>
      <c r="X220" s="2952"/>
      <c r="Y220" s="2952"/>
      <c r="Z220" s="2952"/>
      <c r="AA220" s="2952"/>
      <c r="AB220" s="2952"/>
      <c r="AC220" s="2942">
        <f t="shared" si="126"/>
        <v>0</v>
      </c>
      <c r="AD220" s="2962"/>
      <c r="AE220" s="2962"/>
      <c r="AF220" s="2962"/>
      <c r="AG220" s="2962"/>
      <c r="AH220" s="2962"/>
      <c r="AI220" s="2962"/>
      <c r="AJ220" s="2962"/>
      <c r="AK220" s="2962"/>
      <c r="AL220" s="2962"/>
      <c r="AM220" s="2962"/>
      <c r="AN220" s="2962"/>
      <c r="AO220" s="2962"/>
      <c r="AP220" s="2962"/>
      <c r="AQ220" s="2962"/>
      <c r="AR220" s="2962"/>
      <c r="AS220" s="2962"/>
      <c r="AT220" s="2972"/>
      <c r="AU220" s="2973"/>
      <c r="AV220" s="1120">
        <f t="shared" si="127"/>
        <v>0</v>
      </c>
      <c r="AW220" s="1120">
        <f t="shared" si="128"/>
        <v>0</v>
      </c>
      <c r="AX220" s="1120">
        <f t="shared" si="129"/>
        <v>0</v>
      </c>
      <c r="AY220" s="2987">
        <f t="shared" si="130"/>
        <v>0</v>
      </c>
      <c r="AZ220" s="2942">
        <f t="shared" si="131"/>
        <v>0</v>
      </c>
      <c r="BA220" s="2942">
        <f t="shared" si="132"/>
        <v>0</v>
      </c>
      <c r="BB220" s="2942">
        <f t="shared" si="133"/>
        <v>0</v>
      </c>
      <c r="BC220" s="2942">
        <f t="shared" si="134"/>
        <v>0</v>
      </c>
      <c r="BD220" s="2942">
        <f t="shared" si="135"/>
        <v>0</v>
      </c>
      <c r="BE220" s="2942">
        <f t="shared" si="136"/>
        <v>0</v>
      </c>
      <c r="BF220" s="2942">
        <f t="shared" si="137"/>
        <v>0</v>
      </c>
      <c r="BG220" s="2942">
        <f t="shared" si="138"/>
        <v>0</v>
      </c>
      <c r="BH220" s="2942">
        <f t="shared" si="139"/>
        <v>0</v>
      </c>
      <c r="BI220" s="2942">
        <f t="shared" si="140"/>
        <v>0</v>
      </c>
      <c r="BJ220" s="2942">
        <f t="shared" si="141"/>
        <v>0</v>
      </c>
      <c r="BK220" s="2942">
        <f t="shared" si="142"/>
        <v>0</v>
      </c>
      <c r="BL220" s="2942">
        <f t="shared" si="143"/>
        <v>0</v>
      </c>
      <c r="BM220" s="2942">
        <f t="shared" si="144"/>
        <v>0</v>
      </c>
      <c r="BN220" s="2942">
        <f t="shared" si="145"/>
        <v>0</v>
      </c>
      <c r="BO220" s="2942">
        <f t="shared" si="146"/>
        <v>0</v>
      </c>
      <c r="BP220" s="2942">
        <f t="shared" si="147"/>
        <v>0</v>
      </c>
      <c r="BQ220" s="2942">
        <f t="shared" si="148"/>
        <v>0</v>
      </c>
      <c r="BR220" s="2942">
        <f t="shared" si="149"/>
        <v>0</v>
      </c>
      <c r="BS220" s="2942">
        <f t="shared" si="150"/>
        <v>0</v>
      </c>
      <c r="BT220" s="2994">
        <f t="shared" si="151"/>
        <v>0</v>
      </c>
    </row>
    <row r="221" spans="1:72">
      <c r="A221" s="2939"/>
      <c r="B221" s="2940"/>
      <c r="C221" s="2940"/>
      <c r="D221" s="2941"/>
      <c r="E221" s="2942">
        <f t="shared" si="123"/>
        <v>0</v>
      </c>
      <c r="F221" s="2943"/>
      <c r="G221" s="2944">
        <f t="shared" si="124"/>
        <v>0</v>
      </c>
      <c r="H221" s="2945">
        <f t="shared" si="125"/>
        <v>0</v>
      </c>
      <c r="I221" s="2952"/>
      <c r="J221" s="2952"/>
      <c r="K221" s="2952"/>
      <c r="L221" s="2952"/>
      <c r="M221" s="2952"/>
      <c r="N221" s="2952"/>
      <c r="O221" s="2952"/>
      <c r="P221" s="2952"/>
      <c r="Q221" s="2952"/>
      <c r="R221" s="2952"/>
      <c r="S221" s="2952"/>
      <c r="T221" s="2952"/>
      <c r="U221" s="2952"/>
      <c r="V221" s="2952"/>
      <c r="W221" s="2952"/>
      <c r="X221" s="2952"/>
      <c r="Y221" s="2952"/>
      <c r="Z221" s="2952"/>
      <c r="AA221" s="2952"/>
      <c r="AB221" s="2952"/>
      <c r="AC221" s="2942">
        <f t="shared" si="126"/>
        <v>0</v>
      </c>
      <c r="AD221" s="2962"/>
      <c r="AE221" s="2962"/>
      <c r="AF221" s="2962"/>
      <c r="AG221" s="2962"/>
      <c r="AH221" s="2962"/>
      <c r="AI221" s="2962"/>
      <c r="AJ221" s="2962"/>
      <c r="AK221" s="2962"/>
      <c r="AL221" s="2962"/>
      <c r="AM221" s="2962"/>
      <c r="AN221" s="2962"/>
      <c r="AO221" s="2962"/>
      <c r="AP221" s="2962"/>
      <c r="AQ221" s="2962"/>
      <c r="AR221" s="2962"/>
      <c r="AS221" s="2962"/>
      <c r="AT221" s="2972"/>
      <c r="AU221" s="2973"/>
      <c r="AV221" s="1120">
        <f t="shared" si="127"/>
        <v>0</v>
      </c>
      <c r="AW221" s="1120">
        <f t="shared" si="128"/>
        <v>0</v>
      </c>
      <c r="AX221" s="1120">
        <f t="shared" si="129"/>
        <v>0</v>
      </c>
      <c r="AY221" s="2987">
        <f t="shared" si="130"/>
        <v>0</v>
      </c>
      <c r="AZ221" s="2942">
        <f t="shared" si="131"/>
        <v>0</v>
      </c>
      <c r="BA221" s="2942">
        <f t="shared" si="132"/>
        <v>0</v>
      </c>
      <c r="BB221" s="2942">
        <f t="shared" si="133"/>
        <v>0</v>
      </c>
      <c r="BC221" s="2942">
        <f t="shared" si="134"/>
        <v>0</v>
      </c>
      <c r="BD221" s="2942">
        <f t="shared" si="135"/>
        <v>0</v>
      </c>
      <c r="BE221" s="2942">
        <f t="shared" si="136"/>
        <v>0</v>
      </c>
      <c r="BF221" s="2942">
        <f t="shared" si="137"/>
        <v>0</v>
      </c>
      <c r="BG221" s="2942">
        <f t="shared" si="138"/>
        <v>0</v>
      </c>
      <c r="BH221" s="2942">
        <f t="shared" si="139"/>
        <v>0</v>
      </c>
      <c r="BI221" s="2942">
        <f t="shared" si="140"/>
        <v>0</v>
      </c>
      <c r="BJ221" s="2942">
        <f t="shared" si="141"/>
        <v>0</v>
      </c>
      <c r="BK221" s="2942">
        <f t="shared" si="142"/>
        <v>0</v>
      </c>
      <c r="BL221" s="2942">
        <f t="shared" si="143"/>
        <v>0</v>
      </c>
      <c r="BM221" s="2942">
        <f t="shared" si="144"/>
        <v>0</v>
      </c>
      <c r="BN221" s="2942">
        <f t="shared" si="145"/>
        <v>0</v>
      </c>
      <c r="BO221" s="2942">
        <f t="shared" si="146"/>
        <v>0</v>
      </c>
      <c r="BP221" s="2942">
        <f t="shared" si="147"/>
        <v>0</v>
      </c>
      <c r="BQ221" s="2942">
        <f t="shared" si="148"/>
        <v>0</v>
      </c>
      <c r="BR221" s="2942">
        <f t="shared" si="149"/>
        <v>0</v>
      </c>
      <c r="BS221" s="2942">
        <f t="shared" si="150"/>
        <v>0</v>
      </c>
      <c r="BT221" s="2994">
        <f t="shared" si="151"/>
        <v>0</v>
      </c>
    </row>
    <row r="222" spans="1:72">
      <c r="A222" s="2939"/>
      <c r="B222" s="2940"/>
      <c r="C222" s="2940"/>
      <c r="D222" s="2941"/>
      <c r="E222" s="2942">
        <f t="shared" si="123"/>
        <v>0</v>
      </c>
      <c r="F222" s="2943"/>
      <c r="G222" s="2944">
        <f t="shared" si="124"/>
        <v>0</v>
      </c>
      <c r="H222" s="2945">
        <f t="shared" si="125"/>
        <v>0</v>
      </c>
      <c r="I222" s="2952"/>
      <c r="J222" s="2952"/>
      <c r="K222" s="2952"/>
      <c r="L222" s="2952"/>
      <c r="M222" s="2952"/>
      <c r="N222" s="2952"/>
      <c r="O222" s="2952"/>
      <c r="P222" s="2952"/>
      <c r="Q222" s="2952"/>
      <c r="R222" s="2952"/>
      <c r="S222" s="2952"/>
      <c r="T222" s="2952"/>
      <c r="U222" s="2952"/>
      <c r="V222" s="2952"/>
      <c r="W222" s="2952"/>
      <c r="X222" s="2952"/>
      <c r="Y222" s="2952"/>
      <c r="Z222" s="2952"/>
      <c r="AA222" s="2952"/>
      <c r="AB222" s="2952"/>
      <c r="AC222" s="2942">
        <f t="shared" si="126"/>
        <v>0</v>
      </c>
      <c r="AD222" s="2962"/>
      <c r="AE222" s="2962"/>
      <c r="AF222" s="2962"/>
      <c r="AG222" s="2962"/>
      <c r="AH222" s="2962"/>
      <c r="AI222" s="2962"/>
      <c r="AJ222" s="2962"/>
      <c r="AK222" s="2962"/>
      <c r="AL222" s="2962"/>
      <c r="AM222" s="2962"/>
      <c r="AN222" s="2962"/>
      <c r="AO222" s="2962"/>
      <c r="AP222" s="2962"/>
      <c r="AQ222" s="2962"/>
      <c r="AR222" s="2962"/>
      <c r="AS222" s="2962"/>
      <c r="AT222" s="2972"/>
      <c r="AU222" s="2973"/>
      <c r="AV222" s="1120">
        <f t="shared" si="127"/>
        <v>0</v>
      </c>
      <c r="AW222" s="1120">
        <f t="shared" si="128"/>
        <v>0</v>
      </c>
      <c r="AX222" s="1120">
        <f t="shared" si="129"/>
        <v>0</v>
      </c>
      <c r="AY222" s="2987">
        <f t="shared" si="130"/>
        <v>0</v>
      </c>
      <c r="AZ222" s="2942">
        <f t="shared" si="131"/>
        <v>0</v>
      </c>
      <c r="BA222" s="2942">
        <f t="shared" si="132"/>
        <v>0</v>
      </c>
      <c r="BB222" s="2942">
        <f t="shared" si="133"/>
        <v>0</v>
      </c>
      <c r="BC222" s="2942">
        <f t="shared" si="134"/>
        <v>0</v>
      </c>
      <c r="BD222" s="2942">
        <f t="shared" si="135"/>
        <v>0</v>
      </c>
      <c r="BE222" s="2942">
        <f t="shared" si="136"/>
        <v>0</v>
      </c>
      <c r="BF222" s="2942">
        <f t="shared" si="137"/>
        <v>0</v>
      </c>
      <c r="BG222" s="2942">
        <f t="shared" si="138"/>
        <v>0</v>
      </c>
      <c r="BH222" s="2942">
        <f t="shared" si="139"/>
        <v>0</v>
      </c>
      <c r="BI222" s="2942">
        <f t="shared" si="140"/>
        <v>0</v>
      </c>
      <c r="BJ222" s="2942">
        <f t="shared" si="141"/>
        <v>0</v>
      </c>
      <c r="BK222" s="2942">
        <f t="shared" si="142"/>
        <v>0</v>
      </c>
      <c r="BL222" s="2942">
        <f t="shared" si="143"/>
        <v>0</v>
      </c>
      <c r="BM222" s="2942">
        <f t="shared" si="144"/>
        <v>0</v>
      </c>
      <c r="BN222" s="2942">
        <f t="shared" si="145"/>
        <v>0</v>
      </c>
      <c r="BO222" s="2942">
        <f t="shared" si="146"/>
        <v>0</v>
      </c>
      <c r="BP222" s="2942">
        <f t="shared" si="147"/>
        <v>0</v>
      </c>
      <c r="BQ222" s="2942">
        <f t="shared" si="148"/>
        <v>0</v>
      </c>
      <c r="BR222" s="2942">
        <f t="shared" si="149"/>
        <v>0</v>
      </c>
      <c r="BS222" s="2942">
        <f t="shared" si="150"/>
        <v>0</v>
      </c>
      <c r="BT222" s="2994">
        <f t="shared" si="151"/>
        <v>0</v>
      </c>
    </row>
    <row r="223" spans="1:72">
      <c r="A223" s="2939"/>
      <c r="B223" s="2940"/>
      <c r="C223" s="2940"/>
      <c r="D223" s="2941"/>
      <c r="E223" s="2942">
        <f t="shared" si="123"/>
        <v>0</v>
      </c>
      <c r="F223" s="2943"/>
      <c r="G223" s="2944">
        <f t="shared" si="124"/>
        <v>0</v>
      </c>
      <c r="H223" s="2945">
        <f t="shared" si="125"/>
        <v>0</v>
      </c>
      <c r="I223" s="2952"/>
      <c r="J223" s="2952"/>
      <c r="K223" s="2952"/>
      <c r="L223" s="2952"/>
      <c r="M223" s="2952"/>
      <c r="N223" s="2952"/>
      <c r="O223" s="2952"/>
      <c r="P223" s="2952"/>
      <c r="Q223" s="2952"/>
      <c r="R223" s="2952"/>
      <c r="S223" s="2952"/>
      <c r="T223" s="2952"/>
      <c r="U223" s="2952"/>
      <c r="V223" s="2952"/>
      <c r="W223" s="2952"/>
      <c r="X223" s="2952"/>
      <c r="Y223" s="2952"/>
      <c r="Z223" s="2952"/>
      <c r="AA223" s="2952"/>
      <c r="AB223" s="2952"/>
      <c r="AC223" s="2942">
        <f t="shared" si="126"/>
        <v>0</v>
      </c>
      <c r="AD223" s="2962"/>
      <c r="AE223" s="2962"/>
      <c r="AF223" s="2962"/>
      <c r="AG223" s="2962"/>
      <c r="AH223" s="2962"/>
      <c r="AI223" s="2962"/>
      <c r="AJ223" s="2962"/>
      <c r="AK223" s="2962"/>
      <c r="AL223" s="2962"/>
      <c r="AM223" s="2962"/>
      <c r="AN223" s="2962"/>
      <c r="AO223" s="2962"/>
      <c r="AP223" s="2962"/>
      <c r="AQ223" s="2962"/>
      <c r="AR223" s="2962"/>
      <c r="AS223" s="2962"/>
      <c r="AT223" s="2972"/>
      <c r="AU223" s="2973"/>
      <c r="AV223" s="1120">
        <f t="shared" si="127"/>
        <v>0</v>
      </c>
      <c r="AW223" s="1120">
        <f t="shared" si="128"/>
        <v>0</v>
      </c>
      <c r="AX223" s="1120">
        <f t="shared" si="129"/>
        <v>0</v>
      </c>
      <c r="AY223" s="2987">
        <f t="shared" si="130"/>
        <v>0</v>
      </c>
      <c r="AZ223" s="2942">
        <f t="shared" si="131"/>
        <v>0</v>
      </c>
      <c r="BA223" s="2942">
        <f t="shared" si="132"/>
        <v>0</v>
      </c>
      <c r="BB223" s="2942">
        <f t="shared" si="133"/>
        <v>0</v>
      </c>
      <c r="BC223" s="2942">
        <f t="shared" si="134"/>
        <v>0</v>
      </c>
      <c r="BD223" s="2942">
        <f t="shared" si="135"/>
        <v>0</v>
      </c>
      <c r="BE223" s="2942">
        <f t="shared" si="136"/>
        <v>0</v>
      </c>
      <c r="BF223" s="2942">
        <f t="shared" si="137"/>
        <v>0</v>
      </c>
      <c r="BG223" s="2942">
        <f t="shared" si="138"/>
        <v>0</v>
      </c>
      <c r="BH223" s="2942">
        <f t="shared" si="139"/>
        <v>0</v>
      </c>
      <c r="BI223" s="2942">
        <f t="shared" si="140"/>
        <v>0</v>
      </c>
      <c r="BJ223" s="2942">
        <f t="shared" si="141"/>
        <v>0</v>
      </c>
      <c r="BK223" s="2942">
        <f t="shared" si="142"/>
        <v>0</v>
      </c>
      <c r="BL223" s="2942">
        <f t="shared" si="143"/>
        <v>0</v>
      </c>
      <c r="BM223" s="2942">
        <f t="shared" si="144"/>
        <v>0</v>
      </c>
      <c r="BN223" s="2942">
        <f t="shared" si="145"/>
        <v>0</v>
      </c>
      <c r="BO223" s="2942">
        <f t="shared" si="146"/>
        <v>0</v>
      </c>
      <c r="BP223" s="2942">
        <f t="shared" si="147"/>
        <v>0</v>
      </c>
      <c r="BQ223" s="2942">
        <f t="shared" si="148"/>
        <v>0</v>
      </c>
      <c r="BR223" s="2942">
        <f t="shared" si="149"/>
        <v>0</v>
      </c>
      <c r="BS223" s="2942">
        <f t="shared" si="150"/>
        <v>0</v>
      </c>
      <c r="BT223" s="2994">
        <f t="shared" si="151"/>
        <v>0</v>
      </c>
    </row>
    <row r="224" spans="1:72">
      <c r="A224" s="2939"/>
      <c r="B224" s="2940"/>
      <c r="C224" s="2940"/>
      <c r="D224" s="2941"/>
      <c r="E224" s="2942">
        <f t="shared" si="123"/>
        <v>0</v>
      </c>
      <c r="F224" s="2943"/>
      <c r="G224" s="2944">
        <f t="shared" si="124"/>
        <v>0</v>
      </c>
      <c r="H224" s="2945">
        <f t="shared" si="125"/>
        <v>0</v>
      </c>
      <c r="I224" s="2952"/>
      <c r="J224" s="2952"/>
      <c r="K224" s="2952"/>
      <c r="L224" s="2952"/>
      <c r="M224" s="2952"/>
      <c r="N224" s="2952"/>
      <c r="O224" s="2952"/>
      <c r="P224" s="2952"/>
      <c r="Q224" s="2952"/>
      <c r="R224" s="2952"/>
      <c r="S224" s="2952"/>
      <c r="T224" s="2952"/>
      <c r="U224" s="2952"/>
      <c r="V224" s="2952"/>
      <c r="W224" s="2952"/>
      <c r="X224" s="2952"/>
      <c r="Y224" s="2952"/>
      <c r="Z224" s="2952"/>
      <c r="AA224" s="2952"/>
      <c r="AB224" s="2952"/>
      <c r="AC224" s="2942">
        <f t="shared" si="126"/>
        <v>0</v>
      </c>
      <c r="AD224" s="2962"/>
      <c r="AE224" s="2962"/>
      <c r="AF224" s="2962"/>
      <c r="AG224" s="2962"/>
      <c r="AH224" s="2962"/>
      <c r="AI224" s="2962"/>
      <c r="AJ224" s="2962"/>
      <c r="AK224" s="2962"/>
      <c r="AL224" s="2962"/>
      <c r="AM224" s="2962"/>
      <c r="AN224" s="2962"/>
      <c r="AO224" s="2962"/>
      <c r="AP224" s="2962"/>
      <c r="AQ224" s="2962"/>
      <c r="AR224" s="2962"/>
      <c r="AS224" s="2962"/>
      <c r="AT224" s="2972"/>
      <c r="AU224" s="2973"/>
      <c r="AV224" s="1120">
        <f t="shared" si="127"/>
        <v>0</v>
      </c>
      <c r="AW224" s="1120">
        <f t="shared" si="128"/>
        <v>0</v>
      </c>
      <c r="AX224" s="1120">
        <f t="shared" si="129"/>
        <v>0</v>
      </c>
      <c r="AY224" s="2987">
        <f t="shared" si="130"/>
        <v>0</v>
      </c>
      <c r="AZ224" s="2942">
        <f t="shared" si="131"/>
        <v>0</v>
      </c>
      <c r="BA224" s="2942">
        <f t="shared" si="132"/>
        <v>0</v>
      </c>
      <c r="BB224" s="2942">
        <f t="shared" si="133"/>
        <v>0</v>
      </c>
      <c r="BC224" s="2942">
        <f t="shared" si="134"/>
        <v>0</v>
      </c>
      <c r="BD224" s="2942">
        <f t="shared" si="135"/>
        <v>0</v>
      </c>
      <c r="BE224" s="2942">
        <f t="shared" si="136"/>
        <v>0</v>
      </c>
      <c r="BF224" s="2942">
        <f t="shared" si="137"/>
        <v>0</v>
      </c>
      <c r="BG224" s="2942">
        <f t="shared" si="138"/>
        <v>0</v>
      </c>
      <c r="BH224" s="2942">
        <f t="shared" si="139"/>
        <v>0</v>
      </c>
      <c r="BI224" s="2942">
        <f t="shared" si="140"/>
        <v>0</v>
      </c>
      <c r="BJ224" s="2942">
        <f t="shared" si="141"/>
        <v>0</v>
      </c>
      <c r="BK224" s="2942">
        <f t="shared" si="142"/>
        <v>0</v>
      </c>
      <c r="BL224" s="2942">
        <f t="shared" si="143"/>
        <v>0</v>
      </c>
      <c r="BM224" s="2942">
        <f t="shared" si="144"/>
        <v>0</v>
      </c>
      <c r="BN224" s="2942">
        <f t="shared" si="145"/>
        <v>0</v>
      </c>
      <c r="BO224" s="2942">
        <f t="shared" si="146"/>
        <v>0</v>
      </c>
      <c r="BP224" s="2942">
        <f t="shared" si="147"/>
        <v>0</v>
      </c>
      <c r="BQ224" s="2942">
        <f t="shared" si="148"/>
        <v>0</v>
      </c>
      <c r="BR224" s="2942">
        <f t="shared" si="149"/>
        <v>0</v>
      </c>
      <c r="BS224" s="2942">
        <f t="shared" si="150"/>
        <v>0</v>
      </c>
      <c r="BT224" s="2994">
        <f t="shared" si="151"/>
        <v>0</v>
      </c>
    </row>
    <row r="225" spans="1:72">
      <c r="A225" s="2939"/>
      <c r="B225" s="2940"/>
      <c r="C225" s="2940"/>
      <c r="D225" s="2941"/>
      <c r="E225" s="2942">
        <f t="shared" si="123"/>
        <v>0</v>
      </c>
      <c r="F225" s="2943"/>
      <c r="G225" s="2944">
        <f t="shared" si="124"/>
        <v>0</v>
      </c>
      <c r="H225" s="2945">
        <f t="shared" si="125"/>
        <v>0</v>
      </c>
      <c r="I225" s="2952"/>
      <c r="J225" s="2952"/>
      <c r="K225" s="2952"/>
      <c r="L225" s="2952"/>
      <c r="M225" s="2952"/>
      <c r="N225" s="2952"/>
      <c r="O225" s="2952"/>
      <c r="P225" s="2952"/>
      <c r="Q225" s="2952"/>
      <c r="R225" s="2952"/>
      <c r="S225" s="2952"/>
      <c r="T225" s="2952"/>
      <c r="U225" s="2952"/>
      <c r="V225" s="2952"/>
      <c r="W225" s="2952"/>
      <c r="X225" s="2952"/>
      <c r="Y225" s="2952"/>
      <c r="Z225" s="2952"/>
      <c r="AA225" s="2952"/>
      <c r="AB225" s="2952"/>
      <c r="AC225" s="2942">
        <f t="shared" si="126"/>
        <v>0</v>
      </c>
      <c r="AD225" s="2962"/>
      <c r="AE225" s="2962"/>
      <c r="AF225" s="2962"/>
      <c r="AG225" s="2962"/>
      <c r="AH225" s="2962"/>
      <c r="AI225" s="2962"/>
      <c r="AJ225" s="2962"/>
      <c r="AK225" s="2962"/>
      <c r="AL225" s="2962"/>
      <c r="AM225" s="2962"/>
      <c r="AN225" s="2962"/>
      <c r="AO225" s="2962"/>
      <c r="AP225" s="2962"/>
      <c r="AQ225" s="2962"/>
      <c r="AR225" s="2962"/>
      <c r="AS225" s="2962"/>
      <c r="AT225" s="2972"/>
      <c r="AU225" s="2973"/>
      <c r="AV225" s="1120">
        <f t="shared" si="127"/>
        <v>0</v>
      </c>
      <c r="AW225" s="1120">
        <f t="shared" si="128"/>
        <v>0</v>
      </c>
      <c r="AX225" s="1120">
        <f t="shared" si="129"/>
        <v>0</v>
      </c>
      <c r="AY225" s="2987">
        <f t="shared" si="130"/>
        <v>0</v>
      </c>
      <c r="AZ225" s="2942">
        <f t="shared" si="131"/>
        <v>0</v>
      </c>
      <c r="BA225" s="2942">
        <f t="shared" si="132"/>
        <v>0</v>
      </c>
      <c r="BB225" s="2942">
        <f t="shared" si="133"/>
        <v>0</v>
      </c>
      <c r="BC225" s="2942">
        <f t="shared" si="134"/>
        <v>0</v>
      </c>
      <c r="BD225" s="2942">
        <f t="shared" si="135"/>
        <v>0</v>
      </c>
      <c r="BE225" s="2942">
        <f t="shared" si="136"/>
        <v>0</v>
      </c>
      <c r="BF225" s="2942">
        <f t="shared" si="137"/>
        <v>0</v>
      </c>
      <c r="BG225" s="2942">
        <f t="shared" si="138"/>
        <v>0</v>
      </c>
      <c r="BH225" s="2942">
        <f t="shared" si="139"/>
        <v>0</v>
      </c>
      <c r="BI225" s="2942">
        <f t="shared" si="140"/>
        <v>0</v>
      </c>
      <c r="BJ225" s="2942">
        <f t="shared" si="141"/>
        <v>0</v>
      </c>
      <c r="BK225" s="2942">
        <f t="shared" si="142"/>
        <v>0</v>
      </c>
      <c r="BL225" s="2942">
        <f t="shared" si="143"/>
        <v>0</v>
      </c>
      <c r="BM225" s="2942">
        <f t="shared" si="144"/>
        <v>0</v>
      </c>
      <c r="BN225" s="2942">
        <f t="shared" si="145"/>
        <v>0</v>
      </c>
      <c r="BO225" s="2942">
        <f t="shared" si="146"/>
        <v>0</v>
      </c>
      <c r="BP225" s="2942">
        <f t="shared" si="147"/>
        <v>0</v>
      </c>
      <c r="BQ225" s="2942">
        <f t="shared" si="148"/>
        <v>0</v>
      </c>
      <c r="BR225" s="2942">
        <f t="shared" si="149"/>
        <v>0</v>
      </c>
      <c r="BS225" s="2942">
        <f t="shared" si="150"/>
        <v>0</v>
      </c>
      <c r="BT225" s="2994">
        <f t="shared" si="151"/>
        <v>0</v>
      </c>
    </row>
    <row r="226" spans="1:72">
      <c r="A226" s="2939"/>
      <c r="B226" s="2940"/>
      <c r="C226" s="2940"/>
      <c r="D226" s="2941"/>
      <c r="E226" s="2942">
        <f t="shared" si="123"/>
        <v>0</v>
      </c>
      <c r="F226" s="2943"/>
      <c r="G226" s="2944">
        <f t="shared" si="124"/>
        <v>0</v>
      </c>
      <c r="H226" s="2945">
        <f t="shared" si="125"/>
        <v>0</v>
      </c>
      <c r="I226" s="2952"/>
      <c r="J226" s="2952"/>
      <c r="K226" s="2952"/>
      <c r="L226" s="2952"/>
      <c r="M226" s="2952"/>
      <c r="N226" s="2952"/>
      <c r="O226" s="2952"/>
      <c r="P226" s="2952"/>
      <c r="Q226" s="2952"/>
      <c r="R226" s="2952"/>
      <c r="S226" s="2952"/>
      <c r="T226" s="2952"/>
      <c r="U226" s="2952"/>
      <c r="V226" s="2952"/>
      <c r="W226" s="2952"/>
      <c r="X226" s="2952"/>
      <c r="Y226" s="2952"/>
      <c r="Z226" s="2952"/>
      <c r="AA226" s="2952"/>
      <c r="AB226" s="2952"/>
      <c r="AC226" s="2942">
        <f t="shared" si="126"/>
        <v>0</v>
      </c>
      <c r="AD226" s="2962"/>
      <c r="AE226" s="2962"/>
      <c r="AF226" s="2962"/>
      <c r="AG226" s="2962"/>
      <c r="AH226" s="2962"/>
      <c r="AI226" s="2962"/>
      <c r="AJ226" s="2962"/>
      <c r="AK226" s="2962"/>
      <c r="AL226" s="2962"/>
      <c r="AM226" s="2962"/>
      <c r="AN226" s="2962"/>
      <c r="AO226" s="2962"/>
      <c r="AP226" s="2962"/>
      <c r="AQ226" s="2962"/>
      <c r="AR226" s="2962"/>
      <c r="AS226" s="2962"/>
      <c r="AT226" s="2972"/>
      <c r="AU226" s="2973"/>
      <c r="AV226" s="1120">
        <f t="shared" si="127"/>
        <v>0</v>
      </c>
      <c r="AW226" s="1120">
        <f t="shared" si="128"/>
        <v>0</v>
      </c>
      <c r="AX226" s="1120">
        <f t="shared" si="129"/>
        <v>0</v>
      </c>
      <c r="AY226" s="2987">
        <f t="shared" si="130"/>
        <v>0</v>
      </c>
      <c r="AZ226" s="2942">
        <f t="shared" si="131"/>
        <v>0</v>
      </c>
      <c r="BA226" s="2942">
        <f t="shared" si="132"/>
        <v>0</v>
      </c>
      <c r="BB226" s="2942">
        <f t="shared" si="133"/>
        <v>0</v>
      </c>
      <c r="BC226" s="2942">
        <f t="shared" si="134"/>
        <v>0</v>
      </c>
      <c r="BD226" s="2942">
        <f t="shared" si="135"/>
        <v>0</v>
      </c>
      <c r="BE226" s="2942">
        <f t="shared" si="136"/>
        <v>0</v>
      </c>
      <c r="BF226" s="2942">
        <f t="shared" si="137"/>
        <v>0</v>
      </c>
      <c r="BG226" s="2942">
        <f t="shared" si="138"/>
        <v>0</v>
      </c>
      <c r="BH226" s="2942">
        <f t="shared" si="139"/>
        <v>0</v>
      </c>
      <c r="BI226" s="2942">
        <f t="shared" si="140"/>
        <v>0</v>
      </c>
      <c r="BJ226" s="2942">
        <f t="shared" si="141"/>
        <v>0</v>
      </c>
      <c r="BK226" s="2942">
        <f t="shared" si="142"/>
        <v>0</v>
      </c>
      <c r="BL226" s="2942">
        <f t="shared" si="143"/>
        <v>0</v>
      </c>
      <c r="BM226" s="2942">
        <f t="shared" si="144"/>
        <v>0</v>
      </c>
      <c r="BN226" s="2942">
        <f t="shared" si="145"/>
        <v>0</v>
      </c>
      <c r="BO226" s="2942">
        <f t="shared" si="146"/>
        <v>0</v>
      </c>
      <c r="BP226" s="2942">
        <f t="shared" si="147"/>
        <v>0</v>
      </c>
      <c r="BQ226" s="2942">
        <f t="shared" si="148"/>
        <v>0</v>
      </c>
      <c r="BR226" s="2942">
        <f t="shared" si="149"/>
        <v>0</v>
      </c>
      <c r="BS226" s="2942">
        <f t="shared" si="150"/>
        <v>0</v>
      </c>
      <c r="BT226" s="2994">
        <f t="shared" si="151"/>
        <v>0</v>
      </c>
    </row>
    <row r="227" spans="1:72">
      <c r="A227" s="2939"/>
      <c r="B227" s="2940"/>
      <c r="C227" s="2940"/>
      <c r="D227" s="2941"/>
      <c r="E227" s="2942">
        <f t="shared" si="123"/>
        <v>0</v>
      </c>
      <c r="F227" s="2943"/>
      <c r="G227" s="2944">
        <f t="shared" si="124"/>
        <v>0</v>
      </c>
      <c r="H227" s="2945">
        <f t="shared" si="125"/>
        <v>0</v>
      </c>
      <c r="I227" s="2952"/>
      <c r="J227" s="2952"/>
      <c r="K227" s="2952"/>
      <c r="L227" s="2952"/>
      <c r="M227" s="2952"/>
      <c r="N227" s="2952"/>
      <c r="O227" s="2952"/>
      <c r="P227" s="2952"/>
      <c r="Q227" s="2952"/>
      <c r="R227" s="2952"/>
      <c r="S227" s="2952"/>
      <c r="T227" s="2952"/>
      <c r="U227" s="2952"/>
      <c r="V227" s="2952"/>
      <c r="W227" s="2952"/>
      <c r="X227" s="2952"/>
      <c r="Y227" s="2952"/>
      <c r="Z227" s="2952"/>
      <c r="AA227" s="2952"/>
      <c r="AB227" s="2952"/>
      <c r="AC227" s="2942">
        <f t="shared" si="126"/>
        <v>0</v>
      </c>
      <c r="AD227" s="2962"/>
      <c r="AE227" s="2962"/>
      <c r="AF227" s="2962"/>
      <c r="AG227" s="2962"/>
      <c r="AH227" s="2962"/>
      <c r="AI227" s="2962"/>
      <c r="AJ227" s="2962"/>
      <c r="AK227" s="2962"/>
      <c r="AL227" s="2962"/>
      <c r="AM227" s="2962"/>
      <c r="AN227" s="2962"/>
      <c r="AO227" s="2962"/>
      <c r="AP227" s="2962"/>
      <c r="AQ227" s="2962"/>
      <c r="AR227" s="2962"/>
      <c r="AS227" s="2962"/>
      <c r="AT227" s="2972"/>
      <c r="AU227" s="2973"/>
      <c r="AV227" s="1120">
        <f t="shared" si="127"/>
        <v>0</v>
      </c>
      <c r="AW227" s="1120">
        <f t="shared" si="128"/>
        <v>0</v>
      </c>
      <c r="AX227" s="1120">
        <f t="shared" si="129"/>
        <v>0</v>
      </c>
      <c r="AY227" s="2987">
        <f t="shared" si="130"/>
        <v>0</v>
      </c>
      <c r="AZ227" s="2942">
        <f t="shared" si="131"/>
        <v>0</v>
      </c>
      <c r="BA227" s="2942">
        <f t="shared" si="132"/>
        <v>0</v>
      </c>
      <c r="BB227" s="2942">
        <f t="shared" si="133"/>
        <v>0</v>
      </c>
      <c r="BC227" s="2942">
        <f t="shared" si="134"/>
        <v>0</v>
      </c>
      <c r="BD227" s="2942">
        <f t="shared" si="135"/>
        <v>0</v>
      </c>
      <c r="BE227" s="2942">
        <f t="shared" si="136"/>
        <v>0</v>
      </c>
      <c r="BF227" s="2942">
        <f t="shared" si="137"/>
        <v>0</v>
      </c>
      <c r="BG227" s="2942">
        <f t="shared" si="138"/>
        <v>0</v>
      </c>
      <c r="BH227" s="2942">
        <f t="shared" si="139"/>
        <v>0</v>
      </c>
      <c r="BI227" s="2942">
        <f t="shared" si="140"/>
        <v>0</v>
      </c>
      <c r="BJ227" s="2942">
        <f t="shared" si="141"/>
        <v>0</v>
      </c>
      <c r="BK227" s="2942">
        <f t="shared" si="142"/>
        <v>0</v>
      </c>
      <c r="BL227" s="2942">
        <f t="shared" si="143"/>
        <v>0</v>
      </c>
      <c r="BM227" s="2942">
        <f t="shared" si="144"/>
        <v>0</v>
      </c>
      <c r="BN227" s="2942">
        <f t="shared" si="145"/>
        <v>0</v>
      </c>
      <c r="BO227" s="2942">
        <f t="shared" si="146"/>
        <v>0</v>
      </c>
      <c r="BP227" s="2942">
        <f t="shared" si="147"/>
        <v>0</v>
      </c>
      <c r="BQ227" s="2942">
        <f t="shared" si="148"/>
        <v>0</v>
      </c>
      <c r="BR227" s="2942">
        <f t="shared" si="149"/>
        <v>0</v>
      </c>
      <c r="BS227" s="2942">
        <f t="shared" si="150"/>
        <v>0</v>
      </c>
      <c r="BT227" s="2994">
        <f t="shared" si="151"/>
        <v>0</v>
      </c>
    </row>
    <row r="228" spans="1:72">
      <c r="A228" s="2939"/>
      <c r="B228" s="2940"/>
      <c r="C228" s="2940"/>
      <c r="D228" s="2941"/>
      <c r="E228" s="2942">
        <f t="shared" si="123"/>
        <v>0</v>
      </c>
      <c r="F228" s="2943"/>
      <c r="G228" s="2944">
        <f t="shared" si="124"/>
        <v>0</v>
      </c>
      <c r="H228" s="2945">
        <f t="shared" si="125"/>
        <v>0</v>
      </c>
      <c r="I228" s="2952"/>
      <c r="J228" s="2952"/>
      <c r="K228" s="2952"/>
      <c r="L228" s="2952"/>
      <c r="M228" s="2952"/>
      <c r="N228" s="2952"/>
      <c r="O228" s="2952"/>
      <c r="P228" s="2952"/>
      <c r="Q228" s="2952"/>
      <c r="R228" s="2952"/>
      <c r="S228" s="2952"/>
      <c r="T228" s="2952"/>
      <c r="U228" s="2952"/>
      <c r="V228" s="2952"/>
      <c r="W228" s="2952"/>
      <c r="X228" s="2952"/>
      <c r="Y228" s="2952"/>
      <c r="Z228" s="2952"/>
      <c r="AA228" s="2952"/>
      <c r="AB228" s="2952"/>
      <c r="AC228" s="2942">
        <f t="shared" si="126"/>
        <v>0</v>
      </c>
      <c r="AD228" s="2962"/>
      <c r="AE228" s="2962"/>
      <c r="AF228" s="2962"/>
      <c r="AG228" s="2962"/>
      <c r="AH228" s="2962"/>
      <c r="AI228" s="2962"/>
      <c r="AJ228" s="2962"/>
      <c r="AK228" s="2962"/>
      <c r="AL228" s="2962"/>
      <c r="AM228" s="2962"/>
      <c r="AN228" s="2962"/>
      <c r="AO228" s="2962"/>
      <c r="AP228" s="2962"/>
      <c r="AQ228" s="2962"/>
      <c r="AR228" s="2962"/>
      <c r="AS228" s="2962"/>
      <c r="AT228" s="2972"/>
      <c r="AU228" s="2973"/>
      <c r="AV228" s="1120">
        <f t="shared" si="127"/>
        <v>0</v>
      </c>
      <c r="AW228" s="1120">
        <f t="shared" si="128"/>
        <v>0</v>
      </c>
      <c r="AX228" s="1120">
        <f t="shared" si="129"/>
        <v>0</v>
      </c>
      <c r="AY228" s="2987">
        <f t="shared" si="130"/>
        <v>0</v>
      </c>
      <c r="AZ228" s="2942">
        <f t="shared" si="131"/>
        <v>0</v>
      </c>
      <c r="BA228" s="2942">
        <f t="shared" si="132"/>
        <v>0</v>
      </c>
      <c r="BB228" s="2942">
        <f t="shared" si="133"/>
        <v>0</v>
      </c>
      <c r="BC228" s="2942">
        <f t="shared" si="134"/>
        <v>0</v>
      </c>
      <c r="BD228" s="2942">
        <f t="shared" si="135"/>
        <v>0</v>
      </c>
      <c r="BE228" s="2942">
        <f t="shared" si="136"/>
        <v>0</v>
      </c>
      <c r="BF228" s="2942">
        <f t="shared" si="137"/>
        <v>0</v>
      </c>
      <c r="BG228" s="2942">
        <f t="shared" si="138"/>
        <v>0</v>
      </c>
      <c r="BH228" s="2942">
        <f t="shared" si="139"/>
        <v>0</v>
      </c>
      <c r="BI228" s="2942">
        <f t="shared" si="140"/>
        <v>0</v>
      </c>
      <c r="BJ228" s="2942">
        <f t="shared" si="141"/>
        <v>0</v>
      </c>
      <c r="BK228" s="2942">
        <f t="shared" si="142"/>
        <v>0</v>
      </c>
      <c r="BL228" s="2942">
        <f t="shared" si="143"/>
        <v>0</v>
      </c>
      <c r="BM228" s="2942">
        <f t="shared" si="144"/>
        <v>0</v>
      </c>
      <c r="BN228" s="2942">
        <f t="shared" si="145"/>
        <v>0</v>
      </c>
      <c r="BO228" s="2942">
        <f t="shared" si="146"/>
        <v>0</v>
      </c>
      <c r="BP228" s="2942">
        <f t="shared" si="147"/>
        <v>0</v>
      </c>
      <c r="BQ228" s="2942">
        <f t="shared" si="148"/>
        <v>0</v>
      </c>
      <c r="BR228" s="2942">
        <f t="shared" si="149"/>
        <v>0</v>
      </c>
      <c r="BS228" s="2942">
        <f t="shared" si="150"/>
        <v>0</v>
      </c>
      <c r="BT228" s="2994">
        <f t="shared" si="151"/>
        <v>0</v>
      </c>
    </row>
    <row r="229" spans="1:72">
      <c r="A229" s="2939"/>
      <c r="B229" s="2940"/>
      <c r="C229" s="2940"/>
      <c r="D229" s="2941"/>
      <c r="E229" s="2942">
        <f t="shared" si="123"/>
        <v>0</v>
      </c>
      <c r="F229" s="2943"/>
      <c r="G229" s="2944">
        <f t="shared" si="124"/>
        <v>0</v>
      </c>
      <c r="H229" s="2945">
        <f t="shared" si="125"/>
        <v>0</v>
      </c>
      <c r="I229" s="2952"/>
      <c r="J229" s="2952"/>
      <c r="K229" s="2952"/>
      <c r="L229" s="2952"/>
      <c r="M229" s="2952"/>
      <c r="N229" s="2952"/>
      <c r="O229" s="2952"/>
      <c r="P229" s="2952"/>
      <c r="Q229" s="2952"/>
      <c r="R229" s="2952"/>
      <c r="S229" s="2952"/>
      <c r="T229" s="2952"/>
      <c r="U229" s="2952"/>
      <c r="V229" s="2952"/>
      <c r="W229" s="2952"/>
      <c r="X229" s="2952"/>
      <c r="Y229" s="2952"/>
      <c r="Z229" s="2952"/>
      <c r="AA229" s="2952"/>
      <c r="AB229" s="2952"/>
      <c r="AC229" s="2942">
        <f t="shared" si="126"/>
        <v>0</v>
      </c>
      <c r="AD229" s="2962"/>
      <c r="AE229" s="2962"/>
      <c r="AF229" s="2962"/>
      <c r="AG229" s="2962"/>
      <c r="AH229" s="2962"/>
      <c r="AI229" s="2962"/>
      <c r="AJ229" s="2962"/>
      <c r="AK229" s="2962"/>
      <c r="AL229" s="2962"/>
      <c r="AM229" s="2962"/>
      <c r="AN229" s="2962"/>
      <c r="AO229" s="2962"/>
      <c r="AP229" s="2962"/>
      <c r="AQ229" s="2962"/>
      <c r="AR229" s="2962"/>
      <c r="AS229" s="2962"/>
      <c r="AT229" s="2972"/>
      <c r="AU229" s="2973"/>
      <c r="AV229" s="1120">
        <f t="shared" si="127"/>
        <v>0</v>
      </c>
      <c r="AW229" s="1120">
        <f t="shared" si="128"/>
        <v>0</v>
      </c>
      <c r="AX229" s="1120">
        <f t="shared" si="129"/>
        <v>0</v>
      </c>
      <c r="AY229" s="2987">
        <f t="shared" si="130"/>
        <v>0</v>
      </c>
      <c r="AZ229" s="2942">
        <f t="shared" si="131"/>
        <v>0</v>
      </c>
      <c r="BA229" s="2942">
        <f t="shared" si="132"/>
        <v>0</v>
      </c>
      <c r="BB229" s="2942">
        <f t="shared" si="133"/>
        <v>0</v>
      </c>
      <c r="BC229" s="2942">
        <f t="shared" si="134"/>
        <v>0</v>
      </c>
      <c r="BD229" s="2942">
        <f t="shared" si="135"/>
        <v>0</v>
      </c>
      <c r="BE229" s="2942">
        <f t="shared" si="136"/>
        <v>0</v>
      </c>
      <c r="BF229" s="2942">
        <f t="shared" si="137"/>
        <v>0</v>
      </c>
      <c r="BG229" s="2942">
        <f t="shared" si="138"/>
        <v>0</v>
      </c>
      <c r="BH229" s="2942">
        <f t="shared" si="139"/>
        <v>0</v>
      </c>
      <c r="BI229" s="2942">
        <f t="shared" si="140"/>
        <v>0</v>
      </c>
      <c r="BJ229" s="2942">
        <f t="shared" si="141"/>
        <v>0</v>
      </c>
      <c r="BK229" s="2942">
        <f t="shared" si="142"/>
        <v>0</v>
      </c>
      <c r="BL229" s="2942">
        <f t="shared" si="143"/>
        <v>0</v>
      </c>
      <c r="BM229" s="2942">
        <f t="shared" si="144"/>
        <v>0</v>
      </c>
      <c r="BN229" s="2942">
        <f t="shared" si="145"/>
        <v>0</v>
      </c>
      <c r="BO229" s="2942">
        <f t="shared" si="146"/>
        <v>0</v>
      </c>
      <c r="BP229" s="2942">
        <f t="shared" si="147"/>
        <v>0</v>
      </c>
      <c r="BQ229" s="2942">
        <f t="shared" si="148"/>
        <v>0</v>
      </c>
      <c r="BR229" s="2942">
        <f t="shared" si="149"/>
        <v>0</v>
      </c>
      <c r="BS229" s="2942">
        <f t="shared" si="150"/>
        <v>0</v>
      </c>
      <c r="BT229" s="2994">
        <f t="shared" si="151"/>
        <v>0</v>
      </c>
    </row>
    <row r="230" spans="1:72">
      <c r="A230" s="2939"/>
      <c r="B230" s="2940"/>
      <c r="C230" s="2940"/>
      <c r="D230" s="2941"/>
      <c r="E230" s="2942">
        <f t="shared" si="123"/>
        <v>0</v>
      </c>
      <c r="F230" s="2943"/>
      <c r="G230" s="2944">
        <f t="shared" si="124"/>
        <v>0</v>
      </c>
      <c r="H230" s="2945">
        <f t="shared" si="125"/>
        <v>0</v>
      </c>
      <c r="I230" s="2952"/>
      <c r="J230" s="2952"/>
      <c r="K230" s="2952"/>
      <c r="L230" s="2952"/>
      <c r="M230" s="2952"/>
      <c r="N230" s="2952"/>
      <c r="O230" s="2952"/>
      <c r="P230" s="2952"/>
      <c r="Q230" s="2952"/>
      <c r="R230" s="2952"/>
      <c r="S230" s="2952"/>
      <c r="T230" s="2952"/>
      <c r="U230" s="2952"/>
      <c r="V230" s="2952"/>
      <c r="W230" s="2952"/>
      <c r="X230" s="2952"/>
      <c r="Y230" s="2952"/>
      <c r="Z230" s="2952"/>
      <c r="AA230" s="2952"/>
      <c r="AB230" s="2952"/>
      <c r="AC230" s="2942">
        <f t="shared" si="126"/>
        <v>0</v>
      </c>
      <c r="AD230" s="2962"/>
      <c r="AE230" s="2962"/>
      <c r="AF230" s="2962"/>
      <c r="AG230" s="2962"/>
      <c r="AH230" s="2962"/>
      <c r="AI230" s="2962"/>
      <c r="AJ230" s="2962"/>
      <c r="AK230" s="2962"/>
      <c r="AL230" s="2962"/>
      <c r="AM230" s="2962"/>
      <c r="AN230" s="2962"/>
      <c r="AO230" s="2962"/>
      <c r="AP230" s="2962"/>
      <c r="AQ230" s="2962"/>
      <c r="AR230" s="2962"/>
      <c r="AS230" s="2962"/>
      <c r="AT230" s="2972"/>
      <c r="AU230" s="2973"/>
      <c r="AV230" s="1120">
        <f t="shared" si="127"/>
        <v>0</v>
      </c>
      <c r="AW230" s="1120">
        <f t="shared" si="128"/>
        <v>0</v>
      </c>
      <c r="AX230" s="1120">
        <f t="shared" si="129"/>
        <v>0</v>
      </c>
      <c r="AY230" s="2987">
        <f t="shared" si="130"/>
        <v>0</v>
      </c>
      <c r="AZ230" s="2942">
        <f t="shared" si="131"/>
        <v>0</v>
      </c>
      <c r="BA230" s="2942">
        <f t="shared" si="132"/>
        <v>0</v>
      </c>
      <c r="BB230" s="2942">
        <f t="shared" si="133"/>
        <v>0</v>
      </c>
      <c r="BC230" s="2942">
        <f t="shared" si="134"/>
        <v>0</v>
      </c>
      <c r="BD230" s="2942">
        <f t="shared" si="135"/>
        <v>0</v>
      </c>
      <c r="BE230" s="2942">
        <f t="shared" si="136"/>
        <v>0</v>
      </c>
      <c r="BF230" s="2942">
        <f t="shared" si="137"/>
        <v>0</v>
      </c>
      <c r="BG230" s="2942">
        <f t="shared" si="138"/>
        <v>0</v>
      </c>
      <c r="BH230" s="2942">
        <f t="shared" si="139"/>
        <v>0</v>
      </c>
      <c r="BI230" s="2942">
        <f t="shared" si="140"/>
        <v>0</v>
      </c>
      <c r="BJ230" s="2942">
        <f t="shared" si="141"/>
        <v>0</v>
      </c>
      <c r="BK230" s="2942">
        <f t="shared" si="142"/>
        <v>0</v>
      </c>
      <c r="BL230" s="2942">
        <f t="shared" si="143"/>
        <v>0</v>
      </c>
      <c r="BM230" s="2942">
        <f t="shared" si="144"/>
        <v>0</v>
      </c>
      <c r="BN230" s="2942">
        <f t="shared" si="145"/>
        <v>0</v>
      </c>
      <c r="BO230" s="2942">
        <f t="shared" si="146"/>
        <v>0</v>
      </c>
      <c r="BP230" s="2942">
        <f t="shared" si="147"/>
        <v>0</v>
      </c>
      <c r="BQ230" s="2942">
        <f t="shared" si="148"/>
        <v>0</v>
      </c>
      <c r="BR230" s="2942">
        <f t="shared" si="149"/>
        <v>0</v>
      </c>
      <c r="BS230" s="2942">
        <f t="shared" si="150"/>
        <v>0</v>
      </c>
      <c r="BT230" s="2994">
        <f t="shared" si="151"/>
        <v>0</v>
      </c>
    </row>
    <row r="231" spans="1:72">
      <c r="A231" s="2939"/>
      <c r="B231" s="2940"/>
      <c r="C231" s="2940"/>
      <c r="D231" s="2941"/>
      <c r="E231" s="2942">
        <f t="shared" si="123"/>
        <v>0</v>
      </c>
      <c r="F231" s="2943"/>
      <c r="G231" s="2944">
        <f t="shared" si="124"/>
        <v>0</v>
      </c>
      <c r="H231" s="2945">
        <f t="shared" si="125"/>
        <v>0</v>
      </c>
      <c r="I231" s="2952"/>
      <c r="J231" s="2952"/>
      <c r="K231" s="2952"/>
      <c r="L231" s="2952"/>
      <c r="M231" s="2952"/>
      <c r="N231" s="2952"/>
      <c r="O231" s="2952"/>
      <c r="P231" s="2952"/>
      <c r="Q231" s="2952"/>
      <c r="R231" s="2952"/>
      <c r="S231" s="2952"/>
      <c r="T231" s="2952"/>
      <c r="U231" s="2952"/>
      <c r="V231" s="2952"/>
      <c r="W231" s="2952"/>
      <c r="X231" s="2952"/>
      <c r="Y231" s="2952"/>
      <c r="Z231" s="2952"/>
      <c r="AA231" s="2952"/>
      <c r="AB231" s="2952"/>
      <c r="AC231" s="2942">
        <f t="shared" si="126"/>
        <v>0</v>
      </c>
      <c r="AD231" s="2962"/>
      <c r="AE231" s="2962"/>
      <c r="AF231" s="2962"/>
      <c r="AG231" s="2962"/>
      <c r="AH231" s="2962"/>
      <c r="AI231" s="2962"/>
      <c r="AJ231" s="2962"/>
      <c r="AK231" s="2962"/>
      <c r="AL231" s="2962"/>
      <c r="AM231" s="2962"/>
      <c r="AN231" s="2962"/>
      <c r="AO231" s="2962"/>
      <c r="AP231" s="2962"/>
      <c r="AQ231" s="2962"/>
      <c r="AR231" s="2962"/>
      <c r="AS231" s="2962"/>
      <c r="AT231" s="2972"/>
      <c r="AU231" s="2973"/>
      <c r="AV231" s="1120">
        <f t="shared" si="127"/>
        <v>0</v>
      </c>
      <c r="AW231" s="1120">
        <f t="shared" si="128"/>
        <v>0</v>
      </c>
      <c r="AX231" s="1120">
        <f t="shared" si="129"/>
        <v>0</v>
      </c>
      <c r="AY231" s="2987">
        <f t="shared" si="130"/>
        <v>0</v>
      </c>
      <c r="AZ231" s="2942">
        <f t="shared" si="131"/>
        <v>0</v>
      </c>
      <c r="BA231" s="2942">
        <f t="shared" si="132"/>
        <v>0</v>
      </c>
      <c r="BB231" s="2942">
        <f t="shared" si="133"/>
        <v>0</v>
      </c>
      <c r="BC231" s="2942">
        <f t="shared" si="134"/>
        <v>0</v>
      </c>
      <c r="BD231" s="2942">
        <f t="shared" si="135"/>
        <v>0</v>
      </c>
      <c r="BE231" s="2942">
        <f t="shared" si="136"/>
        <v>0</v>
      </c>
      <c r="BF231" s="2942">
        <f t="shared" si="137"/>
        <v>0</v>
      </c>
      <c r="BG231" s="2942">
        <f t="shared" si="138"/>
        <v>0</v>
      </c>
      <c r="BH231" s="2942">
        <f t="shared" si="139"/>
        <v>0</v>
      </c>
      <c r="BI231" s="2942">
        <f t="shared" si="140"/>
        <v>0</v>
      </c>
      <c r="BJ231" s="2942">
        <f t="shared" si="141"/>
        <v>0</v>
      </c>
      <c r="BK231" s="2942">
        <f t="shared" si="142"/>
        <v>0</v>
      </c>
      <c r="BL231" s="2942">
        <f t="shared" si="143"/>
        <v>0</v>
      </c>
      <c r="BM231" s="2942">
        <f t="shared" si="144"/>
        <v>0</v>
      </c>
      <c r="BN231" s="2942">
        <f t="shared" si="145"/>
        <v>0</v>
      </c>
      <c r="BO231" s="2942">
        <f t="shared" si="146"/>
        <v>0</v>
      </c>
      <c r="BP231" s="2942">
        <f t="shared" si="147"/>
        <v>0</v>
      </c>
      <c r="BQ231" s="2942">
        <f t="shared" si="148"/>
        <v>0</v>
      </c>
      <c r="BR231" s="2942">
        <f t="shared" si="149"/>
        <v>0</v>
      </c>
      <c r="BS231" s="2942">
        <f t="shared" si="150"/>
        <v>0</v>
      </c>
      <c r="BT231" s="2994">
        <f t="shared" si="151"/>
        <v>0</v>
      </c>
    </row>
    <row r="232" spans="1:72">
      <c r="A232" s="2939"/>
      <c r="B232" s="2940"/>
      <c r="C232" s="2940"/>
      <c r="D232" s="2941"/>
      <c r="E232" s="2942">
        <f t="shared" si="123"/>
        <v>0</v>
      </c>
      <c r="F232" s="2943"/>
      <c r="G232" s="2944">
        <f t="shared" si="124"/>
        <v>0</v>
      </c>
      <c r="H232" s="2945">
        <f t="shared" si="125"/>
        <v>0</v>
      </c>
      <c r="I232" s="2952"/>
      <c r="J232" s="2952"/>
      <c r="K232" s="2952"/>
      <c r="L232" s="2952"/>
      <c r="M232" s="2952"/>
      <c r="N232" s="2952"/>
      <c r="O232" s="2952"/>
      <c r="P232" s="2952"/>
      <c r="Q232" s="2952"/>
      <c r="R232" s="2952"/>
      <c r="S232" s="2952"/>
      <c r="T232" s="2952"/>
      <c r="U232" s="2952"/>
      <c r="V232" s="2952"/>
      <c r="W232" s="2952"/>
      <c r="X232" s="2952"/>
      <c r="Y232" s="2952"/>
      <c r="Z232" s="2952"/>
      <c r="AA232" s="2952"/>
      <c r="AB232" s="2952"/>
      <c r="AC232" s="2942">
        <f t="shared" si="126"/>
        <v>0</v>
      </c>
      <c r="AD232" s="2962"/>
      <c r="AE232" s="2962"/>
      <c r="AF232" s="2962"/>
      <c r="AG232" s="2962"/>
      <c r="AH232" s="2962"/>
      <c r="AI232" s="2962"/>
      <c r="AJ232" s="2962"/>
      <c r="AK232" s="2962"/>
      <c r="AL232" s="2962"/>
      <c r="AM232" s="2962"/>
      <c r="AN232" s="2962"/>
      <c r="AO232" s="2962"/>
      <c r="AP232" s="2962"/>
      <c r="AQ232" s="2962"/>
      <c r="AR232" s="2962"/>
      <c r="AS232" s="2962"/>
      <c r="AT232" s="2972"/>
      <c r="AU232" s="2973"/>
      <c r="AV232" s="1120">
        <f t="shared" si="127"/>
        <v>0</v>
      </c>
      <c r="AW232" s="1120">
        <f t="shared" si="128"/>
        <v>0</v>
      </c>
      <c r="AX232" s="1120">
        <f t="shared" si="129"/>
        <v>0</v>
      </c>
      <c r="AY232" s="2987">
        <f t="shared" si="130"/>
        <v>0</v>
      </c>
      <c r="AZ232" s="2942">
        <f t="shared" si="131"/>
        <v>0</v>
      </c>
      <c r="BA232" s="2942">
        <f t="shared" si="132"/>
        <v>0</v>
      </c>
      <c r="BB232" s="2942">
        <f t="shared" si="133"/>
        <v>0</v>
      </c>
      <c r="BC232" s="2942">
        <f t="shared" si="134"/>
        <v>0</v>
      </c>
      <c r="BD232" s="2942">
        <f t="shared" si="135"/>
        <v>0</v>
      </c>
      <c r="BE232" s="2942">
        <f t="shared" si="136"/>
        <v>0</v>
      </c>
      <c r="BF232" s="2942">
        <f t="shared" si="137"/>
        <v>0</v>
      </c>
      <c r="BG232" s="2942">
        <f t="shared" si="138"/>
        <v>0</v>
      </c>
      <c r="BH232" s="2942">
        <f t="shared" si="139"/>
        <v>0</v>
      </c>
      <c r="BI232" s="2942">
        <f t="shared" si="140"/>
        <v>0</v>
      </c>
      <c r="BJ232" s="2942">
        <f t="shared" si="141"/>
        <v>0</v>
      </c>
      <c r="BK232" s="2942">
        <f t="shared" si="142"/>
        <v>0</v>
      </c>
      <c r="BL232" s="2942">
        <f t="shared" si="143"/>
        <v>0</v>
      </c>
      <c r="BM232" s="2942">
        <f t="shared" si="144"/>
        <v>0</v>
      </c>
      <c r="BN232" s="2942">
        <f t="shared" si="145"/>
        <v>0</v>
      </c>
      <c r="BO232" s="2942">
        <f t="shared" si="146"/>
        <v>0</v>
      </c>
      <c r="BP232" s="2942">
        <f t="shared" si="147"/>
        <v>0</v>
      </c>
      <c r="BQ232" s="2942">
        <f t="shared" si="148"/>
        <v>0</v>
      </c>
      <c r="BR232" s="2942">
        <f t="shared" si="149"/>
        <v>0</v>
      </c>
      <c r="BS232" s="2942">
        <f t="shared" si="150"/>
        <v>0</v>
      </c>
      <c r="BT232" s="2994">
        <f t="shared" si="151"/>
        <v>0</v>
      </c>
    </row>
    <row r="233" spans="1:72">
      <c r="A233" s="2939"/>
      <c r="B233" s="2940"/>
      <c r="C233" s="2940"/>
      <c r="D233" s="2941"/>
      <c r="E233" s="2942">
        <f t="shared" si="123"/>
        <v>0</v>
      </c>
      <c r="F233" s="2943"/>
      <c r="G233" s="2944">
        <f t="shared" si="124"/>
        <v>0</v>
      </c>
      <c r="H233" s="2945">
        <f t="shared" si="125"/>
        <v>0</v>
      </c>
      <c r="I233" s="2952"/>
      <c r="J233" s="2952"/>
      <c r="K233" s="2952"/>
      <c r="L233" s="2952"/>
      <c r="M233" s="2952"/>
      <c r="N233" s="2952"/>
      <c r="O233" s="2952"/>
      <c r="P233" s="2952"/>
      <c r="Q233" s="2952"/>
      <c r="R233" s="2952"/>
      <c r="S233" s="2952"/>
      <c r="T233" s="2952"/>
      <c r="U233" s="2952"/>
      <c r="V233" s="2952"/>
      <c r="W233" s="2952"/>
      <c r="X233" s="2952"/>
      <c r="Y233" s="2952"/>
      <c r="Z233" s="2952"/>
      <c r="AA233" s="2952"/>
      <c r="AB233" s="2952"/>
      <c r="AC233" s="2942">
        <f t="shared" si="126"/>
        <v>0</v>
      </c>
      <c r="AD233" s="2962"/>
      <c r="AE233" s="2962"/>
      <c r="AF233" s="2962"/>
      <c r="AG233" s="2962"/>
      <c r="AH233" s="2962"/>
      <c r="AI233" s="2962"/>
      <c r="AJ233" s="2962"/>
      <c r="AK233" s="2962"/>
      <c r="AL233" s="2962"/>
      <c r="AM233" s="2962"/>
      <c r="AN233" s="2962"/>
      <c r="AO233" s="2962"/>
      <c r="AP233" s="2962"/>
      <c r="AQ233" s="2962"/>
      <c r="AR233" s="2962"/>
      <c r="AS233" s="2962"/>
      <c r="AT233" s="2972"/>
      <c r="AU233" s="2973"/>
      <c r="AV233" s="1120">
        <f t="shared" si="127"/>
        <v>0</v>
      </c>
      <c r="AW233" s="1120">
        <f t="shared" si="128"/>
        <v>0</v>
      </c>
      <c r="AX233" s="1120">
        <f t="shared" si="129"/>
        <v>0</v>
      </c>
      <c r="AY233" s="2987">
        <f t="shared" si="130"/>
        <v>0</v>
      </c>
      <c r="AZ233" s="2942">
        <f t="shared" si="131"/>
        <v>0</v>
      </c>
      <c r="BA233" s="2942">
        <f t="shared" si="132"/>
        <v>0</v>
      </c>
      <c r="BB233" s="2942">
        <f t="shared" si="133"/>
        <v>0</v>
      </c>
      <c r="BC233" s="2942">
        <f t="shared" si="134"/>
        <v>0</v>
      </c>
      <c r="BD233" s="2942">
        <f t="shared" si="135"/>
        <v>0</v>
      </c>
      <c r="BE233" s="2942">
        <f t="shared" si="136"/>
        <v>0</v>
      </c>
      <c r="BF233" s="2942">
        <f t="shared" si="137"/>
        <v>0</v>
      </c>
      <c r="BG233" s="2942">
        <f t="shared" si="138"/>
        <v>0</v>
      </c>
      <c r="BH233" s="2942">
        <f t="shared" si="139"/>
        <v>0</v>
      </c>
      <c r="BI233" s="2942">
        <f t="shared" si="140"/>
        <v>0</v>
      </c>
      <c r="BJ233" s="2942">
        <f t="shared" si="141"/>
        <v>0</v>
      </c>
      <c r="BK233" s="2942">
        <f t="shared" si="142"/>
        <v>0</v>
      </c>
      <c r="BL233" s="2942">
        <f t="shared" si="143"/>
        <v>0</v>
      </c>
      <c r="BM233" s="2942">
        <f t="shared" si="144"/>
        <v>0</v>
      </c>
      <c r="BN233" s="2942">
        <f t="shared" si="145"/>
        <v>0</v>
      </c>
      <c r="BO233" s="2942">
        <f t="shared" si="146"/>
        <v>0</v>
      </c>
      <c r="BP233" s="2942">
        <f t="shared" si="147"/>
        <v>0</v>
      </c>
      <c r="BQ233" s="2942">
        <f t="shared" si="148"/>
        <v>0</v>
      </c>
      <c r="BR233" s="2942">
        <f t="shared" si="149"/>
        <v>0</v>
      </c>
      <c r="BS233" s="2942">
        <f t="shared" si="150"/>
        <v>0</v>
      </c>
      <c r="BT233" s="2994">
        <f t="shared" si="151"/>
        <v>0</v>
      </c>
    </row>
    <row r="234" spans="1:72">
      <c r="A234" s="2939"/>
      <c r="B234" s="2940"/>
      <c r="C234" s="2940"/>
      <c r="D234" s="2941"/>
      <c r="E234" s="2942">
        <f t="shared" si="123"/>
        <v>0</v>
      </c>
      <c r="F234" s="2943"/>
      <c r="G234" s="2944">
        <f t="shared" si="124"/>
        <v>0</v>
      </c>
      <c r="H234" s="2945">
        <f t="shared" si="125"/>
        <v>0</v>
      </c>
      <c r="I234" s="2952"/>
      <c r="J234" s="2952"/>
      <c r="K234" s="2952"/>
      <c r="L234" s="2952"/>
      <c r="M234" s="2952"/>
      <c r="N234" s="2952"/>
      <c r="O234" s="2952"/>
      <c r="P234" s="2952"/>
      <c r="Q234" s="2952"/>
      <c r="R234" s="2952"/>
      <c r="S234" s="2952"/>
      <c r="T234" s="2952"/>
      <c r="U234" s="2952"/>
      <c r="V234" s="2952"/>
      <c r="W234" s="2952"/>
      <c r="X234" s="2952"/>
      <c r="Y234" s="2952"/>
      <c r="Z234" s="2952"/>
      <c r="AA234" s="2952"/>
      <c r="AB234" s="2952"/>
      <c r="AC234" s="2942">
        <f t="shared" si="126"/>
        <v>0</v>
      </c>
      <c r="AD234" s="2962"/>
      <c r="AE234" s="2962"/>
      <c r="AF234" s="2962"/>
      <c r="AG234" s="2962"/>
      <c r="AH234" s="2962"/>
      <c r="AI234" s="2962"/>
      <c r="AJ234" s="2962"/>
      <c r="AK234" s="2962"/>
      <c r="AL234" s="2962"/>
      <c r="AM234" s="2962"/>
      <c r="AN234" s="2962"/>
      <c r="AO234" s="2962"/>
      <c r="AP234" s="2962"/>
      <c r="AQ234" s="2962"/>
      <c r="AR234" s="2962"/>
      <c r="AS234" s="2962"/>
      <c r="AT234" s="2972"/>
      <c r="AU234" s="2973"/>
      <c r="AV234" s="1120">
        <f t="shared" si="127"/>
        <v>0</v>
      </c>
      <c r="AW234" s="1120">
        <f t="shared" si="128"/>
        <v>0</v>
      </c>
      <c r="AX234" s="1120">
        <f t="shared" si="129"/>
        <v>0</v>
      </c>
      <c r="AY234" s="2987">
        <f t="shared" si="130"/>
        <v>0</v>
      </c>
      <c r="AZ234" s="2942">
        <f t="shared" si="131"/>
        <v>0</v>
      </c>
      <c r="BA234" s="2942">
        <f t="shared" si="132"/>
        <v>0</v>
      </c>
      <c r="BB234" s="2942">
        <f t="shared" si="133"/>
        <v>0</v>
      </c>
      <c r="BC234" s="2942">
        <f t="shared" si="134"/>
        <v>0</v>
      </c>
      <c r="BD234" s="2942">
        <f t="shared" si="135"/>
        <v>0</v>
      </c>
      <c r="BE234" s="2942">
        <f t="shared" si="136"/>
        <v>0</v>
      </c>
      <c r="BF234" s="2942">
        <f t="shared" si="137"/>
        <v>0</v>
      </c>
      <c r="BG234" s="2942">
        <f t="shared" si="138"/>
        <v>0</v>
      </c>
      <c r="BH234" s="2942">
        <f t="shared" si="139"/>
        <v>0</v>
      </c>
      <c r="BI234" s="2942">
        <f t="shared" si="140"/>
        <v>0</v>
      </c>
      <c r="BJ234" s="2942">
        <f t="shared" si="141"/>
        <v>0</v>
      </c>
      <c r="BK234" s="2942">
        <f t="shared" si="142"/>
        <v>0</v>
      </c>
      <c r="BL234" s="2942">
        <f t="shared" si="143"/>
        <v>0</v>
      </c>
      <c r="BM234" s="2942">
        <f t="shared" si="144"/>
        <v>0</v>
      </c>
      <c r="BN234" s="2942">
        <f t="shared" si="145"/>
        <v>0</v>
      </c>
      <c r="BO234" s="2942">
        <f t="shared" si="146"/>
        <v>0</v>
      </c>
      <c r="BP234" s="2942">
        <f t="shared" si="147"/>
        <v>0</v>
      </c>
      <c r="BQ234" s="2942">
        <f t="shared" si="148"/>
        <v>0</v>
      </c>
      <c r="BR234" s="2942">
        <f t="shared" si="149"/>
        <v>0</v>
      </c>
      <c r="BS234" s="2942">
        <f t="shared" si="150"/>
        <v>0</v>
      </c>
      <c r="BT234" s="2994">
        <f t="shared" si="151"/>
        <v>0</v>
      </c>
    </row>
    <row r="235" spans="1:72">
      <c r="A235" s="2939"/>
      <c r="B235" s="2940"/>
      <c r="C235" s="2940"/>
      <c r="D235" s="2941"/>
      <c r="E235" s="2942">
        <f t="shared" si="123"/>
        <v>0</v>
      </c>
      <c r="F235" s="2943"/>
      <c r="G235" s="2944">
        <f t="shared" si="124"/>
        <v>0</v>
      </c>
      <c r="H235" s="2945">
        <f t="shared" si="125"/>
        <v>0</v>
      </c>
      <c r="I235" s="2952"/>
      <c r="J235" s="2952"/>
      <c r="K235" s="2952"/>
      <c r="L235" s="2952"/>
      <c r="M235" s="2952"/>
      <c r="N235" s="2952"/>
      <c r="O235" s="2952"/>
      <c r="P235" s="2952"/>
      <c r="Q235" s="2952"/>
      <c r="R235" s="2952"/>
      <c r="S235" s="2952"/>
      <c r="T235" s="2952"/>
      <c r="U235" s="2952"/>
      <c r="V235" s="2952"/>
      <c r="W235" s="2952"/>
      <c r="X235" s="2952"/>
      <c r="Y235" s="2952"/>
      <c r="Z235" s="2952"/>
      <c r="AA235" s="2952"/>
      <c r="AB235" s="2952"/>
      <c r="AC235" s="2942">
        <f t="shared" si="126"/>
        <v>0</v>
      </c>
      <c r="AD235" s="2962"/>
      <c r="AE235" s="2962"/>
      <c r="AF235" s="2962"/>
      <c r="AG235" s="2962"/>
      <c r="AH235" s="2962"/>
      <c r="AI235" s="2962"/>
      <c r="AJ235" s="2962"/>
      <c r="AK235" s="2962"/>
      <c r="AL235" s="2962"/>
      <c r="AM235" s="2962"/>
      <c r="AN235" s="2962"/>
      <c r="AO235" s="2962"/>
      <c r="AP235" s="2962"/>
      <c r="AQ235" s="2962"/>
      <c r="AR235" s="2962"/>
      <c r="AS235" s="2962"/>
      <c r="AT235" s="2972"/>
      <c r="AU235" s="2973"/>
      <c r="AV235" s="1120">
        <f t="shared" si="127"/>
        <v>0</v>
      </c>
      <c r="AW235" s="1120">
        <f t="shared" si="128"/>
        <v>0</v>
      </c>
      <c r="AX235" s="1120">
        <f t="shared" si="129"/>
        <v>0</v>
      </c>
      <c r="AY235" s="2987">
        <f t="shared" si="130"/>
        <v>0</v>
      </c>
      <c r="AZ235" s="2942">
        <f t="shared" si="131"/>
        <v>0</v>
      </c>
      <c r="BA235" s="2942">
        <f t="shared" si="132"/>
        <v>0</v>
      </c>
      <c r="BB235" s="2942">
        <f t="shared" si="133"/>
        <v>0</v>
      </c>
      <c r="BC235" s="2942">
        <f t="shared" si="134"/>
        <v>0</v>
      </c>
      <c r="BD235" s="2942">
        <f t="shared" si="135"/>
        <v>0</v>
      </c>
      <c r="BE235" s="2942">
        <f t="shared" si="136"/>
        <v>0</v>
      </c>
      <c r="BF235" s="2942">
        <f t="shared" si="137"/>
        <v>0</v>
      </c>
      <c r="BG235" s="2942">
        <f t="shared" si="138"/>
        <v>0</v>
      </c>
      <c r="BH235" s="2942">
        <f t="shared" si="139"/>
        <v>0</v>
      </c>
      <c r="BI235" s="2942">
        <f t="shared" si="140"/>
        <v>0</v>
      </c>
      <c r="BJ235" s="2942">
        <f t="shared" si="141"/>
        <v>0</v>
      </c>
      <c r="BK235" s="2942">
        <f t="shared" si="142"/>
        <v>0</v>
      </c>
      <c r="BL235" s="2942">
        <f t="shared" si="143"/>
        <v>0</v>
      </c>
      <c r="BM235" s="2942">
        <f t="shared" si="144"/>
        <v>0</v>
      </c>
      <c r="BN235" s="2942">
        <f t="shared" si="145"/>
        <v>0</v>
      </c>
      <c r="BO235" s="2942">
        <f t="shared" si="146"/>
        <v>0</v>
      </c>
      <c r="BP235" s="2942">
        <f t="shared" si="147"/>
        <v>0</v>
      </c>
      <c r="BQ235" s="2942">
        <f t="shared" si="148"/>
        <v>0</v>
      </c>
      <c r="BR235" s="2942">
        <f t="shared" si="149"/>
        <v>0</v>
      </c>
      <c r="BS235" s="2942">
        <f t="shared" si="150"/>
        <v>0</v>
      </c>
      <c r="BT235" s="2994">
        <f t="shared" si="151"/>
        <v>0</v>
      </c>
    </row>
    <row r="236" spans="1:72">
      <c r="A236" s="2939"/>
      <c r="B236" s="2940"/>
      <c r="C236" s="2940"/>
      <c r="D236" s="2941"/>
      <c r="E236" s="2942">
        <f t="shared" si="123"/>
        <v>0</v>
      </c>
      <c r="F236" s="2943"/>
      <c r="G236" s="2944">
        <f t="shared" si="124"/>
        <v>0</v>
      </c>
      <c r="H236" s="2945">
        <f t="shared" si="125"/>
        <v>0</v>
      </c>
      <c r="I236" s="2952"/>
      <c r="J236" s="2952"/>
      <c r="K236" s="2952"/>
      <c r="L236" s="2952"/>
      <c r="M236" s="2952"/>
      <c r="N236" s="2952"/>
      <c r="O236" s="2952"/>
      <c r="P236" s="2952"/>
      <c r="Q236" s="2952"/>
      <c r="R236" s="2952"/>
      <c r="S236" s="2952"/>
      <c r="T236" s="2952"/>
      <c r="U236" s="2952"/>
      <c r="V236" s="2952"/>
      <c r="W236" s="2952"/>
      <c r="X236" s="2952"/>
      <c r="Y236" s="2952"/>
      <c r="Z236" s="2952"/>
      <c r="AA236" s="2952"/>
      <c r="AB236" s="2952"/>
      <c r="AC236" s="2942">
        <f t="shared" si="126"/>
        <v>0</v>
      </c>
      <c r="AD236" s="2962"/>
      <c r="AE236" s="2962"/>
      <c r="AF236" s="2962"/>
      <c r="AG236" s="2962"/>
      <c r="AH236" s="2962"/>
      <c r="AI236" s="2962"/>
      <c r="AJ236" s="2962"/>
      <c r="AK236" s="2962"/>
      <c r="AL236" s="2962"/>
      <c r="AM236" s="2962"/>
      <c r="AN236" s="2962"/>
      <c r="AO236" s="2962"/>
      <c r="AP236" s="2962"/>
      <c r="AQ236" s="2962"/>
      <c r="AR236" s="2962"/>
      <c r="AS236" s="2962"/>
      <c r="AT236" s="2972"/>
      <c r="AU236" s="2973"/>
      <c r="AV236" s="1120">
        <f t="shared" si="127"/>
        <v>0</v>
      </c>
      <c r="AW236" s="1120">
        <f t="shared" si="128"/>
        <v>0</v>
      </c>
      <c r="AX236" s="1120">
        <f t="shared" si="129"/>
        <v>0</v>
      </c>
      <c r="AY236" s="2987">
        <f t="shared" si="130"/>
        <v>0</v>
      </c>
      <c r="AZ236" s="2942">
        <f t="shared" si="131"/>
        <v>0</v>
      </c>
      <c r="BA236" s="2942">
        <f t="shared" si="132"/>
        <v>0</v>
      </c>
      <c r="BB236" s="2942">
        <f t="shared" si="133"/>
        <v>0</v>
      </c>
      <c r="BC236" s="2942">
        <f t="shared" si="134"/>
        <v>0</v>
      </c>
      <c r="BD236" s="2942">
        <f t="shared" si="135"/>
        <v>0</v>
      </c>
      <c r="BE236" s="2942">
        <f t="shared" si="136"/>
        <v>0</v>
      </c>
      <c r="BF236" s="2942">
        <f t="shared" si="137"/>
        <v>0</v>
      </c>
      <c r="BG236" s="2942">
        <f t="shared" si="138"/>
        <v>0</v>
      </c>
      <c r="BH236" s="2942">
        <f t="shared" si="139"/>
        <v>0</v>
      </c>
      <c r="BI236" s="2942">
        <f t="shared" si="140"/>
        <v>0</v>
      </c>
      <c r="BJ236" s="2942">
        <f t="shared" si="141"/>
        <v>0</v>
      </c>
      <c r="BK236" s="2942">
        <f t="shared" si="142"/>
        <v>0</v>
      </c>
      <c r="BL236" s="2942">
        <f t="shared" si="143"/>
        <v>0</v>
      </c>
      <c r="BM236" s="2942">
        <f t="shared" si="144"/>
        <v>0</v>
      </c>
      <c r="BN236" s="2942">
        <f t="shared" si="145"/>
        <v>0</v>
      </c>
      <c r="BO236" s="2942">
        <f t="shared" si="146"/>
        <v>0</v>
      </c>
      <c r="BP236" s="2942">
        <f t="shared" si="147"/>
        <v>0</v>
      </c>
      <c r="BQ236" s="2942">
        <f t="shared" si="148"/>
        <v>0</v>
      </c>
      <c r="BR236" s="2942">
        <f t="shared" si="149"/>
        <v>0</v>
      </c>
      <c r="BS236" s="2942">
        <f t="shared" si="150"/>
        <v>0</v>
      </c>
      <c r="BT236" s="2994">
        <f t="shared" si="151"/>
        <v>0</v>
      </c>
    </row>
    <row r="237" spans="1:72">
      <c r="A237" s="2939"/>
      <c r="B237" s="2940"/>
      <c r="C237" s="2940"/>
      <c r="D237" s="2941"/>
      <c r="E237" s="2942">
        <f t="shared" si="123"/>
        <v>0</v>
      </c>
      <c r="F237" s="2943"/>
      <c r="G237" s="2944">
        <f t="shared" si="124"/>
        <v>0</v>
      </c>
      <c r="H237" s="2945">
        <f t="shared" si="125"/>
        <v>0</v>
      </c>
      <c r="I237" s="2952"/>
      <c r="J237" s="2952"/>
      <c r="K237" s="2952"/>
      <c r="L237" s="2952"/>
      <c r="M237" s="2952"/>
      <c r="N237" s="2952"/>
      <c r="O237" s="2952"/>
      <c r="P237" s="2952"/>
      <c r="Q237" s="2952"/>
      <c r="R237" s="2952"/>
      <c r="S237" s="2952"/>
      <c r="T237" s="2952"/>
      <c r="U237" s="2952"/>
      <c r="V237" s="2952"/>
      <c r="W237" s="2952"/>
      <c r="X237" s="2952"/>
      <c r="Y237" s="2952"/>
      <c r="Z237" s="2952"/>
      <c r="AA237" s="2952"/>
      <c r="AB237" s="2952"/>
      <c r="AC237" s="2942">
        <f t="shared" si="126"/>
        <v>0</v>
      </c>
      <c r="AD237" s="2962"/>
      <c r="AE237" s="2962"/>
      <c r="AF237" s="2962"/>
      <c r="AG237" s="2962"/>
      <c r="AH237" s="2962"/>
      <c r="AI237" s="2962"/>
      <c r="AJ237" s="2962"/>
      <c r="AK237" s="2962"/>
      <c r="AL237" s="2962"/>
      <c r="AM237" s="2962"/>
      <c r="AN237" s="2962"/>
      <c r="AO237" s="2962"/>
      <c r="AP237" s="2962"/>
      <c r="AQ237" s="2962"/>
      <c r="AR237" s="2962"/>
      <c r="AS237" s="2962"/>
      <c r="AT237" s="2972"/>
      <c r="AU237" s="2973"/>
      <c r="AV237" s="1120">
        <f t="shared" si="127"/>
        <v>0</v>
      </c>
      <c r="AW237" s="1120">
        <f t="shared" si="128"/>
        <v>0</v>
      </c>
      <c r="AX237" s="1120">
        <f t="shared" si="129"/>
        <v>0</v>
      </c>
      <c r="AY237" s="2987">
        <f t="shared" si="130"/>
        <v>0</v>
      </c>
      <c r="AZ237" s="2942">
        <f t="shared" si="131"/>
        <v>0</v>
      </c>
      <c r="BA237" s="2942">
        <f t="shared" si="132"/>
        <v>0</v>
      </c>
      <c r="BB237" s="2942">
        <f t="shared" si="133"/>
        <v>0</v>
      </c>
      <c r="BC237" s="2942">
        <f t="shared" si="134"/>
        <v>0</v>
      </c>
      <c r="BD237" s="2942">
        <f t="shared" si="135"/>
        <v>0</v>
      </c>
      <c r="BE237" s="2942">
        <f t="shared" si="136"/>
        <v>0</v>
      </c>
      <c r="BF237" s="2942">
        <f t="shared" si="137"/>
        <v>0</v>
      </c>
      <c r="BG237" s="2942">
        <f t="shared" si="138"/>
        <v>0</v>
      </c>
      <c r="BH237" s="2942">
        <f t="shared" si="139"/>
        <v>0</v>
      </c>
      <c r="BI237" s="2942">
        <f t="shared" si="140"/>
        <v>0</v>
      </c>
      <c r="BJ237" s="2942">
        <f t="shared" si="141"/>
        <v>0</v>
      </c>
      <c r="BK237" s="2942">
        <f t="shared" si="142"/>
        <v>0</v>
      </c>
      <c r="BL237" s="2942">
        <f t="shared" si="143"/>
        <v>0</v>
      </c>
      <c r="BM237" s="2942">
        <f t="shared" si="144"/>
        <v>0</v>
      </c>
      <c r="BN237" s="2942">
        <f t="shared" si="145"/>
        <v>0</v>
      </c>
      <c r="BO237" s="2942">
        <f t="shared" si="146"/>
        <v>0</v>
      </c>
      <c r="BP237" s="2942">
        <f t="shared" si="147"/>
        <v>0</v>
      </c>
      <c r="BQ237" s="2942">
        <f t="shared" si="148"/>
        <v>0</v>
      </c>
      <c r="BR237" s="2942">
        <f t="shared" si="149"/>
        <v>0</v>
      </c>
      <c r="BS237" s="2942">
        <f t="shared" si="150"/>
        <v>0</v>
      </c>
      <c r="BT237" s="2994">
        <f t="shared" si="151"/>
        <v>0</v>
      </c>
    </row>
    <row r="238" spans="1:72">
      <c r="A238" s="2939"/>
      <c r="B238" s="2940"/>
      <c r="C238" s="2940"/>
      <c r="D238" s="2941"/>
      <c r="E238" s="2942">
        <f t="shared" si="123"/>
        <v>0</v>
      </c>
      <c r="F238" s="2943"/>
      <c r="G238" s="2944">
        <f t="shared" si="124"/>
        <v>0</v>
      </c>
      <c r="H238" s="2945">
        <f t="shared" si="125"/>
        <v>0</v>
      </c>
      <c r="I238" s="2952"/>
      <c r="J238" s="2952"/>
      <c r="K238" s="2952"/>
      <c r="L238" s="2952"/>
      <c r="M238" s="2952"/>
      <c r="N238" s="2952"/>
      <c r="O238" s="2952"/>
      <c r="P238" s="2952"/>
      <c r="Q238" s="2952"/>
      <c r="R238" s="2952"/>
      <c r="S238" s="2952"/>
      <c r="T238" s="2952"/>
      <c r="U238" s="2952"/>
      <c r="V238" s="2952"/>
      <c r="W238" s="2952"/>
      <c r="X238" s="2952"/>
      <c r="Y238" s="2952"/>
      <c r="Z238" s="2952"/>
      <c r="AA238" s="2952"/>
      <c r="AB238" s="2952"/>
      <c r="AC238" s="2942">
        <f t="shared" si="126"/>
        <v>0</v>
      </c>
      <c r="AD238" s="2962"/>
      <c r="AE238" s="2962"/>
      <c r="AF238" s="2962"/>
      <c r="AG238" s="2962"/>
      <c r="AH238" s="2962"/>
      <c r="AI238" s="2962"/>
      <c r="AJ238" s="2962"/>
      <c r="AK238" s="2962"/>
      <c r="AL238" s="2962"/>
      <c r="AM238" s="2962"/>
      <c r="AN238" s="2962"/>
      <c r="AO238" s="2962"/>
      <c r="AP238" s="2962"/>
      <c r="AQ238" s="2962"/>
      <c r="AR238" s="2962"/>
      <c r="AS238" s="2962"/>
      <c r="AT238" s="2972"/>
      <c r="AU238" s="2973"/>
      <c r="AV238" s="1120">
        <f t="shared" si="127"/>
        <v>0</v>
      </c>
      <c r="AW238" s="1120">
        <f t="shared" si="128"/>
        <v>0</v>
      </c>
      <c r="AX238" s="1120">
        <f t="shared" si="129"/>
        <v>0</v>
      </c>
      <c r="AY238" s="2987">
        <f t="shared" si="130"/>
        <v>0</v>
      </c>
      <c r="AZ238" s="2942">
        <f t="shared" si="131"/>
        <v>0</v>
      </c>
      <c r="BA238" s="2942">
        <f t="shared" si="132"/>
        <v>0</v>
      </c>
      <c r="BB238" s="2942">
        <f t="shared" si="133"/>
        <v>0</v>
      </c>
      <c r="BC238" s="2942">
        <f t="shared" si="134"/>
        <v>0</v>
      </c>
      <c r="BD238" s="2942">
        <f t="shared" si="135"/>
        <v>0</v>
      </c>
      <c r="BE238" s="2942">
        <f t="shared" si="136"/>
        <v>0</v>
      </c>
      <c r="BF238" s="2942">
        <f t="shared" si="137"/>
        <v>0</v>
      </c>
      <c r="BG238" s="2942">
        <f t="shared" si="138"/>
        <v>0</v>
      </c>
      <c r="BH238" s="2942">
        <f t="shared" si="139"/>
        <v>0</v>
      </c>
      <c r="BI238" s="2942">
        <f t="shared" si="140"/>
        <v>0</v>
      </c>
      <c r="BJ238" s="2942">
        <f t="shared" si="141"/>
        <v>0</v>
      </c>
      <c r="BK238" s="2942">
        <f t="shared" si="142"/>
        <v>0</v>
      </c>
      <c r="BL238" s="2942">
        <f t="shared" si="143"/>
        <v>0</v>
      </c>
      <c r="BM238" s="2942">
        <f t="shared" si="144"/>
        <v>0</v>
      </c>
      <c r="BN238" s="2942">
        <f t="shared" si="145"/>
        <v>0</v>
      </c>
      <c r="BO238" s="2942">
        <f t="shared" si="146"/>
        <v>0</v>
      </c>
      <c r="BP238" s="2942">
        <f t="shared" si="147"/>
        <v>0</v>
      </c>
      <c r="BQ238" s="2942">
        <f t="shared" si="148"/>
        <v>0</v>
      </c>
      <c r="BR238" s="2942">
        <f t="shared" si="149"/>
        <v>0</v>
      </c>
      <c r="BS238" s="2942">
        <f t="shared" si="150"/>
        <v>0</v>
      </c>
      <c r="BT238" s="2994">
        <f t="shared" si="151"/>
        <v>0</v>
      </c>
    </row>
    <row r="239" spans="1:72">
      <c r="A239" s="2939"/>
      <c r="B239" s="2940"/>
      <c r="C239" s="2940"/>
      <c r="D239" s="2941"/>
      <c r="E239" s="2942">
        <f t="shared" si="123"/>
        <v>0</v>
      </c>
      <c r="F239" s="2943"/>
      <c r="G239" s="2944">
        <f t="shared" si="124"/>
        <v>0</v>
      </c>
      <c r="H239" s="2945">
        <f t="shared" si="125"/>
        <v>0</v>
      </c>
      <c r="I239" s="2952"/>
      <c r="J239" s="2952"/>
      <c r="K239" s="2952"/>
      <c r="L239" s="2952"/>
      <c r="M239" s="2952"/>
      <c r="N239" s="2952"/>
      <c r="O239" s="2952"/>
      <c r="P239" s="2952"/>
      <c r="Q239" s="2952"/>
      <c r="R239" s="2952"/>
      <c r="S239" s="2952"/>
      <c r="T239" s="2952"/>
      <c r="U239" s="2952"/>
      <c r="V239" s="2952"/>
      <c r="W239" s="2952"/>
      <c r="X239" s="2952"/>
      <c r="Y239" s="2952"/>
      <c r="Z239" s="2952"/>
      <c r="AA239" s="2952"/>
      <c r="AB239" s="2952"/>
      <c r="AC239" s="2942">
        <f t="shared" si="126"/>
        <v>0</v>
      </c>
      <c r="AD239" s="2962"/>
      <c r="AE239" s="2962"/>
      <c r="AF239" s="2962"/>
      <c r="AG239" s="2962"/>
      <c r="AH239" s="2962"/>
      <c r="AI239" s="2962"/>
      <c r="AJ239" s="2962"/>
      <c r="AK239" s="2962"/>
      <c r="AL239" s="2962"/>
      <c r="AM239" s="2962"/>
      <c r="AN239" s="2962"/>
      <c r="AO239" s="2962"/>
      <c r="AP239" s="2962"/>
      <c r="AQ239" s="2962"/>
      <c r="AR239" s="2962"/>
      <c r="AS239" s="2962"/>
      <c r="AT239" s="2972"/>
      <c r="AU239" s="2973"/>
      <c r="AV239" s="1120">
        <f t="shared" si="127"/>
        <v>0</v>
      </c>
      <c r="AW239" s="1120">
        <f t="shared" si="128"/>
        <v>0</v>
      </c>
      <c r="AX239" s="1120">
        <f t="shared" si="129"/>
        <v>0</v>
      </c>
      <c r="AY239" s="2987">
        <f t="shared" si="130"/>
        <v>0</v>
      </c>
      <c r="AZ239" s="2942">
        <f t="shared" si="131"/>
        <v>0</v>
      </c>
      <c r="BA239" s="2942">
        <f t="shared" si="132"/>
        <v>0</v>
      </c>
      <c r="BB239" s="2942">
        <f t="shared" si="133"/>
        <v>0</v>
      </c>
      <c r="BC239" s="2942">
        <f t="shared" si="134"/>
        <v>0</v>
      </c>
      <c r="BD239" s="2942">
        <f t="shared" si="135"/>
        <v>0</v>
      </c>
      <c r="BE239" s="2942">
        <f t="shared" si="136"/>
        <v>0</v>
      </c>
      <c r="BF239" s="2942">
        <f t="shared" si="137"/>
        <v>0</v>
      </c>
      <c r="BG239" s="2942">
        <f t="shared" si="138"/>
        <v>0</v>
      </c>
      <c r="BH239" s="2942">
        <f t="shared" si="139"/>
        <v>0</v>
      </c>
      <c r="BI239" s="2942">
        <f t="shared" si="140"/>
        <v>0</v>
      </c>
      <c r="BJ239" s="2942">
        <f t="shared" si="141"/>
        <v>0</v>
      </c>
      <c r="BK239" s="2942">
        <f t="shared" si="142"/>
        <v>0</v>
      </c>
      <c r="BL239" s="2942">
        <f t="shared" si="143"/>
        <v>0</v>
      </c>
      <c r="BM239" s="2942">
        <f t="shared" si="144"/>
        <v>0</v>
      </c>
      <c r="BN239" s="2942">
        <f t="shared" si="145"/>
        <v>0</v>
      </c>
      <c r="BO239" s="2942">
        <f t="shared" si="146"/>
        <v>0</v>
      </c>
      <c r="BP239" s="2942">
        <f t="shared" si="147"/>
        <v>0</v>
      </c>
      <c r="BQ239" s="2942">
        <f t="shared" si="148"/>
        <v>0</v>
      </c>
      <c r="BR239" s="2942">
        <f t="shared" si="149"/>
        <v>0</v>
      </c>
      <c r="BS239" s="2942">
        <f t="shared" si="150"/>
        <v>0</v>
      </c>
      <c r="BT239" s="2994">
        <f t="shared" si="151"/>
        <v>0</v>
      </c>
    </row>
    <row r="240" spans="1:72">
      <c r="A240" s="2939"/>
      <c r="B240" s="2940"/>
      <c r="C240" s="2940"/>
      <c r="D240" s="2941"/>
      <c r="E240" s="2942">
        <f t="shared" si="123"/>
        <v>0</v>
      </c>
      <c r="F240" s="2943"/>
      <c r="G240" s="2944">
        <f t="shared" si="124"/>
        <v>0</v>
      </c>
      <c r="H240" s="2945">
        <f t="shared" si="125"/>
        <v>0</v>
      </c>
      <c r="I240" s="2952"/>
      <c r="J240" s="2952"/>
      <c r="K240" s="2952"/>
      <c r="L240" s="2952"/>
      <c r="M240" s="2952"/>
      <c r="N240" s="2952"/>
      <c r="O240" s="2952"/>
      <c r="P240" s="2952"/>
      <c r="Q240" s="2952"/>
      <c r="R240" s="2952"/>
      <c r="S240" s="2952"/>
      <c r="T240" s="2952"/>
      <c r="U240" s="2952"/>
      <c r="V240" s="2952"/>
      <c r="W240" s="2952"/>
      <c r="X240" s="2952"/>
      <c r="Y240" s="2952"/>
      <c r="Z240" s="2952"/>
      <c r="AA240" s="2952"/>
      <c r="AB240" s="2952"/>
      <c r="AC240" s="2942">
        <f t="shared" si="126"/>
        <v>0</v>
      </c>
      <c r="AD240" s="2962"/>
      <c r="AE240" s="2962"/>
      <c r="AF240" s="2962"/>
      <c r="AG240" s="2962"/>
      <c r="AH240" s="2962"/>
      <c r="AI240" s="2962"/>
      <c r="AJ240" s="2962"/>
      <c r="AK240" s="2962"/>
      <c r="AL240" s="2962"/>
      <c r="AM240" s="2962"/>
      <c r="AN240" s="2962"/>
      <c r="AO240" s="2962"/>
      <c r="AP240" s="2962"/>
      <c r="AQ240" s="2962"/>
      <c r="AR240" s="2962"/>
      <c r="AS240" s="2962"/>
      <c r="AT240" s="2972"/>
      <c r="AU240" s="2973"/>
      <c r="AV240" s="1120">
        <f t="shared" si="127"/>
        <v>0</v>
      </c>
      <c r="AW240" s="1120">
        <f t="shared" si="128"/>
        <v>0</v>
      </c>
      <c r="AX240" s="1120">
        <f t="shared" si="129"/>
        <v>0</v>
      </c>
      <c r="AY240" s="2987">
        <f t="shared" si="130"/>
        <v>0</v>
      </c>
      <c r="AZ240" s="2942">
        <f t="shared" si="131"/>
        <v>0</v>
      </c>
      <c r="BA240" s="2942">
        <f t="shared" si="132"/>
        <v>0</v>
      </c>
      <c r="BB240" s="2942">
        <f t="shared" si="133"/>
        <v>0</v>
      </c>
      <c r="BC240" s="2942">
        <f t="shared" si="134"/>
        <v>0</v>
      </c>
      <c r="BD240" s="2942">
        <f t="shared" si="135"/>
        <v>0</v>
      </c>
      <c r="BE240" s="2942">
        <f t="shared" si="136"/>
        <v>0</v>
      </c>
      <c r="BF240" s="2942">
        <f t="shared" si="137"/>
        <v>0</v>
      </c>
      <c r="BG240" s="2942">
        <f t="shared" si="138"/>
        <v>0</v>
      </c>
      <c r="BH240" s="2942">
        <f t="shared" si="139"/>
        <v>0</v>
      </c>
      <c r="BI240" s="2942">
        <f t="shared" si="140"/>
        <v>0</v>
      </c>
      <c r="BJ240" s="2942">
        <f t="shared" si="141"/>
        <v>0</v>
      </c>
      <c r="BK240" s="2942">
        <f t="shared" si="142"/>
        <v>0</v>
      </c>
      <c r="BL240" s="2942">
        <f t="shared" si="143"/>
        <v>0</v>
      </c>
      <c r="BM240" s="2942">
        <f t="shared" si="144"/>
        <v>0</v>
      </c>
      <c r="BN240" s="2942">
        <f t="shared" si="145"/>
        <v>0</v>
      </c>
      <c r="BO240" s="2942">
        <f t="shared" si="146"/>
        <v>0</v>
      </c>
      <c r="BP240" s="2942">
        <f t="shared" si="147"/>
        <v>0</v>
      </c>
      <c r="BQ240" s="2942">
        <f t="shared" si="148"/>
        <v>0</v>
      </c>
      <c r="BR240" s="2942">
        <f t="shared" si="149"/>
        <v>0</v>
      </c>
      <c r="BS240" s="2942">
        <f t="shared" si="150"/>
        <v>0</v>
      </c>
      <c r="BT240" s="2994">
        <f t="shared" si="151"/>
        <v>0</v>
      </c>
    </row>
    <row r="241" spans="1:72">
      <c r="A241" s="2939"/>
      <c r="B241" s="2940"/>
      <c r="C241" s="2940"/>
      <c r="D241" s="2941"/>
      <c r="E241" s="2942">
        <f t="shared" si="123"/>
        <v>0</v>
      </c>
      <c r="F241" s="2943"/>
      <c r="G241" s="2944">
        <f t="shared" si="124"/>
        <v>0</v>
      </c>
      <c r="H241" s="2945">
        <f t="shared" si="125"/>
        <v>0</v>
      </c>
      <c r="I241" s="2952"/>
      <c r="J241" s="2952"/>
      <c r="K241" s="2952"/>
      <c r="L241" s="2952"/>
      <c r="M241" s="2952"/>
      <c r="N241" s="2952"/>
      <c r="O241" s="2952"/>
      <c r="P241" s="2952"/>
      <c r="Q241" s="2952"/>
      <c r="R241" s="2952"/>
      <c r="S241" s="2952"/>
      <c r="T241" s="2952"/>
      <c r="U241" s="2952"/>
      <c r="V241" s="2952"/>
      <c r="W241" s="2952"/>
      <c r="X241" s="2952"/>
      <c r="Y241" s="2952"/>
      <c r="Z241" s="2952"/>
      <c r="AA241" s="2952"/>
      <c r="AB241" s="2952"/>
      <c r="AC241" s="2942">
        <f t="shared" si="126"/>
        <v>0</v>
      </c>
      <c r="AD241" s="2962"/>
      <c r="AE241" s="2962"/>
      <c r="AF241" s="2962"/>
      <c r="AG241" s="2962"/>
      <c r="AH241" s="2962"/>
      <c r="AI241" s="2962"/>
      <c r="AJ241" s="2962"/>
      <c r="AK241" s="2962"/>
      <c r="AL241" s="2962"/>
      <c r="AM241" s="2962"/>
      <c r="AN241" s="2962"/>
      <c r="AO241" s="2962"/>
      <c r="AP241" s="2962"/>
      <c r="AQ241" s="2962"/>
      <c r="AR241" s="2962"/>
      <c r="AS241" s="2962"/>
      <c r="AT241" s="2972"/>
      <c r="AU241" s="2973"/>
      <c r="AV241" s="1120">
        <f t="shared" si="127"/>
        <v>0</v>
      </c>
      <c r="AW241" s="1120">
        <f t="shared" si="128"/>
        <v>0</v>
      </c>
      <c r="AX241" s="1120">
        <f t="shared" si="129"/>
        <v>0</v>
      </c>
      <c r="AY241" s="2987">
        <f t="shared" si="130"/>
        <v>0</v>
      </c>
      <c r="AZ241" s="2942">
        <f t="shared" si="131"/>
        <v>0</v>
      </c>
      <c r="BA241" s="2942">
        <f t="shared" si="132"/>
        <v>0</v>
      </c>
      <c r="BB241" s="2942">
        <f t="shared" si="133"/>
        <v>0</v>
      </c>
      <c r="BC241" s="2942">
        <f t="shared" si="134"/>
        <v>0</v>
      </c>
      <c r="BD241" s="2942">
        <f t="shared" si="135"/>
        <v>0</v>
      </c>
      <c r="BE241" s="2942">
        <f t="shared" si="136"/>
        <v>0</v>
      </c>
      <c r="BF241" s="2942">
        <f t="shared" si="137"/>
        <v>0</v>
      </c>
      <c r="BG241" s="2942">
        <f t="shared" si="138"/>
        <v>0</v>
      </c>
      <c r="BH241" s="2942">
        <f t="shared" si="139"/>
        <v>0</v>
      </c>
      <c r="BI241" s="2942">
        <f t="shared" si="140"/>
        <v>0</v>
      </c>
      <c r="BJ241" s="2942">
        <f t="shared" si="141"/>
        <v>0</v>
      </c>
      <c r="BK241" s="2942">
        <f t="shared" si="142"/>
        <v>0</v>
      </c>
      <c r="BL241" s="2942">
        <f t="shared" si="143"/>
        <v>0</v>
      </c>
      <c r="BM241" s="2942">
        <f t="shared" si="144"/>
        <v>0</v>
      </c>
      <c r="BN241" s="2942">
        <f t="shared" si="145"/>
        <v>0</v>
      </c>
      <c r="BO241" s="2942">
        <f t="shared" si="146"/>
        <v>0</v>
      </c>
      <c r="BP241" s="2942">
        <f t="shared" si="147"/>
        <v>0</v>
      </c>
      <c r="BQ241" s="2942">
        <f t="shared" si="148"/>
        <v>0</v>
      </c>
      <c r="BR241" s="2942">
        <f t="shared" si="149"/>
        <v>0</v>
      </c>
      <c r="BS241" s="2942">
        <f t="shared" si="150"/>
        <v>0</v>
      </c>
      <c r="BT241" s="2994">
        <f t="shared" si="151"/>
        <v>0</v>
      </c>
    </row>
    <row r="242" spans="1:72">
      <c r="A242" s="2939"/>
      <c r="B242" s="2940"/>
      <c r="C242" s="2940"/>
      <c r="D242" s="2941"/>
      <c r="E242" s="2942">
        <f t="shared" si="123"/>
        <v>0</v>
      </c>
      <c r="F242" s="2943"/>
      <c r="G242" s="2944">
        <f t="shared" si="124"/>
        <v>0</v>
      </c>
      <c r="H242" s="2945">
        <f t="shared" si="125"/>
        <v>0</v>
      </c>
      <c r="I242" s="2952"/>
      <c r="J242" s="2952"/>
      <c r="K242" s="2952"/>
      <c r="L242" s="2952"/>
      <c r="M242" s="2952"/>
      <c r="N242" s="2952"/>
      <c r="O242" s="2952"/>
      <c r="P242" s="2952"/>
      <c r="Q242" s="2952"/>
      <c r="R242" s="2952"/>
      <c r="S242" s="2952"/>
      <c r="T242" s="2952"/>
      <c r="U242" s="2952"/>
      <c r="V242" s="2952"/>
      <c r="W242" s="2952"/>
      <c r="X242" s="2952"/>
      <c r="Y242" s="2952"/>
      <c r="Z242" s="2952"/>
      <c r="AA242" s="2952"/>
      <c r="AB242" s="2952"/>
      <c r="AC242" s="2942">
        <f t="shared" si="126"/>
        <v>0</v>
      </c>
      <c r="AD242" s="2962"/>
      <c r="AE242" s="2962"/>
      <c r="AF242" s="2962"/>
      <c r="AG242" s="2962"/>
      <c r="AH242" s="2962"/>
      <c r="AI242" s="2962"/>
      <c r="AJ242" s="2962"/>
      <c r="AK242" s="2962"/>
      <c r="AL242" s="2962"/>
      <c r="AM242" s="2962"/>
      <c r="AN242" s="2962"/>
      <c r="AO242" s="2962"/>
      <c r="AP242" s="2962"/>
      <c r="AQ242" s="2962"/>
      <c r="AR242" s="2962"/>
      <c r="AS242" s="2962"/>
      <c r="AT242" s="2972"/>
      <c r="AU242" s="2973"/>
      <c r="AV242" s="1120">
        <f t="shared" si="127"/>
        <v>0</v>
      </c>
      <c r="AW242" s="1120">
        <f t="shared" si="128"/>
        <v>0</v>
      </c>
      <c r="AX242" s="1120">
        <f t="shared" si="129"/>
        <v>0</v>
      </c>
      <c r="AY242" s="2987">
        <f t="shared" si="130"/>
        <v>0</v>
      </c>
      <c r="AZ242" s="2942">
        <f t="shared" si="131"/>
        <v>0</v>
      </c>
      <c r="BA242" s="2942">
        <f t="shared" si="132"/>
        <v>0</v>
      </c>
      <c r="BB242" s="2942">
        <f t="shared" si="133"/>
        <v>0</v>
      </c>
      <c r="BC242" s="2942">
        <f t="shared" si="134"/>
        <v>0</v>
      </c>
      <c r="BD242" s="2942">
        <f t="shared" si="135"/>
        <v>0</v>
      </c>
      <c r="BE242" s="2942">
        <f t="shared" si="136"/>
        <v>0</v>
      </c>
      <c r="BF242" s="2942">
        <f t="shared" si="137"/>
        <v>0</v>
      </c>
      <c r="BG242" s="2942">
        <f t="shared" si="138"/>
        <v>0</v>
      </c>
      <c r="BH242" s="2942">
        <f t="shared" si="139"/>
        <v>0</v>
      </c>
      <c r="BI242" s="2942">
        <f t="shared" si="140"/>
        <v>0</v>
      </c>
      <c r="BJ242" s="2942">
        <f t="shared" si="141"/>
        <v>0</v>
      </c>
      <c r="BK242" s="2942">
        <f t="shared" si="142"/>
        <v>0</v>
      </c>
      <c r="BL242" s="2942">
        <f t="shared" si="143"/>
        <v>0</v>
      </c>
      <c r="BM242" s="2942">
        <f t="shared" si="144"/>
        <v>0</v>
      </c>
      <c r="BN242" s="2942">
        <f t="shared" si="145"/>
        <v>0</v>
      </c>
      <c r="BO242" s="2942">
        <f t="shared" si="146"/>
        <v>0</v>
      </c>
      <c r="BP242" s="2942">
        <f t="shared" si="147"/>
        <v>0</v>
      </c>
      <c r="BQ242" s="2942">
        <f t="shared" si="148"/>
        <v>0</v>
      </c>
      <c r="BR242" s="2942">
        <f t="shared" si="149"/>
        <v>0</v>
      </c>
      <c r="BS242" s="2942">
        <f t="shared" si="150"/>
        <v>0</v>
      </c>
      <c r="BT242" s="2994">
        <f t="shared" si="151"/>
        <v>0</v>
      </c>
    </row>
    <row r="243" spans="1:72">
      <c r="A243" s="2939"/>
      <c r="B243" s="2940"/>
      <c r="C243" s="2940"/>
      <c r="D243" s="2941"/>
      <c r="E243" s="2942">
        <f t="shared" si="123"/>
        <v>0</v>
      </c>
      <c r="F243" s="2943"/>
      <c r="G243" s="2944">
        <f t="shared" si="124"/>
        <v>0</v>
      </c>
      <c r="H243" s="2945">
        <f t="shared" si="125"/>
        <v>0</v>
      </c>
      <c r="I243" s="2952"/>
      <c r="J243" s="2952"/>
      <c r="K243" s="2952"/>
      <c r="L243" s="2952"/>
      <c r="M243" s="2952"/>
      <c r="N243" s="2952"/>
      <c r="O243" s="2952"/>
      <c r="P243" s="2952"/>
      <c r="Q243" s="2952"/>
      <c r="R243" s="2952"/>
      <c r="S243" s="2952"/>
      <c r="T243" s="2952"/>
      <c r="U243" s="2952"/>
      <c r="V243" s="2952"/>
      <c r="W243" s="2952"/>
      <c r="X243" s="2952"/>
      <c r="Y243" s="2952"/>
      <c r="Z243" s="2952"/>
      <c r="AA243" s="2952"/>
      <c r="AB243" s="2952"/>
      <c r="AC243" s="2942">
        <f t="shared" si="126"/>
        <v>0</v>
      </c>
      <c r="AD243" s="2962"/>
      <c r="AE243" s="2962"/>
      <c r="AF243" s="2962"/>
      <c r="AG243" s="2962"/>
      <c r="AH243" s="2962"/>
      <c r="AI243" s="2962"/>
      <c r="AJ243" s="2962"/>
      <c r="AK243" s="2962"/>
      <c r="AL243" s="2962"/>
      <c r="AM243" s="2962"/>
      <c r="AN243" s="2962"/>
      <c r="AO243" s="2962"/>
      <c r="AP243" s="2962"/>
      <c r="AQ243" s="2962"/>
      <c r="AR243" s="2962"/>
      <c r="AS243" s="2962"/>
      <c r="AT243" s="2972"/>
      <c r="AU243" s="2973"/>
      <c r="AV243" s="1120">
        <f t="shared" si="127"/>
        <v>0</v>
      </c>
      <c r="AW243" s="1120">
        <f t="shared" si="128"/>
        <v>0</v>
      </c>
      <c r="AX243" s="1120">
        <f t="shared" si="129"/>
        <v>0</v>
      </c>
      <c r="AY243" s="2987">
        <f t="shared" si="130"/>
        <v>0</v>
      </c>
      <c r="AZ243" s="2942">
        <f t="shared" si="131"/>
        <v>0</v>
      </c>
      <c r="BA243" s="2942">
        <f t="shared" si="132"/>
        <v>0</v>
      </c>
      <c r="BB243" s="2942">
        <f t="shared" si="133"/>
        <v>0</v>
      </c>
      <c r="BC243" s="2942">
        <f t="shared" si="134"/>
        <v>0</v>
      </c>
      <c r="BD243" s="2942">
        <f t="shared" si="135"/>
        <v>0</v>
      </c>
      <c r="BE243" s="2942">
        <f t="shared" si="136"/>
        <v>0</v>
      </c>
      <c r="BF243" s="2942">
        <f t="shared" si="137"/>
        <v>0</v>
      </c>
      <c r="BG243" s="2942">
        <f t="shared" si="138"/>
        <v>0</v>
      </c>
      <c r="BH243" s="2942">
        <f t="shared" si="139"/>
        <v>0</v>
      </c>
      <c r="BI243" s="2942">
        <f t="shared" si="140"/>
        <v>0</v>
      </c>
      <c r="BJ243" s="2942">
        <f t="shared" si="141"/>
        <v>0</v>
      </c>
      <c r="BK243" s="2942">
        <f t="shared" si="142"/>
        <v>0</v>
      </c>
      <c r="BL243" s="2942">
        <f t="shared" si="143"/>
        <v>0</v>
      </c>
      <c r="BM243" s="2942">
        <f t="shared" si="144"/>
        <v>0</v>
      </c>
      <c r="BN243" s="2942">
        <f t="shared" si="145"/>
        <v>0</v>
      </c>
      <c r="BO243" s="2942">
        <f t="shared" si="146"/>
        <v>0</v>
      </c>
      <c r="BP243" s="2942">
        <f t="shared" si="147"/>
        <v>0</v>
      </c>
      <c r="BQ243" s="2942">
        <f t="shared" si="148"/>
        <v>0</v>
      </c>
      <c r="BR243" s="2942">
        <f t="shared" si="149"/>
        <v>0</v>
      </c>
      <c r="BS243" s="2942">
        <f t="shared" si="150"/>
        <v>0</v>
      </c>
      <c r="BT243" s="2994">
        <f t="shared" si="151"/>
        <v>0</v>
      </c>
    </row>
    <row r="244" spans="1:72">
      <c r="A244" s="2939"/>
      <c r="B244" s="2940"/>
      <c r="C244" s="2940"/>
      <c r="D244" s="2941"/>
      <c r="E244" s="2942">
        <f t="shared" si="123"/>
        <v>0</v>
      </c>
      <c r="F244" s="2943"/>
      <c r="G244" s="2944">
        <f t="shared" si="124"/>
        <v>0</v>
      </c>
      <c r="H244" s="2945">
        <f t="shared" si="125"/>
        <v>0</v>
      </c>
      <c r="I244" s="2952"/>
      <c r="J244" s="2952"/>
      <c r="K244" s="2952"/>
      <c r="L244" s="2952"/>
      <c r="M244" s="2952"/>
      <c r="N244" s="2952"/>
      <c r="O244" s="2952"/>
      <c r="P244" s="2952"/>
      <c r="Q244" s="2952"/>
      <c r="R244" s="2952"/>
      <c r="S244" s="2952"/>
      <c r="T244" s="2952"/>
      <c r="U244" s="2952"/>
      <c r="V244" s="2952"/>
      <c r="W244" s="2952"/>
      <c r="X244" s="2952"/>
      <c r="Y244" s="2952"/>
      <c r="Z244" s="2952"/>
      <c r="AA244" s="2952"/>
      <c r="AB244" s="2952"/>
      <c r="AC244" s="2942">
        <f t="shared" si="126"/>
        <v>0</v>
      </c>
      <c r="AD244" s="2962"/>
      <c r="AE244" s="2962"/>
      <c r="AF244" s="2962"/>
      <c r="AG244" s="2962"/>
      <c r="AH244" s="2962"/>
      <c r="AI244" s="2962"/>
      <c r="AJ244" s="2962"/>
      <c r="AK244" s="2962"/>
      <c r="AL244" s="2962"/>
      <c r="AM244" s="2962"/>
      <c r="AN244" s="2962"/>
      <c r="AO244" s="2962"/>
      <c r="AP244" s="2962"/>
      <c r="AQ244" s="2962"/>
      <c r="AR244" s="2962"/>
      <c r="AS244" s="2962"/>
      <c r="AT244" s="2972"/>
      <c r="AU244" s="2973"/>
      <c r="AV244" s="1120">
        <f t="shared" si="127"/>
        <v>0</v>
      </c>
      <c r="AW244" s="1120">
        <f t="shared" si="128"/>
        <v>0</v>
      </c>
      <c r="AX244" s="1120">
        <f t="shared" si="129"/>
        <v>0</v>
      </c>
      <c r="AY244" s="2987">
        <f t="shared" si="130"/>
        <v>0</v>
      </c>
      <c r="AZ244" s="2942">
        <f t="shared" si="131"/>
        <v>0</v>
      </c>
      <c r="BA244" s="2942">
        <f t="shared" si="132"/>
        <v>0</v>
      </c>
      <c r="BB244" s="2942">
        <f t="shared" si="133"/>
        <v>0</v>
      </c>
      <c r="BC244" s="2942">
        <f t="shared" si="134"/>
        <v>0</v>
      </c>
      <c r="BD244" s="2942">
        <f t="shared" si="135"/>
        <v>0</v>
      </c>
      <c r="BE244" s="2942">
        <f t="shared" si="136"/>
        <v>0</v>
      </c>
      <c r="BF244" s="2942">
        <f t="shared" si="137"/>
        <v>0</v>
      </c>
      <c r="BG244" s="2942">
        <f t="shared" si="138"/>
        <v>0</v>
      </c>
      <c r="BH244" s="2942">
        <f t="shared" si="139"/>
        <v>0</v>
      </c>
      <c r="BI244" s="2942">
        <f t="shared" si="140"/>
        <v>0</v>
      </c>
      <c r="BJ244" s="2942">
        <f t="shared" si="141"/>
        <v>0</v>
      </c>
      <c r="BK244" s="2942">
        <f t="shared" si="142"/>
        <v>0</v>
      </c>
      <c r="BL244" s="2942">
        <f t="shared" si="143"/>
        <v>0</v>
      </c>
      <c r="BM244" s="2942">
        <f t="shared" si="144"/>
        <v>0</v>
      </c>
      <c r="BN244" s="2942">
        <f t="shared" si="145"/>
        <v>0</v>
      </c>
      <c r="BO244" s="2942">
        <f t="shared" si="146"/>
        <v>0</v>
      </c>
      <c r="BP244" s="2942">
        <f t="shared" si="147"/>
        <v>0</v>
      </c>
      <c r="BQ244" s="2942">
        <f t="shared" si="148"/>
        <v>0</v>
      </c>
      <c r="BR244" s="2942">
        <f t="shared" si="149"/>
        <v>0</v>
      </c>
      <c r="BS244" s="2942">
        <f t="shared" si="150"/>
        <v>0</v>
      </c>
      <c r="BT244" s="2994">
        <f t="shared" si="151"/>
        <v>0</v>
      </c>
    </row>
    <row r="245" spans="1:72">
      <c r="A245" s="2939"/>
      <c r="B245" s="2940"/>
      <c r="C245" s="2940"/>
      <c r="D245" s="2941"/>
      <c r="E245" s="2942">
        <f t="shared" si="123"/>
        <v>0</v>
      </c>
      <c r="F245" s="2943"/>
      <c r="G245" s="2944">
        <f t="shared" si="124"/>
        <v>0</v>
      </c>
      <c r="H245" s="2945">
        <f t="shared" si="125"/>
        <v>0</v>
      </c>
      <c r="I245" s="2952"/>
      <c r="J245" s="2952"/>
      <c r="K245" s="2952"/>
      <c r="L245" s="2952"/>
      <c r="M245" s="2952"/>
      <c r="N245" s="2952"/>
      <c r="O245" s="2952"/>
      <c r="P245" s="2952"/>
      <c r="Q245" s="2952"/>
      <c r="R245" s="2952"/>
      <c r="S245" s="2952"/>
      <c r="T245" s="2952"/>
      <c r="U245" s="2952"/>
      <c r="V245" s="2952"/>
      <c r="W245" s="2952"/>
      <c r="X245" s="2952"/>
      <c r="Y245" s="2952"/>
      <c r="Z245" s="2952"/>
      <c r="AA245" s="2952"/>
      <c r="AB245" s="2952"/>
      <c r="AC245" s="2942">
        <f t="shared" si="126"/>
        <v>0</v>
      </c>
      <c r="AD245" s="2962"/>
      <c r="AE245" s="2962"/>
      <c r="AF245" s="2962"/>
      <c r="AG245" s="2962"/>
      <c r="AH245" s="2962"/>
      <c r="AI245" s="2962"/>
      <c r="AJ245" s="2962"/>
      <c r="AK245" s="2962"/>
      <c r="AL245" s="2962"/>
      <c r="AM245" s="2962"/>
      <c r="AN245" s="2962"/>
      <c r="AO245" s="2962"/>
      <c r="AP245" s="2962"/>
      <c r="AQ245" s="2962"/>
      <c r="AR245" s="2962"/>
      <c r="AS245" s="2962"/>
      <c r="AT245" s="2972"/>
      <c r="AU245" s="2973"/>
      <c r="AV245" s="1120">
        <f t="shared" si="127"/>
        <v>0</v>
      </c>
      <c r="AW245" s="1120">
        <f t="shared" si="128"/>
        <v>0</v>
      </c>
      <c r="AX245" s="1120">
        <f t="shared" si="129"/>
        <v>0</v>
      </c>
      <c r="AY245" s="2987">
        <f t="shared" si="130"/>
        <v>0</v>
      </c>
      <c r="AZ245" s="2942">
        <f t="shared" si="131"/>
        <v>0</v>
      </c>
      <c r="BA245" s="2942">
        <f t="shared" si="132"/>
        <v>0</v>
      </c>
      <c r="BB245" s="2942">
        <f t="shared" si="133"/>
        <v>0</v>
      </c>
      <c r="BC245" s="2942">
        <f t="shared" si="134"/>
        <v>0</v>
      </c>
      <c r="BD245" s="2942">
        <f t="shared" si="135"/>
        <v>0</v>
      </c>
      <c r="BE245" s="2942">
        <f t="shared" si="136"/>
        <v>0</v>
      </c>
      <c r="BF245" s="2942">
        <f t="shared" si="137"/>
        <v>0</v>
      </c>
      <c r="BG245" s="2942">
        <f t="shared" si="138"/>
        <v>0</v>
      </c>
      <c r="BH245" s="2942">
        <f t="shared" si="139"/>
        <v>0</v>
      </c>
      <c r="BI245" s="2942">
        <f t="shared" si="140"/>
        <v>0</v>
      </c>
      <c r="BJ245" s="2942">
        <f t="shared" si="141"/>
        <v>0</v>
      </c>
      <c r="BK245" s="2942">
        <f t="shared" si="142"/>
        <v>0</v>
      </c>
      <c r="BL245" s="2942">
        <f t="shared" si="143"/>
        <v>0</v>
      </c>
      <c r="BM245" s="2942">
        <f t="shared" si="144"/>
        <v>0</v>
      </c>
      <c r="BN245" s="2942">
        <f t="shared" si="145"/>
        <v>0</v>
      </c>
      <c r="BO245" s="2942">
        <f t="shared" si="146"/>
        <v>0</v>
      </c>
      <c r="BP245" s="2942">
        <f t="shared" si="147"/>
        <v>0</v>
      </c>
      <c r="BQ245" s="2942">
        <f t="shared" si="148"/>
        <v>0</v>
      </c>
      <c r="BR245" s="2942">
        <f t="shared" si="149"/>
        <v>0</v>
      </c>
      <c r="BS245" s="2942">
        <f t="shared" si="150"/>
        <v>0</v>
      </c>
      <c r="BT245" s="2994">
        <f t="shared" si="151"/>
        <v>0</v>
      </c>
    </row>
    <row r="246" spans="1:72">
      <c r="A246" s="2939"/>
      <c r="B246" s="2940"/>
      <c r="C246" s="2940"/>
      <c r="D246" s="2941"/>
      <c r="E246" s="2942">
        <f t="shared" si="123"/>
        <v>0</v>
      </c>
      <c r="F246" s="2943"/>
      <c r="G246" s="2944">
        <f t="shared" si="124"/>
        <v>0</v>
      </c>
      <c r="H246" s="2945">
        <f t="shared" si="125"/>
        <v>0</v>
      </c>
      <c r="I246" s="2952"/>
      <c r="J246" s="2952"/>
      <c r="K246" s="2952"/>
      <c r="L246" s="2952"/>
      <c r="M246" s="2952"/>
      <c r="N246" s="2952"/>
      <c r="O246" s="2952"/>
      <c r="P246" s="2952"/>
      <c r="Q246" s="2952"/>
      <c r="R246" s="2952"/>
      <c r="S246" s="2952"/>
      <c r="T246" s="2952"/>
      <c r="U246" s="2952"/>
      <c r="V246" s="2952"/>
      <c r="W246" s="2952"/>
      <c r="X246" s="2952"/>
      <c r="Y246" s="2952"/>
      <c r="Z246" s="2952"/>
      <c r="AA246" s="2952"/>
      <c r="AB246" s="2952"/>
      <c r="AC246" s="2942">
        <f t="shared" si="126"/>
        <v>0</v>
      </c>
      <c r="AD246" s="2962"/>
      <c r="AE246" s="2962"/>
      <c r="AF246" s="2962"/>
      <c r="AG246" s="2962"/>
      <c r="AH246" s="2962"/>
      <c r="AI246" s="2962"/>
      <c r="AJ246" s="2962"/>
      <c r="AK246" s="2962"/>
      <c r="AL246" s="2962"/>
      <c r="AM246" s="2962"/>
      <c r="AN246" s="2962"/>
      <c r="AO246" s="2962"/>
      <c r="AP246" s="2962"/>
      <c r="AQ246" s="2962"/>
      <c r="AR246" s="2962"/>
      <c r="AS246" s="2962"/>
      <c r="AT246" s="2972"/>
      <c r="AU246" s="2973"/>
      <c r="AV246" s="1120">
        <f t="shared" si="127"/>
        <v>0</v>
      </c>
      <c r="AW246" s="1120">
        <f t="shared" si="128"/>
        <v>0</v>
      </c>
      <c r="AX246" s="1120">
        <f t="shared" si="129"/>
        <v>0</v>
      </c>
      <c r="AY246" s="2987">
        <f t="shared" si="130"/>
        <v>0</v>
      </c>
      <c r="AZ246" s="2942">
        <f t="shared" si="131"/>
        <v>0</v>
      </c>
      <c r="BA246" s="2942">
        <f t="shared" si="132"/>
        <v>0</v>
      </c>
      <c r="BB246" s="2942">
        <f t="shared" si="133"/>
        <v>0</v>
      </c>
      <c r="BC246" s="2942">
        <f t="shared" si="134"/>
        <v>0</v>
      </c>
      <c r="BD246" s="2942">
        <f t="shared" si="135"/>
        <v>0</v>
      </c>
      <c r="BE246" s="2942">
        <f t="shared" si="136"/>
        <v>0</v>
      </c>
      <c r="BF246" s="2942">
        <f t="shared" si="137"/>
        <v>0</v>
      </c>
      <c r="BG246" s="2942">
        <f t="shared" si="138"/>
        <v>0</v>
      </c>
      <c r="BH246" s="2942">
        <f t="shared" si="139"/>
        <v>0</v>
      </c>
      <c r="BI246" s="2942">
        <f t="shared" si="140"/>
        <v>0</v>
      </c>
      <c r="BJ246" s="2942">
        <f t="shared" si="141"/>
        <v>0</v>
      </c>
      <c r="BK246" s="2942">
        <f t="shared" si="142"/>
        <v>0</v>
      </c>
      <c r="BL246" s="2942">
        <f t="shared" si="143"/>
        <v>0</v>
      </c>
      <c r="BM246" s="2942">
        <f t="shared" si="144"/>
        <v>0</v>
      </c>
      <c r="BN246" s="2942">
        <f t="shared" si="145"/>
        <v>0</v>
      </c>
      <c r="BO246" s="2942">
        <f t="shared" si="146"/>
        <v>0</v>
      </c>
      <c r="BP246" s="2942">
        <f t="shared" si="147"/>
        <v>0</v>
      </c>
      <c r="BQ246" s="2942">
        <f t="shared" si="148"/>
        <v>0</v>
      </c>
      <c r="BR246" s="2942">
        <f t="shared" si="149"/>
        <v>0</v>
      </c>
      <c r="BS246" s="2942">
        <f t="shared" si="150"/>
        <v>0</v>
      </c>
      <c r="BT246" s="2994">
        <f t="shared" si="151"/>
        <v>0</v>
      </c>
    </row>
    <row r="247" spans="1:72">
      <c r="A247" s="2939"/>
      <c r="B247" s="2940"/>
      <c r="C247" s="2940"/>
      <c r="D247" s="2941"/>
      <c r="E247" s="2942">
        <f t="shared" si="123"/>
        <v>0</v>
      </c>
      <c r="F247" s="2943"/>
      <c r="G247" s="2944">
        <f t="shared" si="124"/>
        <v>0</v>
      </c>
      <c r="H247" s="2945">
        <f t="shared" si="125"/>
        <v>0</v>
      </c>
      <c r="I247" s="2952"/>
      <c r="J247" s="2952"/>
      <c r="K247" s="2952"/>
      <c r="L247" s="2952"/>
      <c r="M247" s="2952"/>
      <c r="N247" s="2952"/>
      <c r="O247" s="2952"/>
      <c r="P247" s="2952"/>
      <c r="Q247" s="2952"/>
      <c r="R247" s="2952"/>
      <c r="S247" s="2952"/>
      <c r="T247" s="2952"/>
      <c r="U247" s="2952"/>
      <c r="V247" s="2952"/>
      <c r="W247" s="2952"/>
      <c r="X247" s="2952"/>
      <c r="Y247" s="2952"/>
      <c r="Z247" s="2952"/>
      <c r="AA247" s="2952"/>
      <c r="AB247" s="2952"/>
      <c r="AC247" s="2942">
        <f t="shared" si="126"/>
        <v>0</v>
      </c>
      <c r="AD247" s="2962"/>
      <c r="AE247" s="2962"/>
      <c r="AF247" s="2962"/>
      <c r="AG247" s="2962"/>
      <c r="AH247" s="2962"/>
      <c r="AI247" s="2962"/>
      <c r="AJ247" s="2962"/>
      <c r="AK247" s="2962"/>
      <c r="AL247" s="2962"/>
      <c r="AM247" s="2962"/>
      <c r="AN247" s="2962"/>
      <c r="AO247" s="2962"/>
      <c r="AP247" s="2962"/>
      <c r="AQ247" s="2962"/>
      <c r="AR247" s="2962"/>
      <c r="AS247" s="2962"/>
      <c r="AT247" s="2972"/>
      <c r="AU247" s="2973"/>
      <c r="AV247" s="1120">
        <f t="shared" si="127"/>
        <v>0</v>
      </c>
      <c r="AW247" s="1120">
        <f t="shared" si="128"/>
        <v>0</v>
      </c>
      <c r="AX247" s="1120">
        <f t="shared" si="129"/>
        <v>0</v>
      </c>
      <c r="AY247" s="2987">
        <f t="shared" si="130"/>
        <v>0</v>
      </c>
      <c r="AZ247" s="2942">
        <f t="shared" si="131"/>
        <v>0</v>
      </c>
      <c r="BA247" s="2942">
        <f t="shared" si="132"/>
        <v>0</v>
      </c>
      <c r="BB247" s="2942">
        <f t="shared" si="133"/>
        <v>0</v>
      </c>
      <c r="BC247" s="2942">
        <f t="shared" si="134"/>
        <v>0</v>
      </c>
      <c r="BD247" s="2942">
        <f t="shared" si="135"/>
        <v>0</v>
      </c>
      <c r="BE247" s="2942">
        <f t="shared" si="136"/>
        <v>0</v>
      </c>
      <c r="BF247" s="2942">
        <f t="shared" si="137"/>
        <v>0</v>
      </c>
      <c r="BG247" s="2942">
        <f t="shared" si="138"/>
        <v>0</v>
      </c>
      <c r="BH247" s="2942">
        <f t="shared" si="139"/>
        <v>0</v>
      </c>
      <c r="BI247" s="2942">
        <f t="shared" si="140"/>
        <v>0</v>
      </c>
      <c r="BJ247" s="2942">
        <f t="shared" si="141"/>
        <v>0</v>
      </c>
      <c r="BK247" s="2942">
        <f t="shared" si="142"/>
        <v>0</v>
      </c>
      <c r="BL247" s="2942">
        <f t="shared" si="143"/>
        <v>0</v>
      </c>
      <c r="BM247" s="2942">
        <f t="shared" si="144"/>
        <v>0</v>
      </c>
      <c r="BN247" s="2942">
        <f t="shared" si="145"/>
        <v>0</v>
      </c>
      <c r="BO247" s="2942">
        <f t="shared" si="146"/>
        <v>0</v>
      </c>
      <c r="BP247" s="2942">
        <f t="shared" si="147"/>
        <v>0</v>
      </c>
      <c r="BQ247" s="2942">
        <f t="shared" si="148"/>
        <v>0</v>
      </c>
      <c r="BR247" s="2942">
        <f t="shared" si="149"/>
        <v>0</v>
      </c>
      <c r="BS247" s="2942">
        <f t="shared" si="150"/>
        <v>0</v>
      </c>
      <c r="BT247" s="2994">
        <f t="shared" si="151"/>
        <v>0</v>
      </c>
    </row>
    <row r="248" spans="1:72">
      <c r="A248" s="2939"/>
      <c r="B248" s="2940"/>
      <c r="C248" s="2940"/>
      <c r="D248" s="2941"/>
      <c r="E248" s="2942">
        <f t="shared" si="123"/>
        <v>0</v>
      </c>
      <c r="F248" s="2943"/>
      <c r="G248" s="2944">
        <f t="shared" si="124"/>
        <v>0</v>
      </c>
      <c r="H248" s="2945">
        <f t="shared" si="125"/>
        <v>0</v>
      </c>
      <c r="I248" s="2952"/>
      <c r="J248" s="2952"/>
      <c r="K248" s="2952"/>
      <c r="L248" s="2952"/>
      <c r="M248" s="2952"/>
      <c r="N248" s="2952"/>
      <c r="O248" s="2952"/>
      <c r="P248" s="2952"/>
      <c r="Q248" s="2952"/>
      <c r="R248" s="2952"/>
      <c r="S248" s="2952"/>
      <c r="T248" s="2952"/>
      <c r="U248" s="2952"/>
      <c r="V248" s="2952"/>
      <c r="W248" s="2952"/>
      <c r="X248" s="2952"/>
      <c r="Y248" s="2952"/>
      <c r="Z248" s="2952"/>
      <c r="AA248" s="2952"/>
      <c r="AB248" s="2952"/>
      <c r="AC248" s="2942">
        <f t="shared" si="126"/>
        <v>0</v>
      </c>
      <c r="AD248" s="2962"/>
      <c r="AE248" s="2962"/>
      <c r="AF248" s="2962"/>
      <c r="AG248" s="2962"/>
      <c r="AH248" s="2962"/>
      <c r="AI248" s="2962"/>
      <c r="AJ248" s="2962"/>
      <c r="AK248" s="2962"/>
      <c r="AL248" s="2962"/>
      <c r="AM248" s="2962"/>
      <c r="AN248" s="2962"/>
      <c r="AO248" s="2962"/>
      <c r="AP248" s="2962"/>
      <c r="AQ248" s="2962"/>
      <c r="AR248" s="2962"/>
      <c r="AS248" s="2962"/>
      <c r="AT248" s="2972"/>
      <c r="AU248" s="2973"/>
      <c r="AV248" s="1120">
        <f t="shared" si="127"/>
        <v>0</v>
      </c>
      <c r="AW248" s="1120">
        <f t="shared" si="128"/>
        <v>0</v>
      </c>
      <c r="AX248" s="1120">
        <f t="shared" si="129"/>
        <v>0</v>
      </c>
      <c r="AY248" s="2987">
        <f t="shared" si="130"/>
        <v>0</v>
      </c>
      <c r="AZ248" s="2942">
        <f t="shared" si="131"/>
        <v>0</v>
      </c>
      <c r="BA248" s="2942">
        <f t="shared" si="132"/>
        <v>0</v>
      </c>
      <c r="BB248" s="2942">
        <f t="shared" si="133"/>
        <v>0</v>
      </c>
      <c r="BC248" s="2942">
        <f t="shared" si="134"/>
        <v>0</v>
      </c>
      <c r="BD248" s="2942">
        <f t="shared" si="135"/>
        <v>0</v>
      </c>
      <c r="BE248" s="2942">
        <f t="shared" si="136"/>
        <v>0</v>
      </c>
      <c r="BF248" s="2942">
        <f t="shared" si="137"/>
        <v>0</v>
      </c>
      <c r="BG248" s="2942">
        <f t="shared" si="138"/>
        <v>0</v>
      </c>
      <c r="BH248" s="2942">
        <f t="shared" si="139"/>
        <v>0</v>
      </c>
      <c r="BI248" s="2942">
        <f t="shared" si="140"/>
        <v>0</v>
      </c>
      <c r="BJ248" s="2942">
        <f t="shared" si="141"/>
        <v>0</v>
      </c>
      <c r="BK248" s="2942">
        <f t="shared" si="142"/>
        <v>0</v>
      </c>
      <c r="BL248" s="2942">
        <f t="shared" si="143"/>
        <v>0</v>
      </c>
      <c r="BM248" s="2942">
        <f t="shared" si="144"/>
        <v>0</v>
      </c>
      <c r="BN248" s="2942">
        <f t="shared" si="145"/>
        <v>0</v>
      </c>
      <c r="BO248" s="2942">
        <f t="shared" si="146"/>
        <v>0</v>
      </c>
      <c r="BP248" s="2942">
        <f t="shared" si="147"/>
        <v>0</v>
      </c>
      <c r="BQ248" s="2942">
        <f t="shared" si="148"/>
        <v>0</v>
      </c>
      <c r="BR248" s="2942">
        <f t="shared" si="149"/>
        <v>0</v>
      </c>
      <c r="BS248" s="2942">
        <f t="shared" si="150"/>
        <v>0</v>
      </c>
      <c r="BT248" s="2994">
        <f t="shared" si="151"/>
        <v>0</v>
      </c>
    </row>
    <row r="249" spans="1:72">
      <c r="A249" s="2939"/>
      <c r="B249" s="2940"/>
      <c r="C249" s="2940"/>
      <c r="D249" s="2941"/>
      <c r="E249" s="2942">
        <f t="shared" si="123"/>
        <v>0</v>
      </c>
      <c r="F249" s="2943"/>
      <c r="G249" s="2944">
        <f t="shared" si="124"/>
        <v>0</v>
      </c>
      <c r="H249" s="2945">
        <f t="shared" si="125"/>
        <v>0</v>
      </c>
      <c r="I249" s="2952"/>
      <c r="J249" s="2952"/>
      <c r="K249" s="2952"/>
      <c r="L249" s="2952"/>
      <c r="M249" s="2952"/>
      <c r="N249" s="2952"/>
      <c r="O249" s="2952"/>
      <c r="P249" s="2952"/>
      <c r="Q249" s="2952"/>
      <c r="R249" s="2952"/>
      <c r="S249" s="2952"/>
      <c r="T249" s="2952"/>
      <c r="U249" s="2952"/>
      <c r="V249" s="2952"/>
      <c r="W249" s="2952"/>
      <c r="X249" s="2952"/>
      <c r="Y249" s="2952"/>
      <c r="Z249" s="2952"/>
      <c r="AA249" s="2952"/>
      <c r="AB249" s="2952"/>
      <c r="AC249" s="2942">
        <f t="shared" si="126"/>
        <v>0</v>
      </c>
      <c r="AD249" s="2962"/>
      <c r="AE249" s="2962"/>
      <c r="AF249" s="2962"/>
      <c r="AG249" s="2962"/>
      <c r="AH249" s="2962"/>
      <c r="AI249" s="2962"/>
      <c r="AJ249" s="2962"/>
      <c r="AK249" s="2962"/>
      <c r="AL249" s="2962"/>
      <c r="AM249" s="2962"/>
      <c r="AN249" s="2962"/>
      <c r="AO249" s="2962"/>
      <c r="AP249" s="2962"/>
      <c r="AQ249" s="2962"/>
      <c r="AR249" s="2962"/>
      <c r="AS249" s="2962"/>
      <c r="AT249" s="2972"/>
      <c r="AU249" s="2973"/>
      <c r="AV249" s="1120">
        <f t="shared" si="127"/>
        <v>0</v>
      </c>
      <c r="AW249" s="1120">
        <f t="shared" si="128"/>
        <v>0</v>
      </c>
      <c r="AX249" s="1120">
        <f t="shared" si="129"/>
        <v>0</v>
      </c>
      <c r="AY249" s="2987">
        <f t="shared" si="130"/>
        <v>0</v>
      </c>
      <c r="AZ249" s="2942">
        <f t="shared" si="131"/>
        <v>0</v>
      </c>
      <c r="BA249" s="2942">
        <f t="shared" si="132"/>
        <v>0</v>
      </c>
      <c r="BB249" s="2942">
        <f t="shared" si="133"/>
        <v>0</v>
      </c>
      <c r="BC249" s="2942">
        <f t="shared" si="134"/>
        <v>0</v>
      </c>
      <c r="BD249" s="2942">
        <f t="shared" si="135"/>
        <v>0</v>
      </c>
      <c r="BE249" s="2942">
        <f t="shared" si="136"/>
        <v>0</v>
      </c>
      <c r="BF249" s="2942">
        <f t="shared" si="137"/>
        <v>0</v>
      </c>
      <c r="BG249" s="2942">
        <f t="shared" si="138"/>
        <v>0</v>
      </c>
      <c r="BH249" s="2942">
        <f t="shared" si="139"/>
        <v>0</v>
      </c>
      <c r="BI249" s="2942">
        <f t="shared" si="140"/>
        <v>0</v>
      </c>
      <c r="BJ249" s="2942">
        <f t="shared" si="141"/>
        <v>0</v>
      </c>
      <c r="BK249" s="2942">
        <f t="shared" si="142"/>
        <v>0</v>
      </c>
      <c r="BL249" s="2942">
        <f t="shared" si="143"/>
        <v>0</v>
      </c>
      <c r="BM249" s="2942">
        <f t="shared" si="144"/>
        <v>0</v>
      </c>
      <c r="BN249" s="2942">
        <f t="shared" si="145"/>
        <v>0</v>
      </c>
      <c r="BO249" s="2942">
        <f t="shared" si="146"/>
        <v>0</v>
      </c>
      <c r="BP249" s="2942">
        <f t="shared" si="147"/>
        <v>0</v>
      </c>
      <c r="BQ249" s="2942">
        <f t="shared" si="148"/>
        <v>0</v>
      </c>
      <c r="BR249" s="2942">
        <f t="shared" si="149"/>
        <v>0</v>
      </c>
      <c r="BS249" s="2942">
        <f t="shared" si="150"/>
        <v>0</v>
      </c>
      <c r="BT249" s="2994">
        <f t="shared" si="151"/>
        <v>0</v>
      </c>
    </row>
    <row r="250" spans="1:72">
      <c r="A250" s="2939"/>
      <c r="B250" s="2940"/>
      <c r="C250" s="2940"/>
      <c r="D250" s="2941"/>
      <c r="E250" s="2942">
        <f t="shared" si="123"/>
        <v>0</v>
      </c>
      <c r="F250" s="2943"/>
      <c r="G250" s="2944">
        <f t="shared" si="124"/>
        <v>0</v>
      </c>
      <c r="H250" s="2945">
        <f t="shared" si="125"/>
        <v>0</v>
      </c>
      <c r="I250" s="2952"/>
      <c r="J250" s="2952"/>
      <c r="K250" s="2952"/>
      <c r="L250" s="2952"/>
      <c r="M250" s="2952"/>
      <c r="N250" s="2952"/>
      <c r="O250" s="2952"/>
      <c r="P250" s="2952"/>
      <c r="Q250" s="2952"/>
      <c r="R250" s="2952"/>
      <c r="S250" s="2952"/>
      <c r="T250" s="2952"/>
      <c r="U250" s="2952"/>
      <c r="V250" s="2952"/>
      <c r="W250" s="2952"/>
      <c r="X250" s="2952"/>
      <c r="Y250" s="2952"/>
      <c r="Z250" s="2952"/>
      <c r="AA250" s="2952"/>
      <c r="AB250" s="2952"/>
      <c r="AC250" s="2942">
        <f t="shared" si="126"/>
        <v>0</v>
      </c>
      <c r="AD250" s="2962"/>
      <c r="AE250" s="2962"/>
      <c r="AF250" s="2962"/>
      <c r="AG250" s="2962"/>
      <c r="AH250" s="2962"/>
      <c r="AI250" s="2962"/>
      <c r="AJ250" s="2962"/>
      <c r="AK250" s="2962"/>
      <c r="AL250" s="2962"/>
      <c r="AM250" s="2962"/>
      <c r="AN250" s="2962"/>
      <c r="AO250" s="2962"/>
      <c r="AP250" s="2962"/>
      <c r="AQ250" s="2962"/>
      <c r="AR250" s="2962"/>
      <c r="AS250" s="2962"/>
      <c r="AT250" s="2972"/>
      <c r="AU250" s="2973"/>
      <c r="AV250" s="1120">
        <f t="shared" si="127"/>
        <v>0</v>
      </c>
      <c r="AW250" s="1120">
        <f t="shared" si="128"/>
        <v>0</v>
      </c>
      <c r="AX250" s="1120">
        <f t="shared" si="129"/>
        <v>0</v>
      </c>
      <c r="AY250" s="2987">
        <f t="shared" si="130"/>
        <v>0</v>
      </c>
      <c r="AZ250" s="2942">
        <f t="shared" si="131"/>
        <v>0</v>
      </c>
      <c r="BA250" s="2942">
        <f t="shared" si="132"/>
        <v>0</v>
      </c>
      <c r="BB250" s="2942">
        <f t="shared" si="133"/>
        <v>0</v>
      </c>
      <c r="BC250" s="2942">
        <f t="shared" si="134"/>
        <v>0</v>
      </c>
      <c r="BD250" s="2942">
        <f t="shared" si="135"/>
        <v>0</v>
      </c>
      <c r="BE250" s="2942">
        <f t="shared" si="136"/>
        <v>0</v>
      </c>
      <c r="BF250" s="2942">
        <f t="shared" si="137"/>
        <v>0</v>
      </c>
      <c r="BG250" s="2942">
        <f t="shared" si="138"/>
        <v>0</v>
      </c>
      <c r="BH250" s="2942">
        <f t="shared" si="139"/>
        <v>0</v>
      </c>
      <c r="BI250" s="2942">
        <f t="shared" si="140"/>
        <v>0</v>
      </c>
      <c r="BJ250" s="2942">
        <f t="shared" si="141"/>
        <v>0</v>
      </c>
      <c r="BK250" s="2942">
        <f t="shared" si="142"/>
        <v>0</v>
      </c>
      <c r="BL250" s="2942">
        <f t="shared" si="143"/>
        <v>0</v>
      </c>
      <c r="BM250" s="2942">
        <f t="shared" si="144"/>
        <v>0</v>
      </c>
      <c r="BN250" s="2942">
        <f t="shared" si="145"/>
        <v>0</v>
      </c>
      <c r="BO250" s="2942">
        <f t="shared" si="146"/>
        <v>0</v>
      </c>
      <c r="BP250" s="2942">
        <f t="shared" si="147"/>
        <v>0</v>
      </c>
      <c r="BQ250" s="2942">
        <f t="shared" si="148"/>
        <v>0</v>
      </c>
      <c r="BR250" s="2942">
        <f t="shared" si="149"/>
        <v>0</v>
      </c>
      <c r="BS250" s="2942">
        <f t="shared" si="150"/>
        <v>0</v>
      </c>
      <c r="BT250" s="2994">
        <f t="shared" si="151"/>
        <v>0</v>
      </c>
    </row>
    <row r="251" spans="1:72">
      <c r="A251" s="2939"/>
      <c r="B251" s="2940"/>
      <c r="C251" s="2940"/>
      <c r="D251" s="2941"/>
      <c r="E251" s="2942">
        <f t="shared" si="123"/>
        <v>0</v>
      </c>
      <c r="F251" s="2943"/>
      <c r="G251" s="2944">
        <f t="shared" si="124"/>
        <v>0</v>
      </c>
      <c r="H251" s="2945">
        <f t="shared" si="125"/>
        <v>0</v>
      </c>
      <c r="I251" s="2952"/>
      <c r="J251" s="2952"/>
      <c r="K251" s="2952"/>
      <c r="L251" s="2952"/>
      <c r="M251" s="2952"/>
      <c r="N251" s="2952"/>
      <c r="O251" s="2952"/>
      <c r="P251" s="2952"/>
      <c r="Q251" s="2952"/>
      <c r="R251" s="2952"/>
      <c r="S251" s="2952"/>
      <c r="T251" s="2952"/>
      <c r="U251" s="2952"/>
      <c r="V251" s="2952"/>
      <c r="W251" s="2952"/>
      <c r="X251" s="2952"/>
      <c r="Y251" s="2952"/>
      <c r="Z251" s="2952"/>
      <c r="AA251" s="2952"/>
      <c r="AB251" s="2952"/>
      <c r="AC251" s="2942">
        <f t="shared" si="126"/>
        <v>0</v>
      </c>
      <c r="AD251" s="2962"/>
      <c r="AE251" s="2962"/>
      <c r="AF251" s="2962"/>
      <c r="AG251" s="2962"/>
      <c r="AH251" s="2962"/>
      <c r="AI251" s="2962"/>
      <c r="AJ251" s="2962"/>
      <c r="AK251" s="2962"/>
      <c r="AL251" s="2962"/>
      <c r="AM251" s="2962"/>
      <c r="AN251" s="2962"/>
      <c r="AO251" s="2962"/>
      <c r="AP251" s="2962"/>
      <c r="AQ251" s="2962"/>
      <c r="AR251" s="2962"/>
      <c r="AS251" s="2962"/>
      <c r="AT251" s="2972"/>
      <c r="AU251" s="2973"/>
      <c r="AV251" s="1120">
        <f t="shared" si="127"/>
        <v>0</v>
      </c>
      <c r="AW251" s="1120">
        <f t="shared" si="128"/>
        <v>0</v>
      </c>
      <c r="AX251" s="1120">
        <f t="shared" si="129"/>
        <v>0</v>
      </c>
      <c r="AY251" s="2987">
        <f t="shared" si="130"/>
        <v>0</v>
      </c>
      <c r="AZ251" s="2942">
        <f t="shared" si="131"/>
        <v>0</v>
      </c>
      <c r="BA251" s="2942">
        <f t="shared" si="132"/>
        <v>0</v>
      </c>
      <c r="BB251" s="2942">
        <f t="shared" si="133"/>
        <v>0</v>
      </c>
      <c r="BC251" s="2942">
        <f t="shared" si="134"/>
        <v>0</v>
      </c>
      <c r="BD251" s="2942">
        <f t="shared" si="135"/>
        <v>0</v>
      </c>
      <c r="BE251" s="2942">
        <f t="shared" si="136"/>
        <v>0</v>
      </c>
      <c r="BF251" s="2942">
        <f t="shared" si="137"/>
        <v>0</v>
      </c>
      <c r="BG251" s="2942">
        <f t="shared" si="138"/>
        <v>0</v>
      </c>
      <c r="BH251" s="2942">
        <f t="shared" si="139"/>
        <v>0</v>
      </c>
      <c r="BI251" s="2942">
        <f t="shared" si="140"/>
        <v>0</v>
      </c>
      <c r="BJ251" s="2942">
        <f t="shared" si="141"/>
        <v>0</v>
      </c>
      <c r="BK251" s="2942">
        <f t="shared" si="142"/>
        <v>0</v>
      </c>
      <c r="BL251" s="2942">
        <f t="shared" si="143"/>
        <v>0</v>
      </c>
      <c r="BM251" s="2942">
        <f t="shared" si="144"/>
        <v>0</v>
      </c>
      <c r="BN251" s="2942">
        <f t="shared" si="145"/>
        <v>0</v>
      </c>
      <c r="BO251" s="2942">
        <f t="shared" si="146"/>
        <v>0</v>
      </c>
      <c r="BP251" s="2942">
        <f t="shared" si="147"/>
        <v>0</v>
      </c>
      <c r="BQ251" s="2942">
        <f t="shared" si="148"/>
        <v>0</v>
      </c>
      <c r="BR251" s="2942">
        <f t="shared" si="149"/>
        <v>0</v>
      </c>
      <c r="BS251" s="2942">
        <f t="shared" si="150"/>
        <v>0</v>
      </c>
      <c r="BT251" s="2994">
        <f t="shared" si="151"/>
        <v>0</v>
      </c>
    </row>
    <row r="252" spans="1:72">
      <c r="A252" s="2939"/>
      <c r="B252" s="2940"/>
      <c r="C252" s="2940"/>
      <c r="D252" s="2941"/>
      <c r="E252" s="2942">
        <f t="shared" si="123"/>
        <v>0</v>
      </c>
      <c r="F252" s="2943"/>
      <c r="G252" s="2944">
        <f t="shared" si="124"/>
        <v>0</v>
      </c>
      <c r="H252" s="2945">
        <f t="shared" si="125"/>
        <v>0</v>
      </c>
      <c r="I252" s="2952"/>
      <c r="J252" s="2952"/>
      <c r="K252" s="2952"/>
      <c r="L252" s="2952"/>
      <c r="M252" s="2952"/>
      <c r="N252" s="2952"/>
      <c r="O252" s="2952"/>
      <c r="P252" s="2952"/>
      <c r="Q252" s="2952"/>
      <c r="R252" s="2952"/>
      <c r="S252" s="2952"/>
      <c r="T252" s="2952"/>
      <c r="U252" s="2952"/>
      <c r="V252" s="2952"/>
      <c r="W252" s="2952"/>
      <c r="X252" s="2952"/>
      <c r="Y252" s="2952"/>
      <c r="Z252" s="2952"/>
      <c r="AA252" s="2952"/>
      <c r="AB252" s="2952"/>
      <c r="AC252" s="2942">
        <f t="shared" si="126"/>
        <v>0</v>
      </c>
      <c r="AD252" s="2962"/>
      <c r="AE252" s="2962"/>
      <c r="AF252" s="2962"/>
      <c r="AG252" s="2962"/>
      <c r="AH252" s="2962"/>
      <c r="AI252" s="2962"/>
      <c r="AJ252" s="2962"/>
      <c r="AK252" s="2962"/>
      <c r="AL252" s="2962"/>
      <c r="AM252" s="2962"/>
      <c r="AN252" s="2962"/>
      <c r="AO252" s="2962"/>
      <c r="AP252" s="2962"/>
      <c r="AQ252" s="2962"/>
      <c r="AR252" s="2962"/>
      <c r="AS252" s="2962"/>
      <c r="AT252" s="2972"/>
      <c r="AU252" s="2973"/>
      <c r="AV252" s="1120">
        <f t="shared" si="127"/>
        <v>0</v>
      </c>
      <c r="AW252" s="1120">
        <f t="shared" si="128"/>
        <v>0</v>
      </c>
      <c r="AX252" s="1120">
        <f t="shared" si="129"/>
        <v>0</v>
      </c>
      <c r="AY252" s="2987">
        <f t="shared" si="130"/>
        <v>0</v>
      </c>
      <c r="AZ252" s="2942">
        <f t="shared" si="131"/>
        <v>0</v>
      </c>
      <c r="BA252" s="2942">
        <f t="shared" si="132"/>
        <v>0</v>
      </c>
      <c r="BB252" s="2942">
        <f t="shared" si="133"/>
        <v>0</v>
      </c>
      <c r="BC252" s="2942">
        <f t="shared" si="134"/>
        <v>0</v>
      </c>
      <c r="BD252" s="2942">
        <f t="shared" si="135"/>
        <v>0</v>
      </c>
      <c r="BE252" s="2942">
        <f t="shared" si="136"/>
        <v>0</v>
      </c>
      <c r="BF252" s="2942">
        <f t="shared" si="137"/>
        <v>0</v>
      </c>
      <c r="BG252" s="2942">
        <f t="shared" si="138"/>
        <v>0</v>
      </c>
      <c r="BH252" s="2942">
        <f t="shared" si="139"/>
        <v>0</v>
      </c>
      <c r="BI252" s="2942">
        <f t="shared" si="140"/>
        <v>0</v>
      </c>
      <c r="BJ252" s="2942">
        <f t="shared" si="141"/>
        <v>0</v>
      </c>
      <c r="BK252" s="2942">
        <f t="shared" si="142"/>
        <v>0</v>
      </c>
      <c r="BL252" s="2942">
        <f t="shared" si="143"/>
        <v>0</v>
      </c>
      <c r="BM252" s="2942">
        <f t="shared" si="144"/>
        <v>0</v>
      </c>
      <c r="BN252" s="2942">
        <f t="shared" si="145"/>
        <v>0</v>
      </c>
      <c r="BO252" s="2942">
        <f t="shared" si="146"/>
        <v>0</v>
      </c>
      <c r="BP252" s="2942">
        <f t="shared" si="147"/>
        <v>0</v>
      </c>
      <c r="BQ252" s="2942">
        <f t="shared" si="148"/>
        <v>0</v>
      </c>
      <c r="BR252" s="2942">
        <f t="shared" si="149"/>
        <v>0</v>
      </c>
      <c r="BS252" s="2942">
        <f t="shared" si="150"/>
        <v>0</v>
      </c>
      <c r="BT252" s="2994">
        <f t="shared" si="151"/>
        <v>0</v>
      </c>
    </row>
    <row r="253" spans="1:72">
      <c r="A253" s="2939"/>
      <c r="B253" s="2940"/>
      <c r="C253" s="2940"/>
      <c r="D253" s="2941"/>
      <c r="E253" s="2942">
        <f t="shared" si="123"/>
        <v>0</v>
      </c>
      <c r="F253" s="2943"/>
      <c r="G253" s="2944">
        <f t="shared" si="124"/>
        <v>0</v>
      </c>
      <c r="H253" s="2945">
        <f t="shared" si="125"/>
        <v>0</v>
      </c>
      <c r="I253" s="2952"/>
      <c r="J253" s="2952"/>
      <c r="K253" s="2952"/>
      <c r="L253" s="2952"/>
      <c r="M253" s="2952"/>
      <c r="N253" s="2952"/>
      <c r="O253" s="2952"/>
      <c r="P253" s="2952"/>
      <c r="Q253" s="2952"/>
      <c r="R253" s="2952"/>
      <c r="S253" s="2952"/>
      <c r="T253" s="2952"/>
      <c r="U253" s="2952"/>
      <c r="V253" s="2952"/>
      <c r="W253" s="2952"/>
      <c r="X253" s="2952"/>
      <c r="Y253" s="2952"/>
      <c r="Z253" s="2952"/>
      <c r="AA253" s="2952"/>
      <c r="AB253" s="2952"/>
      <c r="AC253" s="2942">
        <f t="shared" si="126"/>
        <v>0</v>
      </c>
      <c r="AD253" s="2962"/>
      <c r="AE253" s="2962"/>
      <c r="AF253" s="2962"/>
      <c r="AG253" s="2962"/>
      <c r="AH253" s="2962"/>
      <c r="AI253" s="2962"/>
      <c r="AJ253" s="2962"/>
      <c r="AK253" s="2962"/>
      <c r="AL253" s="2962"/>
      <c r="AM253" s="2962"/>
      <c r="AN253" s="2962"/>
      <c r="AO253" s="2962"/>
      <c r="AP253" s="2962"/>
      <c r="AQ253" s="2962"/>
      <c r="AR253" s="2962"/>
      <c r="AS253" s="2962"/>
      <c r="AT253" s="2972"/>
      <c r="AU253" s="2973"/>
      <c r="AV253" s="1120">
        <f t="shared" si="127"/>
        <v>0</v>
      </c>
      <c r="AW253" s="1120">
        <f t="shared" si="128"/>
        <v>0</v>
      </c>
      <c r="AX253" s="1120">
        <f t="shared" si="129"/>
        <v>0</v>
      </c>
      <c r="AY253" s="2987">
        <f t="shared" si="130"/>
        <v>0</v>
      </c>
      <c r="AZ253" s="2942">
        <f t="shared" si="131"/>
        <v>0</v>
      </c>
      <c r="BA253" s="2942">
        <f t="shared" si="132"/>
        <v>0</v>
      </c>
      <c r="BB253" s="2942">
        <f t="shared" si="133"/>
        <v>0</v>
      </c>
      <c r="BC253" s="2942">
        <f t="shared" si="134"/>
        <v>0</v>
      </c>
      <c r="BD253" s="2942">
        <f t="shared" si="135"/>
        <v>0</v>
      </c>
      <c r="BE253" s="2942">
        <f t="shared" si="136"/>
        <v>0</v>
      </c>
      <c r="BF253" s="2942">
        <f t="shared" si="137"/>
        <v>0</v>
      </c>
      <c r="BG253" s="2942">
        <f t="shared" si="138"/>
        <v>0</v>
      </c>
      <c r="BH253" s="2942">
        <f t="shared" si="139"/>
        <v>0</v>
      </c>
      <c r="BI253" s="2942">
        <f t="shared" si="140"/>
        <v>0</v>
      </c>
      <c r="BJ253" s="2942">
        <f t="shared" si="141"/>
        <v>0</v>
      </c>
      <c r="BK253" s="2942">
        <f t="shared" si="142"/>
        <v>0</v>
      </c>
      <c r="BL253" s="2942">
        <f t="shared" si="143"/>
        <v>0</v>
      </c>
      <c r="BM253" s="2942">
        <f t="shared" si="144"/>
        <v>0</v>
      </c>
      <c r="BN253" s="2942">
        <f t="shared" si="145"/>
        <v>0</v>
      </c>
      <c r="BO253" s="2942">
        <f t="shared" si="146"/>
        <v>0</v>
      </c>
      <c r="BP253" s="2942">
        <f t="shared" si="147"/>
        <v>0</v>
      </c>
      <c r="BQ253" s="2942">
        <f t="shared" si="148"/>
        <v>0</v>
      </c>
      <c r="BR253" s="2942">
        <f t="shared" si="149"/>
        <v>0</v>
      </c>
      <c r="BS253" s="2942">
        <f t="shared" si="150"/>
        <v>0</v>
      </c>
      <c r="BT253" s="2994">
        <f t="shared" si="151"/>
        <v>0</v>
      </c>
    </row>
    <row r="254" spans="1:72">
      <c r="A254" s="2939"/>
      <c r="B254" s="2940"/>
      <c r="C254" s="2940"/>
      <c r="D254" s="2941"/>
      <c r="E254" s="2942">
        <f t="shared" si="123"/>
        <v>0</v>
      </c>
      <c r="F254" s="2943"/>
      <c r="G254" s="2944">
        <f t="shared" si="124"/>
        <v>0</v>
      </c>
      <c r="H254" s="2945">
        <f t="shared" si="125"/>
        <v>0</v>
      </c>
      <c r="I254" s="2952"/>
      <c r="J254" s="2952"/>
      <c r="K254" s="2952"/>
      <c r="L254" s="2952"/>
      <c r="M254" s="2952"/>
      <c r="N254" s="2952"/>
      <c r="O254" s="2952"/>
      <c r="P254" s="2952"/>
      <c r="Q254" s="2952"/>
      <c r="R254" s="2952"/>
      <c r="S254" s="2952"/>
      <c r="T254" s="2952"/>
      <c r="U254" s="2952"/>
      <c r="V254" s="2952"/>
      <c r="W254" s="2952"/>
      <c r="X254" s="2952"/>
      <c r="Y254" s="2952"/>
      <c r="Z254" s="2952"/>
      <c r="AA254" s="2952"/>
      <c r="AB254" s="2952"/>
      <c r="AC254" s="2942">
        <f t="shared" si="126"/>
        <v>0</v>
      </c>
      <c r="AD254" s="2962"/>
      <c r="AE254" s="2962"/>
      <c r="AF254" s="2962"/>
      <c r="AG254" s="2962"/>
      <c r="AH254" s="2962"/>
      <c r="AI254" s="2962"/>
      <c r="AJ254" s="2962"/>
      <c r="AK254" s="2962"/>
      <c r="AL254" s="2962"/>
      <c r="AM254" s="2962"/>
      <c r="AN254" s="2962"/>
      <c r="AO254" s="2962"/>
      <c r="AP254" s="2962"/>
      <c r="AQ254" s="2962"/>
      <c r="AR254" s="2962"/>
      <c r="AS254" s="2962"/>
      <c r="AT254" s="2972"/>
      <c r="AU254" s="2973"/>
      <c r="AV254" s="1120">
        <f t="shared" si="127"/>
        <v>0</v>
      </c>
      <c r="AW254" s="1120">
        <f t="shared" si="128"/>
        <v>0</v>
      </c>
      <c r="AX254" s="1120">
        <f t="shared" si="129"/>
        <v>0</v>
      </c>
      <c r="AY254" s="2987">
        <f t="shared" si="130"/>
        <v>0</v>
      </c>
      <c r="AZ254" s="2942">
        <f t="shared" si="131"/>
        <v>0</v>
      </c>
      <c r="BA254" s="2942">
        <f t="shared" si="132"/>
        <v>0</v>
      </c>
      <c r="BB254" s="2942">
        <f t="shared" si="133"/>
        <v>0</v>
      </c>
      <c r="BC254" s="2942">
        <f t="shared" si="134"/>
        <v>0</v>
      </c>
      <c r="BD254" s="2942">
        <f t="shared" si="135"/>
        <v>0</v>
      </c>
      <c r="BE254" s="2942">
        <f t="shared" si="136"/>
        <v>0</v>
      </c>
      <c r="BF254" s="2942">
        <f t="shared" si="137"/>
        <v>0</v>
      </c>
      <c r="BG254" s="2942">
        <f t="shared" si="138"/>
        <v>0</v>
      </c>
      <c r="BH254" s="2942">
        <f t="shared" si="139"/>
        <v>0</v>
      </c>
      <c r="BI254" s="2942">
        <f t="shared" si="140"/>
        <v>0</v>
      </c>
      <c r="BJ254" s="2942">
        <f t="shared" si="141"/>
        <v>0</v>
      </c>
      <c r="BK254" s="2942">
        <f t="shared" si="142"/>
        <v>0</v>
      </c>
      <c r="BL254" s="2942">
        <f t="shared" si="143"/>
        <v>0</v>
      </c>
      <c r="BM254" s="2942">
        <f t="shared" si="144"/>
        <v>0</v>
      </c>
      <c r="BN254" s="2942">
        <f t="shared" si="145"/>
        <v>0</v>
      </c>
      <c r="BO254" s="2942">
        <f t="shared" si="146"/>
        <v>0</v>
      </c>
      <c r="BP254" s="2942">
        <f t="shared" si="147"/>
        <v>0</v>
      </c>
      <c r="BQ254" s="2942">
        <f t="shared" si="148"/>
        <v>0</v>
      </c>
      <c r="BR254" s="2942">
        <f t="shared" si="149"/>
        <v>0</v>
      </c>
      <c r="BS254" s="2942">
        <f t="shared" si="150"/>
        <v>0</v>
      </c>
      <c r="BT254" s="2994">
        <f t="shared" si="151"/>
        <v>0</v>
      </c>
    </row>
    <row r="255" spans="1:72">
      <c r="A255" s="2939"/>
      <c r="B255" s="2940"/>
      <c r="C255" s="2940"/>
      <c r="D255" s="2941"/>
      <c r="E255" s="2942">
        <f t="shared" si="123"/>
        <v>0</v>
      </c>
      <c r="F255" s="2943"/>
      <c r="G255" s="2944">
        <f t="shared" si="124"/>
        <v>0</v>
      </c>
      <c r="H255" s="2945">
        <f t="shared" si="125"/>
        <v>0</v>
      </c>
      <c r="I255" s="2952"/>
      <c r="J255" s="2952"/>
      <c r="K255" s="2952"/>
      <c r="L255" s="2952"/>
      <c r="M255" s="2952"/>
      <c r="N255" s="2952"/>
      <c r="O255" s="2952"/>
      <c r="P255" s="2952"/>
      <c r="Q255" s="2952"/>
      <c r="R255" s="2952"/>
      <c r="S255" s="2952"/>
      <c r="T255" s="2952"/>
      <c r="U255" s="2952"/>
      <c r="V255" s="2952"/>
      <c r="W255" s="2952"/>
      <c r="X255" s="2952"/>
      <c r="Y255" s="2952"/>
      <c r="Z255" s="2952"/>
      <c r="AA255" s="2952"/>
      <c r="AB255" s="2952"/>
      <c r="AC255" s="2942">
        <f t="shared" si="126"/>
        <v>0</v>
      </c>
      <c r="AD255" s="2962"/>
      <c r="AE255" s="2962"/>
      <c r="AF255" s="2962"/>
      <c r="AG255" s="2962"/>
      <c r="AH255" s="2962"/>
      <c r="AI255" s="2962"/>
      <c r="AJ255" s="2962"/>
      <c r="AK255" s="2962"/>
      <c r="AL255" s="2962"/>
      <c r="AM255" s="2962"/>
      <c r="AN255" s="2962"/>
      <c r="AO255" s="2962"/>
      <c r="AP255" s="2962"/>
      <c r="AQ255" s="2962"/>
      <c r="AR255" s="2962"/>
      <c r="AS255" s="2962"/>
      <c r="AT255" s="2972"/>
      <c r="AU255" s="2973"/>
      <c r="AV255" s="1120">
        <f t="shared" si="127"/>
        <v>0</v>
      </c>
      <c r="AW255" s="1120">
        <f t="shared" si="128"/>
        <v>0</v>
      </c>
      <c r="AX255" s="1120">
        <f t="shared" si="129"/>
        <v>0</v>
      </c>
      <c r="AY255" s="2987">
        <f t="shared" si="130"/>
        <v>0</v>
      </c>
      <c r="AZ255" s="2942">
        <f t="shared" si="131"/>
        <v>0</v>
      </c>
      <c r="BA255" s="2942">
        <f t="shared" si="132"/>
        <v>0</v>
      </c>
      <c r="BB255" s="2942">
        <f t="shared" si="133"/>
        <v>0</v>
      </c>
      <c r="BC255" s="2942">
        <f t="shared" si="134"/>
        <v>0</v>
      </c>
      <c r="BD255" s="2942">
        <f t="shared" si="135"/>
        <v>0</v>
      </c>
      <c r="BE255" s="2942">
        <f t="shared" si="136"/>
        <v>0</v>
      </c>
      <c r="BF255" s="2942">
        <f t="shared" si="137"/>
        <v>0</v>
      </c>
      <c r="BG255" s="2942">
        <f t="shared" si="138"/>
        <v>0</v>
      </c>
      <c r="BH255" s="2942">
        <f t="shared" si="139"/>
        <v>0</v>
      </c>
      <c r="BI255" s="2942">
        <f t="shared" si="140"/>
        <v>0</v>
      </c>
      <c r="BJ255" s="2942">
        <f t="shared" si="141"/>
        <v>0</v>
      </c>
      <c r="BK255" s="2942">
        <f t="shared" si="142"/>
        <v>0</v>
      </c>
      <c r="BL255" s="2942">
        <f t="shared" si="143"/>
        <v>0</v>
      </c>
      <c r="BM255" s="2942">
        <f t="shared" si="144"/>
        <v>0</v>
      </c>
      <c r="BN255" s="2942">
        <f t="shared" si="145"/>
        <v>0</v>
      </c>
      <c r="BO255" s="2942">
        <f t="shared" si="146"/>
        <v>0</v>
      </c>
      <c r="BP255" s="2942">
        <f t="shared" si="147"/>
        <v>0</v>
      </c>
      <c r="BQ255" s="2942">
        <f t="shared" si="148"/>
        <v>0</v>
      </c>
      <c r="BR255" s="2942">
        <f t="shared" si="149"/>
        <v>0</v>
      </c>
      <c r="BS255" s="2942">
        <f t="shared" si="150"/>
        <v>0</v>
      </c>
      <c r="BT255" s="2994">
        <f t="shared" si="151"/>
        <v>0</v>
      </c>
    </row>
    <row r="256" spans="1:72">
      <c r="A256" s="2939"/>
      <c r="B256" s="2940"/>
      <c r="C256" s="2940"/>
      <c r="D256" s="2941"/>
      <c r="E256" s="2942">
        <f t="shared" si="123"/>
        <v>0</v>
      </c>
      <c r="F256" s="2943"/>
      <c r="G256" s="2944">
        <f t="shared" si="124"/>
        <v>0</v>
      </c>
      <c r="H256" s="2945">
        <f t="shared" si="125"/>
        <v>0</v>
      </c>
      <c r="I256" s="2952"/>
      <c r="J256" s="2952"/>
      <c r="K256" s="2952"/>
      <c r="L256" s="2952"/>
      <c r="M256" s="2952"/>
      <c r="N256" s="2952"/>
      <c r="O256" s="2952"/>
      <c r="P256" s="2952"/>
      <c r="Q256" s="2952"/>
      <c r="R256" s="2952"/>
      <c r="S256" s="2952"/>
      <c r="T256" s="2952"/>
      <c r="U256" s="2952"/>
      <c r="V256" s="2952"/>
      <c r="W256" s="2952"/>
      <c r="X256" s="2952"/>
      <c r="Y256" s="2952"/>
      <c r="Z256" s="2952"/>
      <c r="AA256" s="2952"/>
      <c r="AB256" s="2952"/>
      <c r="AC256" s="2942">
        <f t="shared" si="126"/>
        <v>0</v>
      </c>
      <c r="AD256" s="2962"/>
      <c r="AE256" s="2962"/>
      <c r="AF256" s="2962"/>
      <c r="AG256" s="2962"/>
      <c r="AH256" s="2962"/>
      <c r="AI256" s="2962"/>
      <c r="AJ256" s="2962"/>
      <c r="AK256" s="2962"/>
      <c r="AL256" s="2962"/>
      <c r="AM256" s="2962"/>
      <c r="AN256" s="2962"/>
      <c r="AO256" s="2962"/>
      <c r="AP256" s="2962"/>
      <c r="AQ256" s="2962"/>
      <c r="AR256" s="2962"/>
      <c r="AS256" s="2962"/>
      <c r="AT256" s="2972"/>
      <c r="AU256" s="2973"/>
      <c r="AV256" s="1120">
        <f t="shared" si="127"/>
        <v>0</v>
      </c>
      <c r="AW256" s="1120">
        <f t="shared" si="128"/>
        <v>0</v>
      </c>
      <c r="AX256" s="1120">
        <f t="shared" si="129"/>
        <v>0</v>
      </c>
      <c r="AY256" s="2987">
        <f t="shared" si="130"/>
        <v>0</v>
      </c>
      <c r="AZ256" s="2942">
        <f t="shared" si="131"/>
        <v>0</v>
      </c>
      <c r="BA256" s="2942">
        <f t="shared" si="132"/>
        <v>0</v>
      </c>
      <c r="BB256" s="2942">
        <f t="shared" si="133"/>
        <v>0</v>
      </c>
      <c r="BC256" s="2942">
        <f t="shared" si="134"/>
        <v>0</v>
      </c>
      <c r="BD256" s="2942">
        <f t="shared" si="135"/>
        <v>0</v>
      </c>
      <c r="BE256" s="2942">
        <f t="shared" si="136"/>
        <v>0</v>
      </c>
      <c r="BF256" s="2942">
        <f t="shared" si="137"/>
        <v>0</v>
      </c>
      <c r="BG256" s="2942">
        <f t="shared" si="138"/>
        <v>0</v>
      </c>
      <c r="BH256" s="2942">
        <f t="shared" si="139"/>
        <v>0</v>
      </c>
      <c r="BI256" s="2942">
        <f t="shared" si="140"/>
        <v>0</v>
      </c>
      <c r="BJ256" s="2942">
        <f t="shared" si="141"/>
        <v>0</v>
      </c>
      <c r="BK256" s="2942">
        <f t="shared" si="142"/>
        <v>0</v>
      </c>
      <c r="BL256" s="2942">
        <f t="shared" si="143"/>
        <v>0</v>
      </c>
      <c r="BM256" s="2942">
        <f t="shared" si="144"/>
        <v>0</v>
      </c>
      <c r="BN256" s="2942">
        <f t="shared" si="145"/>
        <v>0</v>
      </c>
      <c r="BO256" s="2942">
        <f t="shared" si="146"/>
        <v>0</v>
      </c>
      <c r="BP256" s="2942">
        <f t="shared" si="147"/>
        <v>0</v>
      </c>
      <c r="BQ256" s="2942">
        <f t="shared" si="148"/>
        <v>0</v>
      </c>
      <c r="BR256" s="2942">
        <f t="shared" si="149"/>
        <v>0</v>
      </c>
      <c r="BS256" s="2942">
        <f t="shared" si="150"/>
        <v>0</v>
      </c>
      <c r="BT256" s="2994">
        <f t="shared" si="151"/>
        <v>0</v>
      </c>
    </row>
    <row r="257" spans="1:72">
      <c r="A257" s="2939"/>
      <c r="B257" s="2940"/>
      <c r="C257" s="2940"/>
      <c r="D257" s="2941"/>
      <c r="E257" s="2942">
        <f t="shared" si="123"/>
        <v>0</v>
      </c>
      <c r="F257" s="2943"/>
      <c r="G257" s="2944">
        <f t="shared" si="124"/>
        <v>0</v>
      </c>
      <c r="H257" s="2945">
        <f t="shared" si="125"/>
        <v>0</v>
      </c>
      <c r="I257" s="2952"/>
      <c r="J257" s="2952"/>
      <c r="K257" s="2952"/>
      <c r="L257" s="2952"/>
      <c r="M257" s="2952"/>
      <c r="N257" s="2952"/>
      <c r="O257" s="2952"/>
      <c r="P257" s="2952"/>
      <c r="Q257" s="2952"/>
      <c r="R257" s="2952"/>
      <c r="S257" s="2952"/>
      <c r="T257" s="2952"/>
      <c r="U257" s="2952"/>
      <c r="V257" s="2952"/>
      <c r="W257" s="2952"/>
      <c r="X257" s="2952"/>
      <c r="Y257" s="2952"/>
      <c r="Z257" s="2952"/>
      <c r="AA257" s="2952"/>
      <c r="AB257" s="2952"/>
      <c r="AC257" s="2942">
        <f t="shared" si="126"/>
        <v>0</v>
      </c>
      <c r="AD257" s="2962"/>
      <c r="AE257" s="2962"/>
      <c r="AF257" s="2962"/>
      <c r="AG257" s="2962"/>
      <c r="AH257" s="2962"/>
      <c r="AI257" s="2962"/>
      <c r="AJ257" s="2962"/>
      <c r="AK257" s="2962"/>
      <c r="AL257" s="2962"/>
      <c r="AM257" s="2962"/>
      <c r="AN257" s="2962"/>
      <c r="AO257" s="2962"/>
      <c r="AP257" s="2962"/>
      <c r="AQ257" s="2962"/>
      <c r="AR257" s="2962"/>
      <c r="AS257" s="2962"/>
      <c r="AT257" s="2972"/>
      <c r="AU257" s="2973"/>
      <c r="AV257" s="1120">
        <f t="shared" si="127"/>
        <v>0</v>
      </c>
      <c r="AW257" s="1120">
        <f t="shared" si="128"/>
        <v>0</v>
      </c>
      <c r="AX257" s="1120">
        <f t="shared" si="129"/>
        <v>0</v>
      </c>
      <c r="AY257" s="2987">
        <f t="shared" si="130"/>
        <v>0</v>
      </c>
      <c r="AZ257" s="2942">
        <f t="shared" si="131"/>
        <v>0</v>
      </c>
      <c r="BA257" s="2942">
        <f t="shared" si="132"/>
        <v>0</v>
      </c>
      <c r="BB257" s="2942">
        <f t="shared" si="133"/>
        <v>0</v>
      </c>
      <c r="BC257" s="2942">
        <f t="shared" si="134"/>
        <v>0</v>
      </c>
      <c r="BD257" s="2942">
        <f t="shared" si="135"/>
        <v>0</v>
      </c>
      <c r="BE257" s="2942">
        <f t="shared" si="136"/>
        <v>0</v>
      </c>
      <c r="BF257" s="2942">
        <f t="shared" si="137"/>
        <v>0</v>
      </c>
      <c r="BG257" s="2942">
        <f t="shared" si="138"/>
        <v>0</v>
      </c>
      <c r="BH257" s="2942">
        <f t="shared" si="139"/>
        <v>0</v>
      </c>
      <c r="BI257" s="2942">
        <f t="shared" si="140"/>
        <v>0</v>
      </c>
      <c r="BJ257" s="2942">
        <f t="shared" si="141"/>
        <v>0</v>
      </c>
      <c r="BK257" s="2942">
        <f t="shared" si="142"/>
        <v>0</v>
      </c>
      <c r="BL257" s="2942">
        <f t="shared" si="143"/>
        <v>0</v>
      </c>
      <c r="BM257" s="2942">
        <f t="shared" si="144"/>
        <v>0</v>
      </c>
      <c r="BN257" s="2942">
        <f t="shared" si="145"/>
        <v>0</v>
      </c>
      <c r="BO257" s="2942">
        <f t="shared" si="146"/>
        <v>0</v>
      </c>
      <c r="BP257" s="2942">
        <f t="shared" si="147"/>
        <v>0</v>
      </c>
      <c r="BQ257" s="2942">
        <f t="shared" si="148"/>
        <v>0</v>
      </c>
      <c r="BR257" s="2942">
        <f t="shared" si="149"/>
        <v>0</v>
      </c>
      <c r="BS257" s="2942">
        <f t="shared" si="150"/>
        <v>0</v>
      </c>
      <c r="BT257" s="2994">
        <f t="shared" si="151"/>
        <v>0</v>
      </c>
    </row>
    <row r="258" spans="1:72">
      <c r="A258" s="2939"/>
      <c r="B258" s="2940"/>
      <c r="C258" s="2940"/>
      <c r="D258" s="2941"/>
      <c r="E258" s="2942">
        <f t="shared" si="123"/>
        <v>0</v>
      </c>
      <c r="F258" s="2943"/>
      <c r="G258" s="2944">
        <f t="shared" si="124"/>
        <v>0</v>
      </c>
      <c r="H258" s="2945">
        <f t="shared" si="125"/>
        <v>0</v>
      </c>
      <c r="I258" s="2952"/>
      <c r="J258" s="2952"/>
      <c r="K258" s="2952"/>
      <c r="L258" s="2952"/>
      <c r="M258" s="2952"/>
      <c r="N258" s="2952"/>
      <c r="O258" s="2952"/>
      <c r="P258" s="2952"/>
      <c r="Q258" s="2952"/>
      <c r="R258" s="2952"/>
      <c r="S258" s="2952"/>
      <c r="T258" s="2952"/>
      <c r="U258" s="2952"/>
      <c r="V258" s="2952"/>
      <c r="W258" s="2952"/>
      <c r="X258" s="2952"/>
      <c r="Y258" s="2952"/>
      <c r="Z258" s="2952"/>
      <c r="AA258" s="2952"/>
      <c r="AB258" s="2952"/>
      <c r="AC258" s="2942">
        <f t="shared" si="126"/>
        <v>0</v>
      </c>
      <c r="AD258" s="2962"/>
      <c r="AE258" s="2962"/>
      <c r="AF258" s="2962"/>
      <c r="AG258" s="2962"/>
      <c r="AH258" s="2962"/>
      <c r="AI258" s="2962"/>
      <c r="AJ258" s="2962"/>
      <c r="AK258" s="2962"/>
      <c r="AL258" s="2962"/>
      <c r="AM258" s="2962"/>
      <c r="AN258" s="2962"/>
      <c r="AO258" s="2962"/>
      <c r="AP258" s="2962"/>
      <c r="AQ258" s="2962"/>
      <c r="AR258" s="2962"/>
      <c r="AS258" s="2962"/>
      <c r="AT258" s="2972"/>
      <c r="AU258" s="2973"/>
      <c r="AV258" s="1120">
        <f t="shared" si="127"/>
        <v>0</v>
      </c>
      <c r="AW258" s="1120">
        <f t="shared" si="128"/>
        <v>0</v>
      </c>
      <c r="AX258" s="1120">
        <f t="shared" si="129"/>
        <v>0</v>
      </c>
      <c r="AY258" s="2987">
        <f t="shared" si="130"/>
        <v>0</v>
      </c>
      <c r="AZ258" s="2942">
        <f t="shared" si="131"/>
        <v>0</v>
      </c>
      <c r="BA258" s="2942">
        <f t="shared" si="132"/>
        <v>0</v>
      </c>
      <c r="BB258" s="2942">
        <f t="shared" si="133"/>
        <v>0</v>
      </c>
      <c r="BC258" s="2942">
        <f t="shared" si="134"/>
        <v>0</v>
      </c>
      <c r="BD258" s="2942">
        <f t="shared" si="135"/>
        <v>0</v>
      </c>
      <c r="BE258" s="2942">
        <f t="shared" si="136"/>
        <v>0</v>
      </c>
      <c r="BF258" s="2942">
        <f t="shared" si="137"/>
        <v>0</v>
      </c>
      <c r="BG258" s="2942">
        <f t="shared" si="138"/>
        <v>0</v>
      </c>
      <c r="BH258" s="2942">
        <f t="shared" si="139"/>
        <v>0</v>
      </c>
      <c r="BI258" s="2942">
        <f t="shared" si="140"/>
        <v>0</v>
      </c>
      <c r="BJ258" s="2942">
        <f t="shared" si="141"/>
        <v>0</v>
      </c>
      <c r="BK258" s="2942">
        <f t="shared" si="142"/>
        <v>0</v>
      </c>
      <c r="BL258" s="2942">
        <f t="shared" si="143"/>
        <v>0</v>
      </c>
      <c r="BM258" s="2942">
        <f t="shared" si="144"/>
        <v>0</v>
      </c>
      <c r="BN258" s="2942">
        <f t="shared" si="145"/>
        <v>0</v>
      </c>
      <c r="BO258" s="2942">
        <f t="shared" si="146"/>
        <v>0</v>
      </c>
      <c r="BP258" s="2942">
        <f t="shared" si="147"/>
        <v>0</v>
      </c>
      <c r="BQ258" s="2942">
        <f t="shared" si="148"/>
        <v>0</v>
      </c>
      <c r="BR258" s="2942">
        <f t="shared" si="149"/>
        <v>0</v>
      </c>
      <c r="BS258" s="2942">
        <f t="shared" si="150"/>
        <v>0</v>
      </c>
      <c r="BT258" s="2994">
        <f t="shared" si="151"/>
        <v>0</v>
      </c>
    </row>
    <row r="259" spans="1:72">
      <c r="A259" s="2939"/>
      <c r="B259" s="2940"/>
      <c r="C259" s="2940"/>
      <c r="D259" s="2941"/>
      <c r="E259" s="2942">
        <f t="shared" si="123"/>
        <v>0</v>
      </c>
      <c r="F259" s="2943"/>
      <c r="G259" s="2944">
        <f t="shared" si="124"/>
        <v>0</v>
      </c>
      <c r="H259" s="2945">
        <f t="shared" si="125"/>
        <v>0</v>
      </c>
      <c r="I259" s="2952"/>
      <c r="J259" s="2952"/>
      <c r="K259" s="2952"/>
      <c r="L259" s="2952"/>
      <c r="M259" s="2952"/>
      <c r="N259" s="2952"/>
      <c r="O259" s="2952"/>
      <c r="P259" s="2952"/>
      <c r="Q259" s="2952"/>
      <c r="R259" s="2952"/>
      <c r="S259" s="2952"/>
      <c r="T259" s="2952"/>
      <c r="U259" s="2952"/>
      <c r="V259" s="2952"/>
      <c r="W259" s="2952"/>
      <c r="X259" s="2952"/>
      <c r="Y259" s="2952"/>
      <c r="Z259" s="2952"/>
      <c r="AA259" s="2952"/>
      <c r="AB259" s="2952"/>
      <c r="AC259" s="2942">
        <f t="shared" si="126"/>
        <v>0</v>
      </c>
      <c r="AD259" s="2962"/>
      <c r="AE259" s="2962"/>
      <c r="AF259" s="2962"/>
      <c r="AG259" s="2962"/>
      <c r="AH259" s="2962"/>
      <c r="AI259" s="2962"/>
      <c r="AJ259" s="2962"/>
      <c r="AK259" s="2962"/>
      <c r="AL259" s="2962"/>
      <c r="AM259" s="2962"/>
      <c r="AN259" s="2962"/>
      <c r="AO259" s="2962"/>
      <c r="AP259" s="2962"/>
      <c r="AQ259" s="2962"/>
      <c r="AR259" s="2962"/>
      <c r="AS259" s="2962"/>
      <c r="AT259" s="2972"/>
      <c r="AU259" s="2973"/>
      <c r="AV259" s="1120">
        <f t="shared" si="127"/>
        <v>0</v>
      </c>
      <c r="AW259" s="1120">
        <f t="shared" si="128"/>
        <v>0</v>
      </c>
      <c r="AX259" s="1120">
        <f t="shared" si="129"/>
        <v>0</v>
      </c>
      <c r="AY259" s="2987">
        <f t="shared" si="130"/>
        <v>0</v>
      </c>
      <c r="AZ259" s="2942">
        <f t="shared" si="131"/>
        <v>0</v>
      </c>
      <c r="BA259" s="2942">
        <f t="shared" si="132"/>
        <v>0</v>
      </c>
      <c r="BB259" s="2942">
        <f t="shared" si="133"/>
        <v>0</v>
      </c>
      <c r="BC259" s="2942">
        <f t="shared" si="134"/>
        <v>0</v>
      </c>
      <c r="BD259" s="2942">
        <f t="shared" si="135"/>
        <v>0</v>
      </c>
      <c r="BE259" s="2942">
        <f t="shared" si="136"/>
        <v>0</v>
      </c>
      <c r="BF259" s="2942">
        <f t="shared" si="137"/>
        <v>0</v>
      </c>
      <c r="BG259" s="2942">
        <f t="shared" si="138"/>
        <v>0</v>
      </c>
      <c r="BH259" s="2942">
        <f t="shared" si="139"/>
        <v>0</v>
      </c>
      <c r="BI259" s="2942">
        <f t="shared" si="140"/>
        <v>0</v>
      </c>
      <c r="BJ259" s="2942">
        <f t="shared" si="141"/>
        <v>0</v>
      </c>
      <c r="BK259" s="2942">
        <f t="shared" si="142"/>
        <v>0</v>
      </c>
      <c r="BL259" s="2942">
        <f t="shared" si="143"/>
        <v>0</v>
      </c>
      <c r="BM259" s="2942">
        <f t="shared" si="144"/>
        <v>0</v>
      </c>
      <c r="BN259" s="2942">
        <f t="shared" si="145"/>
        <v>0</v>
      </c>
      <c r="BO259" s="2942">
        <f t="shared" si="146"/>
        <v>0</v>
      </c>
      <c r="BP259" s="2942">
        <f t="shared" si="147"/>
        <v>0</v>
      </c>
      <c r="BQ259" s="2942">
        <f t="shared" si="148"/>
        <v>0</v>
      </c>
      <c r="BR259" s="2942">
        <f t="shared" si="149"/>
        <v>0</v>
      </c>
      <c r="BS259" s="2942">
        <f t="shared" si="150"/>
        <v>0</v>
      </c>
      <c r="BT259" s="2994">
        <f t="shared" si="151"/>
        <v>0</v>
      </c>
    </row>
    <row r="260" spans="1:72">
      <c r="A260" s="2939"/>
      <c r="B260" s="2940"/>
      <c r="C260" s="2940"/>
      <c r="D260" s="2941"/>
      <c r="E260" s="2942">
        <f t="shared" si="123"/>
        <v>0</v>
      </c>
      <c r="F260" s="2943"/>
      <c r="G260" s="2944">
        <f t="shared" si="124"/>
        <v>0</v>
      </c>
      <c r="H260" s="2945">
        <f t="shared" si="125"/>
        <v>0</v>
      </c>
      <c r="I260" s="2952"/>
      <c r="J260" s="2952"/>
      <c r="K260" s="2952"/>
      <c r="L260" s="2952"/>
      <c r="M260" s="2952"/>
      <c r="N260" s="2952"/>
      <c r="O260" s="2952"/>
      <c r="P260" s="2952"/>
      <c r="Q260" s="2952"/>
      <c r="R260" s="2952"/>
      <c r="S260" s="2952"/>
      <c r="T260" s="2952"/>
      <c r="U260" s="2952"/>
      <c r="V260" s="2952"/>
      <c r="W260" s="2952"/>
      <c r="X260" s="2952"/>
      <c r="Y260" s="2952"/>
      <c r="Z260" s="2952"/>
      <c r="AA260" s="2952"/>
      <c r="AB260" s="2952"/>
      <c r="AC260" s="2942">
        <f t="shared" si="126"/>
        <v>0</v>
      </c>
      <c r="AD260" s="2962"/>
      <c r="AE260" s="2962"/>
      <c r="AF260" s="2962"/>
      <c r="AG260" s="2962"/>
      <c r="AH260" s="2962"/>
      <c r="AI260" s="2962"/>
      <c r="AJ260" s="2962"/>
      <c r="AK260" s="2962"/>
      <c r="AL260" s="2962"/>
      <c r="AM260" s="2962"/>
      <c r="AN260" s="2962"/>
      <c r="AO260" s="2962"/>
      <c r="AP260" s="2962"/>
      <c r="AQ260" s="2962"/>
      <c r="AR260" s="2962"/>
      <c r="AS260" s="2962"/>
      <c r="AT260" s="2972"/>
      <c r="AU260" s="2973"/>
      <c r="AV260" s="1120">
        <f t="shared" si="127"/>
        <v>0</v>
      </c>
      <c r="AW260" s="1120">
        <f t="shared" si="128"/>
        <v>0</v>
      </c>
      <c r="AX260" s="1120">
        <f t="shared" si="129"/>
        <v>0</v>
      </c>
      <c r="AY260" s="2987">
        <f t="shared" si="130"/>
        <v>0</v>
      </c>
      <c r="AZ260" s="2942">
        <f t="shared" si="131"/>
        <v>0</v>
      </c>
      <c r="BA260" s="2942">
        <f t="shared" si="132"/>
        <v>0</v>
      </c>
      <c r="BB260" s="2942">
        <f t="shared" si="133"/>
        <v>0</v>
      </c>
      <c r="BC260" s="2942">
        <f t="shared" si="134"/>
        <v>0</v>
      </c>
      <c r="BD260" s="2942">
        <f t="shared" si="135"/>
        <v>0</v>
      </c>
      <c r="BE260" s="2942">
        <f t="shared" si="136"/>
        <v>0</v>
      </c>
      <c r="BF260" s="2942">
        <f t="shared" si="137"/>
        <v>0</v>
      </c>
      <c r="BG260" s="2942">
        <f t="shared" si="138"/>
        <v>0</v>
      </c>
      <c r="BH260" s="2942">
        <f t="shared" si="139"/>
        <v>0</v>
      </c>
      <c r="BI260" s="2942">
        <f t="shared" si="140"/>
        <v>0</v>
      </c>
      <c r="BJ260" s="2942">
        <f t="shared" si="141"/>
        <v>0</v>
      </c>
      <c r="BK260" s="2942">
        <f t="shared" si="142"/>
        <v>0</v>
      </c>
      <c r="BL260" s="2942">
        <f t="shared" si="143"/>
        <v>0</v>
      </c>
      <c r="BM260" s="2942">
        <f t="shared" si="144"/>
        <v>0</v>
      </c>
      <c r="BN260" s="2942">
        <f t="shared" si="145"/>
        <v>0</v>
      </c>
      <c r="BO260" s="2942">
        <f t="shared" si="146"/>
        <v>0</v>
      </c>
      <c r="BP260" s="2942">
        <f t="shared" si="147"/>
        <v>0</v>
      </c>
      <c r="BQ260" s="2942">
        <f t="shared" si="148"/>
        <v>0</v>
      </c>
      <c r="BR260" s="2942">
        <f t="shared" si="149"/>
        <v>0</v>
      </c>
      <c r="BS260" s="2942">
        <f t="shared" si="150"/>
        <v>0</v>
      </c>
      <c r="BT260" s="2994">
        <f t="shared" si="151"/>
        <v>0</v>
      </c>
    </row>
    <row r="261" spans="1:72">
      <c r="A261" s="2939"/>
      <c r="B261" s="2940"/>
      <c r="C261" s="2940"/>
      <c r="D261" s="2941"/>
      <c r="E261" s="2942">
        <f t="shared" si="123"/>
        <v>0</v>
      </c>
      <c r="F261" s="2943"/>
      <c r="G261" s="2944">
        <f t="shared" si="124"/>
        <v>0</v>
      </c>
      <c r="H261" s="2945">
        <f t="shared" si="125"/>
        <v>0</v>
      </c>
      <c r="I261" s="2952"/>
      <c r="J261" s="2952"/>
      <c r="K261" s="2952"/>
      <c r="L261" s="2952"/>
      <c r="M261" s="2952"/>
      <c r="N261" s="2952"/>
      <c r="O261" s="2952"/>
      <c r="P261" s="2952"/>
      <c r="Q261" s="2952"/>
      <c r="R261" s="2952"/>
      <c r="S261" s="2952"/>
      <c r="T261" s="2952"/>
      <c r="U261" s="2952"/>
      <c r="V261" s="2952"/>
      <c r="W261" s="2952"/>
      <c r="X261" s="2952"/>
      <c r="Y261" s="2952"/>
      <c r="Z261" s="2952"/>
      <c r="AA261" s="2952"/>
      <c r="AB261" s="2952"/>
      <c r="AC261" s="2942">
        <f t="shared" si="126"/>
        <v>0</v>
      </c>
      <c r="AD261" s="2962"/>
      <c r="AE261" s="2962"/>
      <c r="AF261" s="2962"/>
      <c r="AG261" s="2962"/>
      <c r="AH261" s="2962"/>
      <c r="AI261" s="2962"/>
      <c r="AJ261" s="2962"/>
      <c r="AK261" s="2962"/>
      <c r="AL261" s="2962"/>
      <c r="AM261" s="2962"/>
      <c r="AN261" s="2962"/>
      <c r="AO261" s="2962"/>
      <c r="AP261" s="2962"/>
      <c r="AQ261" s="2962"/>
      <c r="AR261" s="2962"/>
      <c r="AS261" s="2962"/>
      <c r="AT261" s="2972"/>
      <c r="AU261" s="2973"/>
      <c r="AV261" s="1120">
        <f t="shared" si="127"/>
        <v>0</v>
      </c>
      <c r="AW261" s="1120">
        <f t="shared" si="128"/>
        <v>0</v>
      </c>
      <c r="AX261" s="1120">
        <f t="shared" si="129"/>
        <v>0</v>
      </c>
      <c r="AY261" s="2987">
        <f t="shared" si="130"/>
        <v>0</v>
      </c>
      <c r="AZ261" s="2942">
        <f t="shared" si="131"/>
        <v>0</v>
      </c>
      <c r="BA261" s="2942">
        <f t="shared" si="132"/>
        <v>0</v>
      </c>
      <c r="BB261" s="2942">
        <f t="shared" si="133"/>
        <v>0</v>
      </c>
      <c r="BC261" s="2942">
        <f t="shared" si="134"/>
        <v>0</v>
      </c>
      <c r="BD261" s="2942">
        <f t="shared" si="135"/>
        <v>0</v>
      </c>
      <c r="BE261" s="2942">
        <f t="shared" si="136"/>
        <v>0</v>
      </c>
      <c r="BF261" s="2942">
        <f t="shared" si="137"/>
        <v>0</v>
      </c>
      <c r="BG261" s="2942">
        <f t="shared" si="138"/>
        <v>0</v>
      </c>
      <c r="BH261" s="2942">
        <f t="shared" si="139"/>
        <v>0</v>
      </c>
      <c r="BI261" s="2942">
        <f t="shared" si="140"/>
        <v>0</v>
      </c>
      <c r="BJ261" s="2942">
        <f t="shared" si="141"/>
        <v>0</v>
      </c>
      <c r="BK261" s="2942">
        <f t="shared" si="142"/>
        <v>0</v>
      </c>
      <c r="BL261" s="2942">
        <f t="shared" si="143"/>
        <v>0</v>
      </c>
      <c r="BM261" s="2942">
        <f t="shared" si="144"/>
        <v>0</v>
      </c>
      <c r="BN261" s="2942">
        <f t="shared" si="145"/>
        <v>0</v>
      </c>
      <c r="BO261" s="2942">
        <f t="shared" si="146"/>
        <v>0</v>
      </c>
      <c r="BP261" s="2942">
        <f t="shared" si="147"/>
        <v>0</v>
      </c>
      <c r="BQ261" s="2942">
        <f t="shared" si="148"/>
        <v>0</v>
      </c>
      <c r="BR261" s="2942">
        <f t="shared" si="149"/>
        <v>0</v>
      </c>
      <c r="BS261" s="2942">
        <f t="shared" si="150"/>
        <v>0</v>
      </c>
      <c r="BT261" s="2994">
        <f t="shared" si="151"/>
        <v>0</v>
      </c>
    </row>
    <row r="262" spans="1:72">
      <c r="A262" s="2939"/>
      <c r="B262" s="2940"/>
      <c r="C262" s="2940"/>
      <c r="D262" s="2941"/>
      <c r="E262" s="2942">
        <f t="shared" si="123"/>
        <v>0</v>
      </c>
      <c r="F262" s="2943"/>
      <c r="G262" s="2944">
        <f t="shared" si="124"/>
        <v>0</v>
      </c>
      <c r="H262" s="2945">
        <f t="shared" si="125"/>
        <v>0</v>
      </c>
      <c r="I262" s="2952"/>
      <c r="J262" s="2952"/>
      <c r="K262" s="2952"/>
      <c r="L262" s="2952"/>
      <c r="M262" s="2952"/>
      <c r="N262" s="2952"/>
      <c r="O262" s="2952"/>
      <c r="P262" s="2952"/>
      <c r="Q262" s="2952"/>
      <c r="R262" s="2952"/>
      <c r="S262" s="2952"/>
      <c r="T262" s="2952"/>
      <c r="U262" s="2952"/>
      <c r="V262" s="2952"/>
      <c r="W262" s="2952"/>
      <c r="X262" s="2952"/>
      <c r="Y262" s="2952"/>
      <c r="Z262" s="2952"/>
      <c r="AA262" s="2952"/>
      <c r="AB262" s="2952"/>
      <c r="AC262" s="2942">
        <f t="shared" si="126"/>
        <v>0</v>
      </c>
      <c r="AD262" s="2962"/>
      <c r="AE262" s="2962"/>
      <c r="AF262" s="2962"/>
      <c r="AG262" s="2962"/>
      <c r="AH262" s="2962"/>
      <c r="AI262" s="2962"/>
      <c r="AJ262" s="2962"/>
      <c r="AK262" s="2962"/>
      <c r="AL262" s="2962"/>
      <c r="AM262" s="2962"/>
      <c r="AN262" s="2962"/>
      <c r="AO262" s="2962"/>
      <c r="AP262" s="2962"/>
      <c r="AQ262" s="2962"/>
      <c r="AR262" s="2962"/>
      <c r="AS262" s="2962"/>
      <c r="AT262" s="2972"/>
      <c r="AU262" s="2973"/>
      <c r="AV262" s="1120">
        <f t="shared" si="127"/>
        <v>0</v>
      </c>
      <c r="AW262" s="1120">
        <f t="shared" si="128"/>
        <v>0</v>
      </c>
      <c r="AX262" s="1120">
        <f t="shared" si="129"/>
        <v>0</v>
      </c>
      <c r="AY262" s="2987">
        <f t="shared" si="130"/>
        <v>0</v>
      </c>
      <c r="AZ262" s="2942">
        <f t="shared" si="131"/>
        <v>0</v>
      </c>
      <c r="BA262" s="2942">
        <f t="shared" si="132"/>
        <v>0</v>
      </c>
      <c r="BB262" s="2942">
        <f t="shared" si="133"/>
        <v>0</v>
      </c>
      <c r="BC262" s="2942">
        <f t="shared" si="134"/>
        <v>0</v>
      </c>
      <c r="BD262" s="2942">
        <f t="shared" si="135"/>
        <v>0</v>
      </c>
      <c r="BE262" s="2942">
        <f t="shared" si="136"/>
        <v>0</v>
      </c>
      <c r="BF262" s="2942">
        <f t="shared" si="137"/>
        <v>0</v>
      </c>
      <c r="BG262" s="2942">
        <f t="shared" si="138"/>
        <v>0</v>
      </c>
      <c r="BH262" s="2942">
        <f t="shared" si="139"/>
        <v>0</v>
      </c>
      <c r="BI262" s="2942">
        <f t="shared" si="140"/>
        <v>0</v>
      </c>
      <c r="BJ262" s="2942">
        <f t="shared" si="141"/>
        <v>0</v>
      </c>
      <c r="BK262" s="2942">
        <f t="shared" si="142"/>
        <v>0</v>
      </c>
      <c r="BL262" s="2942">
        <f t="shared" si="143"/>
        <v>0</v>
      </c>
      <c r="BM262" s="2942">
        <f t="shared" si="144"/>
        <v>0</v>
      </c>
      <c r="BN262" s="2942">
        <f t="shared" si="145"/>
        <v>0</v>
      </c>
      <c r="BO262" s="2942">
        <f t="shared" si="146"/>
        <v>0</v>
      </c>
      <c r="BP262" s="2942">
        <f t="shared" si="147"/>
        <v>0</v>
      </c>
      <c r="BQ262" s="2942">
        <f t="shared" si="148"/>
        <v>0</v>
      </c>
      <c r="BR262" s="2942">
        <f t="shared" si="149"/>
        <v>0</v>
      </c>
      <c r="BS262" s="2942">
        <f t="shared" si="150"/>
        <v>0</v>
      </c>
      <c r="BT262" s="2994">
        <f t="shared" si="151"/>
        <v>0</v>
      </c>
    </row>
    <row r="263" spans="1:72">
      <c r="A263" s="2939"/>
      <c r="B263" s="2940"/>
      <c r="C263" s="2940"/>
      <c r="D263" s="2941"/>
      <c r="E263" s="2942">
        <f t="shared" si="123"/>
        <v>0</v>
      </c>
      <c r="F263" s="2943"/>
      <c r="G263" s="2944">
        <f t="shared" si="124"/>
        <v>0</v>
      </c>
      <c r="H263" s="2945">
        <f t="shared" si="125"/>
        <v>0</v>
      </c>
      <c r="I263" s="2952"/>
      <c r="J263" s="2952"/>
      <c r="K263" s="2952"/>
      <c r="L263" s="2952"/>
      <c r="M263" s="2952"/>
      <c r="N263" s="2952"/>
      <c r="O263" s="2952"/>
      <c r="P263" s="2952"/>
      <c r="Q263" s="2952"/>
      <c r="R263" s="2952"/>
      <c r="S263" s="2952"/>
      <c r="T263" s="2952"/>
      <c r="U263" s="2952"/>
      <c r="V263" s="2952"/>
      <c r="W263" s="2952"/>
      <c r="X263" s="2952"/>
      <c r="Y263" s="2952"/>
      <c r="Z263" s="2952"/>
      <c r="AA263" s="2952"/>
      <c r="AB263" s="2952"/>
      <c r="AC263" s="2942">
        <f t="shared" si="126"/>
        <v>0</v>
      </c>
      <c r="AD263" s="2962"/>
      <c r="AE263" s="2962"/>
      <c r="AF263" s="2962"/>
      <c r="AG263" s="2962"/>
      <c r="AH263" s="2962"/>
      <c r="AI263" s="2962"/>
      <c r="AJ263" s="2962"/>
      <c r="AK263" s="2962"/>
      <c r="AL263" s="2962"/>
      <c r="AM263" s="2962"/>
      <c r="AN263" s="2962"/>
      <c r="AO263" s="2962"/>
      <c r="AP263" s="2962"/>
      <c r="AQ263" s="2962"/>
      <c r="AR263" s="2962"/>
      <c r="AS263" s="2962"/>
      <c r="AT263" s="2972"/>
      <c r="AU263" s="2973"/>
      <c r="AV263" s="1120">
        <f t="shared" si="127"/>
        <v>0</v>
      </c>
      <c r="AW263" s="1120">
        <f t="shared" si="128"/>
        <v>0</v>
      </c>
      <c r="AX263" s="1120">
        <f t="shared" si="129"/>
        <v>0</v>
      </c>
      <c r="AY263" s="2987">
        <f t="shared" si="130"/>
        <v>0</v>
      </c>
      <c r="AZ263" s="2942">
        <f t="shared" si="131"/>
        <v>0</v>
      </c>
      <c r="BA263" s="2942">
        <f t="shared" si="132"/>
        <v>0</v>
      </c>
      <c r="BB263" s="2942">
        <f t="shared" si="133"/>
        <v>0</v>
      </c>
      <c r="BC263" s="2942">
        <f t="shared" si="134"/>
        <v>0</v>
      </c>
      <c r="BD263" s="2942">
        <f t="shared" si="135"/>
        <v>0</v>
      </c>
      <c r="BE263" s="2942">
        <f t="shared" si="136"/>
        <v>0</v>
      </c>
      <c r="BF263" s="2942">
        <f t="shared" si="137"/>
        <v>0</v>
      </c>
      <c r="BG263" s="2942">
        <f t="shared" si="138"/>
        <v>0</v>
      </c>
      <c r="BH263" s="2942">
        <f t="shared" si="139"/>
        <v>0</v>
      </c>
      <c r="BI263" s="2942">
        <f t="shared" si="140"/>
        <v>0</v>
      </c>
      <c r="BJ263" s="2942">
        <f t="shared" si="141"/>
        <v>0</v>
      </c>
      <c r="BK263" s="2942">
        <f t="shared" si="142"/>
        <v>0</v>
      </c>
      <c r="BL263" s="2942">
        <f t="shared" si="143"/>
        <v>0</v>
      </c>
      <c r="BM263" s="2942">
        <f t="shared" si="144"/>
        <v>0</v>
      </c>
      <c r="BN263" s="2942">
        <f t="shared" si="145"/>
        <v>0</v>
      </c>
      <c r="BO263" s="2942">
        <f t="shared" si="146"/>
        <v>0</v>
      </c>
      <c r="BP263" s="2942">
        <f t="shared" si="147"/>
        <v>0</v>
      </c>
      <c r="BQ263" s="2942">
        <f t="shared" si="148"/>
        <v>0</v>
      </c>
      <c r="BR263" s="2942">
        <f t="shared" si="149"/>
        <v>0</v>
      </c>
      <c r="BS263" s="2942">
        <f t="shared" si="150"/>
        <v>0</v>
      </c>
      <c r="BT263" s="2994">
        <f t="shared" si="151"/>
        <v>0</v>
      </c>
    </row>
    <row r="264" spans="1:72">
      <c r="A264" s="2939"/>
      <c r="B264" s="2940"/>
      <c r="C264" s="2940"/>
      <c r="D264" s="2941"/>
      <c r="E264" s="2942">
        <f t="shared" si="123"/>
        <v>0</v>
      </c>
      <c r="F264" s="2943"/>
      <c r="G264" s="2944">
        <f t="shared" si="124"/>
        <v>0</v>
      </c>
      <c r="H264" s="2945">
        <f t="shared" si="125"/>
        <v>0</v>
      </c>
      <c r="I264" s="2952"/>
      <c r="J264" s="2952"/>
      <c r="K264" s="2952"/>
      <c r="L264" s="2952"/>
      <c r="M264" s="2952"/>
      <c r="N264" s="2952"/>
      <c r="O264" s="2952"/>
      <c r="P264" s="2952"/>
      <c r="Q264" s="2952"/>
      <c r="R264" s="2952"/>
      <c r="S264" s="2952"/>
      <c r="T264" s="2952"/>
      <c r="U264" s="2952"/>
      <c r="V264" s="2952"/>
      <c r="W264" s="2952"/>
      <c r="X264" s="2952"/>
      <c r="Y264" s="2952"/>
      <c r="Z264" s="2952"/>
      <c r="AA264" s="2952"/>
      <c r="AB264" s="2952"/>
      <c r="AC264" s="2942">
        <f t="shared" si="126"/>
        <v>0</v>
      </c>
      <c r="AD264" s="2962"/>
      <c r="AE264" s="2962"/>
      <c r="AF264" s="2962"/>
      <c r="AG264" s="2962"/>
      <c r="AH264" s="2962"/>
      <c r="AI264" s="2962"/>
      <c r="AJ264" s="2962"/>
      <c r="AK264" s="2962"/>
      <c r="AL264" s="2962"/>
      <c r="AM264" s="2962"/>
      <c r="AN264" s="2962"/>
      <c r="AO264" s="2962"/>
      <c r="AP264" s="2962"/>
      <c r="AQ264" s="2962"/>
      <c r="AR264" s="2962"/>
      <c r="AS264" s="2962"/>
      <c r="AT264" s="2972"/>
      <c r="AU264" s="2973"/>
      <c r="AV264" s="1120">
        <f t="shared" si="127"/>
        <v>0</v>
      </c>
      <c r="AW264" s="1120">
        <f t="shared" si="128"/>
        <v>0</v>
      </c>
      <c r="AX264" s="1120">
        <f t="shared" si="129"/>
        <v>0</v>
      </c>
      <c r="AY264" s="2987">
        <f t="shared" si="130"/>
        <v>0</v>
      </c>
      <c r="AZ264" s="2942">
        <f t="shared" si="131"/>
        <v>0</v>
      </c>
      <c r="BA264" s="2942">
        <f t="shared" si="132"/>
        <v>0</v>
      </c>
      <c r="BB264" s="2942">
        <f t="shared" si="133"/>
        <v>0</v>
      </c>
      <c r="BC264" s="2942">
        <f t="shared" si="134"/>
        <v>0</v>
      </c>
      <c r="BD264" s="2942">
        <f t="shared" si="135"/>
        <v>0</v>
      </c>
      <c r="BE264" s="2942">
        <f t="shared" si="136"/>
        <v>0</v>
      </c>
      <c r="BF264" s="2942">
        <f t="shared" si="137"/>
        <v>0</v>
      </c>
      <c r="BG264" s="2942">
        <f t="shared" si="138"/>
        <v>0</v>
      </c>
      <c r="BH264" s="2942">
        <f t="shared" si="139"/>
        <v>0</v>
      </c>
      <c r="BI264" s="2942">
        <f t="shared" si="140"/>
        <v>0</v>
      </c>
      <c r="BJ264" s="2942">
        <f t="shared" si="141"/>
        <v>0</v>
      </c>
      <c r="BK264" s="2942">
        <f t="shared" si="142"/>
        <v>0</v>
      </c>
      <c r="BL264" s="2942">
        <f t="shared" si="143"/>
        <v>0</v>
      </c>
      <c r="BM264" s="2942">
        <f t="shared" si="144"/>
        <v>0</v>
      </c>
      <c r="BN264" s="2942">
        <f t="shared" si="145"/>
        <v>0</v>
      </c>
      <c r="BO264" s="2942">
        <f t="shared" si="146"/>
        <v>0</v>
      </c>
      <c r="BP264" s="2942">
        <f t="shared" si="147"/>
        <v>0</v>
      </c>
      <c r="BQ264" s="2942">
        <f t="shared" si="148"/>
        <v>0</v>
      </c>
      <c r="BR264" s="2942">
        <f t="shared" si="149"/>
        <v>0</v>
      </c>
      <c r="BS264" s="2942">
        <f t="shared" si="150"/>
        <v>0</v>
      </c>
      <c r="BT264" s="2994">
        <f t="shared" si="151"/>
        <v>0</v>
      </c>
    </row>
    <row r="265" spans="1:72">
      <c r="A265" s="2939"/>
      <c r="B265" s="2940"/>
      <c r="C265" s="2940"/>
      <c r="D265" s="2941"/>
      <c r="E265" s="2942">
        <f t="shared" si="123"/>
        <v>0</v>
      </c>
      <c r="F265" s="2943"/>
      <c r="G265" s="2944">
        <f t="shared" si="124"/>
        <v>0</v>
      </c>
      <c r="H265" s="2945">
        <f t="shared" si="125"/>
        <v>0</v>
      </c>
      <c r="I265" s="2952"/>
      <c r="J265" s="2952"/>
      <c r="K265" s="2952"/>
      <c r="L265" s="2952"/>
      <c r="M265" s="2952"/>
      <c r="N265" s="2952"/>
      <c r="O265" s="2952"/>
      <c r="P265" s="2952"/>
      <c r="Q265" s="2952"/>
      <c r="R265" s="2952"/>
      <c r="S265" s="2952"/>
      <c r="T265" s="2952"/>
      <c r="U265" s="2952"/>
      <c r="V265" s="2952"/>
      <c r="W265" s="2952"/>
      <c r="X265" s="2952"/>
      <c r="Y265" s="2952"/>
      <c r="Z265" s="2952"/>
      <c r="AA265" s="2952"/>
      <c r="AB265" s="2952"/>
      <c r="AC265" s="2942">
        <f t="shared" si="126"/>
        <v>0</v>
      </c>
      <c r="AD265" s="2962"/>
      <c r="AE265" s="2962"/>
      <c r="AF265" s="2962"/>
      <c r="AG265" s="2962"/>
      <c r="AH265" s="2962"/>
      <c r="AI265" s="2962"/>
      <c r="AJ265" s="2962"/>
      <c r="AK265" s="2962"/>
      <c r="AL265" s="2962"/>
      <c r="AM265" s="2962"/>
      <c r="AN265" s="2962"/>
      <c r="AO265" s="2962"/>
      <c r="AP265" s="2962"/>
      <c r="AQ265" s="2962"/>
      <c r="AR265" s="2962"/>
      <c r="AS265" s="2962"/>
      <c r="AT265" s="2972"/>
      <c r="AU265" s="2973"/>
      <c r="AV265" s="1120">
        <f t="shared" si="127"/>
        <v>0</v>
      </c>
      <c r="AW265" s="1120">
        <f t="shared" si="128"/>
        <v>0</v>
      </c>
      <c r="AX265" s="1120">
        <f t="shared" si="129"/>
        <v>0</v>
      </c>
      <c r="AY265" s="2987">
        <f t="shared" si="130"/>
        <v>0</v>
      </c>
      <c r="AZ265" s="2942">
        <f t="shared" si="131"/>
        <v>0</v>
      </c>
      <c r="BA265" s="2942">
        <f t="shared" si="132"/>
        <v>0</v>
      </c>
      <c r="BB265" s="2942">
        <f t="shared" si="133"/>
        <v>0</v>
      </c>
      <c r="BC265" s="2942">
        <f t="shared" si="134"/>
        <v>0</v>
      </c>
      <c r="BD265" s="2942">
        <f t="shared" si="135"/>
        <v>0</v>
      </c>
      <c r="BE265" s="2942">
        <f t="shared" si="136"/>
        <v>0</v>
      </c>
      <c r="BF265" s="2942">
        <f t="shared" si="137"/>
        <v>0</v>
      </c>
      <c r="BG265" s="2942">
        <f t="shared" si="138"/>
        <v>0</v>
      </c>
      <c r="BH265" s="2942">
        <f t="shared" si="139"/>
        <v>0</v>
      </c>
      <c r="BI265" s="2942">
        <f t="shared" si="140"/>
        <v>0</v>
      </c>
      <c r="BJ265" s="2942">
        <f t="shared" si="141"/>
        <v>0</v>
      </c>
      <c r="BK265" s="2942">
        <f t="shared" si="142"/>
        <v>0</v>
      </c>
      <c r="BL265" s="2942">
        <f t="shared" si="143"/>
        <v>0</v>
      </c>
      <c r="BM265" s="2942">
        <f t="shared" si="144"/>
        <v>0</v>
      </c>
      <c r="BN265" s="2942">
        <f t="shared" si="145"/>
        <v>0</v>
      </c>
      <c r="BO265" s="2942">
        <f t="shared" si="146"/>
        <v>0</v>
      </c>
      <c r="BP265" s="2942">
        <f t="shared" si="147"/>
        <v>0</v>
      </c>
      <c r="BQ265" s="2942">
        <f t="shared" si="148"/>
        <v>0</v>
      </c>
      <c r="BR265" s="2942">
        <f t="shared" si="149"/>
        <v>0</v>
      </c>
      <c r="BS265" s="2942">
        <f t="shared" si="150"/>
        <v>0</v>
      </c>
      <c r="BT265" s="2994">
        <f t="shared" si="151"/>
        <v>0</v>
      </c>
    </row>
    <row r="266" spans="1:72">
      <c r="A266" s="2939"/>
      <c r="B266" s="2940"/>
      <c r="C266" s="2940"/>
      <c r="D266" s="2941"/>
      <c r="E266" s="2942">
        <f t="shared" si="123"/>
        <v>0</v>
      </c>
      <c r="F266" s="2943"/>
      <c r="G266" s="2944">
        <f t="shared" si="124"/>
        <v>0</v>
      </c>
      <c r="H266" s="2945">
        <f t="shared" si="125"/>
        <v>0</v>
      </c>
      <c r="I266" s="2952"/>
      <c r="J266" s="2952"/>
      <c r="K266" s="2952"/>
      <c r="L266" s="2952"/>
      <c r="M266" s="2952"/>
      <c r="N266" s="2952"/>
      <c r="O266" s="2952"/>
      <c r="P266" s="2952"/>
      <c r="Q266" s="2952"/>
      <c r="R266" s="2952"/>
      <c r="S266" s="2952"/>
      <c r="T266" s="2952"/>
      <c r="U266" s="2952"/>
      <c r="V266" s="2952"/>
      <c r="W266" s="2952"/>
      <c r="X266" s="2952"/>
      <c r="Y266" s="2952"/>
      <c r="Z266" s="2952"/>
      <c r="AA266" s="2952"/>
      <c r="AB266" s="2952"/>
      <c r="AC266" s="2942">
        <f t="shared" si="126"/>
        <v>0</v>
      </c>
      <c r="AD266" s="2962"/>
      <c r="AE266" s="2962"/>
      <c r="AF266" s="2962"/>
      <c r="AG266" s="2962"/>
      <c r="AH266" s="2962"/>
      <c r="AI266" s="2962"/>
      <c r="AJ266" s="2962"/>
      <c r="AK266" s="2962"/>
      <c r="AL266" s="2962"/>
      <c r="AM266" s="2962"/>
      <c r="AN266" s="2962"/>
      <c r="AO266" s="2962"/>
      <c r="AP266" s="2962"/>
      <c r="AQ266" s="2962"/>
      <c r="AR266" s="2962"/>
      <c r="AS266" s="2962"/>
      <c r="AT266" s="2972"/>
      <c r="AU266" s="2973"/>
      <c r="AV266" s="1120">
        <f t="shared" si="127"/>
        <v>0</v>
      </c>
      <c r="AW266" s="1120">
        <f t="shared" si="128"/>
        <v>0</v>
      </c>
      <c r="AX266" s="1120">
        <f t="shared" si="129"/>
        <v>0</v>
      </c>
      <c r="AY266" s="2987">
        <f t="shared" si="130"/>
        <v>0</v>
      </c>
      <c r="AZ266" s="2942">
        <f t="shared" si="131"/>
        <v>0</v>
      </c>
      <c r="BA266" s="2942">
        <f t="shared" si="132"/>
        <v>0</v>
      </c>
      <c r="BB266" s="2942">
        <f t="shared" si="133"/>
        <v>0</v>
      </c>
      <c r="BC266" s="2942">
        <f t="shared" si="134"/>
        <v>0</v>
      </c>
      <c r="BD266" s="2942">
        <f t="shared" si="135"/>
        <v>0</v>
      </c>
      <c r="BE266" s="2942">
        <f t="shared" si="136"/>
        <v>0</v>
      </c>
      <c r="BF266" s="2942">
        <f t="shared" si="137"/>
        <v>0</v>
      </c>
      <c r="BG266" s="2942">
        <f t="shared" si="138"/>
        <v>0</v>
      </c>
      <c r="BH266" s="2942">
        <f t="shared" si="139"/>
        <v>0</v>
      </c>
      <c r="BI266" s="2942">
        <f t="shared" si="140"/>
        <v>0</v>
      </c>
      <c r="BJ266" s="2942">
        <f t="shared" si="141"/>
        <v>0</v>
      </c>
      <c r="BK266" s="2942">
        <f t="shared" si="142"/>
        <v>0</v>
      </c>
      <c r="BL266" s="2942">
        <f t="shared" si="143"/>
        <v>0</v>
      </c>
      <c r="BM266" s="2942">
        <f t="shared" si="144"/>
        <v>0</v>
      </c>
      <c r="BN266" s="2942">
        <f t="shared" si="145"/>
        <v>0</v>
      </c>
      <c r="BO266" s="2942">
        <f t="shared" si="146"/>
        <v>0</v>
      </c>
      <c r="BP266" s="2942">
        <f t="shared" si="147"/>
        <v>0</v>
      </c>
      <c r="BQ266" s="2942">
        <f t="shared" si="148"/>
        <v>0</v>
      </c>
      <c r="BR266" s="2942">
        <f t="shared" si="149"/>
        <v>0</v>
      </c>
      <c r="BS266" s="2942">
        <f t="shared" si="150"/>
        <v>0</v>
      </c>
      <c r="BT266" s="2994">
        <f t="shared" si="151"/>
        <v>0</v>
      </c>
    </row>
    <row r="267" spans="1:72">
      <c r="A267" s="2939"/>
      <c r="B267" s="2940"/>
      <c r="C267" s="2940"/>
      <c r="D267" s="2941"/>
      <c r="E267" s="2942">
        <f t="shared" si="123"/>
        <v>0</v>
      </c>
      <c r="F267" s="2943"/>
      <c r="G267" s="2944">
        <f t="shared" si="124"/>
        <v>0</v>
      </c>
      <c r="H267" s="2945">
        <f t="shared" si="125"/>
        <v>0</v>
      </c>
      <c r="I267" s="2952"/>
      <c r="J267" s="2952"/>
      <c r="K267" s="2952"/>
      <c r="L267" s="2952"/>
      <c r="M267" s="2952"/>
      <c r="N267" s="2952"/>
      <c r="O267" s="2952"/>
      <c r="P267" s="2952"/>
      <c r="Q267" s="2952"/>
      <c r="R267" s="2952"/>
      <c r="S267" s="2952"/>
      <c r="T267" s="2952"/>
      <c r="U267" s="2952"/>
      <c r="V267" s="2952"/>
      <c r="W267" s="2952"/>
      <c r="X267" s="2952"/>
      <c r="Y267" s="2952"/>
      <c r="Z267" s="2952"/>
      <c r="AA267" s="2952"/>
      <c r="AB267" s="2952"/>
      <c r="AC267" s="2942">
        <f t="shared" si="126"/>
        <v>0</v>
      </c>
      <c r="AD267" s="2962"/>
      <c r="AE267" s="2962"/>
      <c r="AF267" s="2962"/>
      <c r="AG267" s="2962"/>
      <c r="AH267" s="2962"/>
      <c r="AI267" s="2962"/>
      <c r="AJ267" s="2962"/>
      <c r="AK267" s="2962"/>
      <c r="AL267" s="2962"/>
      <c r="AM267" s="2962"/>
      <c r="AN267" s="2962"/>
      <c r="AO267" s="2962"/>
      <c r="AP267" s="2962"/>
      <c r="AQ267" s="2962"/>
      <c r="AR267" s="2962"/>
      <c r="AS267" s="2962"/>
      <c r="AT267" s="2972"/>
      <c r="AU267" s="2973"/>
      <c r="AV267" s="1120">
        <f t="shared" si="127"/>
        <v>0</v>
      </c>
      <c r="AW267" s="1120">
        <f t="shared" si="128"/>
        <v>0</v>
      </c>
      <c r="AX267" s="1120">
        <f t="shared" si="129"/>
        <v>0</v>
      </c>
      <c r="AY267" s="2987">
        <f t="shared" si="130"/>
        <v>0</v>
      </c>
      <c r="AZ267" s="2942">
        <f t="shared" si="131"/>
        <v>0</v>
      </c>
      <c r="BA267" s="2942">
        <f t="shared" si="132"/>
        <v>0</v>
      </c>
      <c r="BB267" s="2942">
        <f t="shared" si="133"/>
        <v>0</v>
      </c>
      <c r="BC267" s="2942">
        <f t="shared" si="134"/>
        <v>0</v>
      </c>
      <c r="BD267" s="2942">
        <f t="shared" si="135"/>
        <v>0</v>
      </c>
      <c r="BE267" s="2942">
        <f t="shared" si="136"/>
        <v>0</v>
      </c>
      <c r="BF267" s="2942">
        <f t="shared" si="137"/>
        <v>0</v>
      </c>
      <c r="BG267" s="2942">
        <f t="shared" si="138"/>
        <v>0</v>
      </c>
      <c r="BH267" s="2942">
        <f t="shared" si="139"/>
        <v>0</v>
      </c>
      <c r="BI267" s="2942">
        <f t="shared" si="140"/>
        <v>0</v>
      </c>
      <c r="BJ267" s="2942">
        <f t="shared" si="141"/>
        <v>0</v>
      </c>
      <c r="BK267" s="2942">
        <f t="shared" si="142"/>
        <v>0</v>
      </c>
      <c r="BL267" s="2942">
        <f t="shared" si="143"/>
        <v>0</v>
      </c>
      <c r="BM267" s="2942">
        <f t="shared" si="144"/>
        <v>0</v>
      </c>
      <c r="BN267" s="2942">
        <f t="shared" si="145"/>
        <v>0</v>
      </c>
      <c r="BO267" s="2942">
        <f t="shared" si="146"/>
        <v>0</v>
      </c>
      <c r="BP267" s="2942">
        <f t="shared" si="147"/>
        <v>0</v>
      </c>
      <c r="BQ267" s="2942">
        <f t="shared" si="148"/>
        <v>0</v>
      </c>
      <c r="BR267" s="2942">
        <f t="shared" si="149"/>
        <v>0</v>
      </c>
      <c r="BS267" s="2942">
        <f t="shared" si="150"/>
        <v>0</v>
      </c>
      <c r="BT267" s="2994">
        <f t="shared" si="151"/>
        <v>0</v>
      </c>
    </row>
    <row r="268" spans="1:72">
      <c r="A268" s="2939"/>
      <c r="B268" s="2940"/>
      <c r="C268" s="2940"/>
      <c r="D268" s="2941"/>
      <c r="E268" s="2942">
        <f t="shared" si="123"/>
        <v>0</v>
      </c>
      <c r="F268" s="2943"/>
      <c r="G268" s="2944">
        <f t="shared" si="124"/>
        <v>0</v>
      </c>
      <c r="H268" s="2945">
        <f t="shared" si="125"/>
        <v>0</v>
      </c>
      <c r="I268" s="2952"/>
      <c r="J268" s="2952"/>
      <c r="K268" s="2952"/>
      <c r="L268" s="2952"/>
      <c r="M268" s="2952"/>
      <c r="N268" s="2952"/>
      <c r="O268" s="2952"/>
      <c r="P268" s="2952"/>
      <c r="Q268" s="2952"/>
      <c r="R268" s="2952"/>
      <c r="S268" s="2952"/>
      <c r="T268" s="2952"/>
      <c r="U268" s="2952"/>
      <c r="V268" s="2952"/>
      <c r="W268" s="2952"/>
      <c r="X268" s="2952"/>
      <c r="Y268" s="2952"/>
      <c r="Z268" s="2952"/>
      <c r="AA268" s="2952"/>
      <c r="AB268" s="2952"/>
      <c r="AC268" s="2942">
        <f t="shared" si="126"/>
        <v>0</v>
      </c>
      <c r="AD268" s="2962"/>
      <c r="AE268" s="2962"/>
      <c r="AF268" s="2962"/>
      <c r="AG268" s="2962"/>
      <c r="AH268" s="2962"/>
      <c r="AI268" s="2962"/>
      <c r="AJ268" s="2962"/>
      <c r="AK268" s="2962"/>
      <c r="AL268" s="2962"/>
      <c r="AM268" s="2962"/>
      <c r="AN268" s="2962"/>
      <c r="AO268" s="2962"/>
      <c r="AP268" s="2962"/>
      <c r="AQ268" s="2962"/>
      <c r="AR268" s="2962"/>
      <c r="AS268" s="2962"/>
      <c r="AT268" s="2972"/>
      <c r="AU268" s="2973"/>
      <c r="AV268" s="1120">
        <f t="shared" si="127"/>
        <v>0</v>
      </c>
      <c r="AW268" s="1120">
        <f t="shared" si="128"/>
        <v>0</v>
      </c>
      <c r="AX268" s="1120">
        <f t="shared" si="129"/>
        <v>0</v>
      </c>
      <c r="AY268" s="2987">
        <f t="shared" si="130"/>
        <v>0</v>
      </c>
      <c r="AZ268" s="2942">
        <f t="shared" si="131"/>
        <v>0</v>
      </c>
      <c r="BA268" s="2942">
        <f t="shared" si="132"/>
        <v>0</v>
      </c>
      <c r="BB268" s="2942">
        <f t="shared" si="133"/>
        <v>0</v>
      </c>
      <c r="BC268" s="2942">
        <f t="shared" si="134"/>
        <v>0</v>
      </c>
      <c r="BD268" s="2942">
        <f t="shared" si="135"/>
        <v>0</v>
      </c>
      <c r="BE268" s="2942">
        <f t="shared" si="136"/>
        <v>0</v>
      </c>
      <c r="BF268" s="2942">
        <f t="shared" si="137"/>
        <v>0</v>
      </c>
      <c r="BG268" s="2942">
        <f t="shared" si="138"/>
        <v>0</v>
      </c>
      <c r="BH268" s="2942">
        <f t="shared" si="139"/>
        <v>0</v>
      </c>
      <c r="BI268" s="2942">
        <f t="shared" si="140"/>
        <v>0</v>
      </c>
      <c r="BJ268" s="2942">
        <f t="shared" si="141"/>
        <v>0</v>
      </c>
      <c r="BK268" s="2942">
        <f t="shared" si="142"/>
        <v>0</v>
      </c>
      <c r="BL268" s="2942">
        <f t="shared" si="143"/>
        <v>0</v>
      </c>
      <c r="BM268" s="2942">
        <f t="shared" si="144"/>
        <v>0</v>
      </c>
      <c r="BN268" s="2942">
        <f t="shared" si="145"/>
        <v>0</v>
      </c>
      <c r="BO268" s="2942">
        <f t="shared" si="146"/>
        <v>0</v>
      </c>
      <c r="BP268" s="2942">
        <f t="shared" si="147"/>
        <v>0</v>
      </c>
      <c r="BQ268" s="2942">
        <f t="shared" si="148"/>
        <v>0</v>
      </c>
      <c r="BR268" s="2942">
        <f t="shared" si="149"/>
        <v>0</v>
      </c>
      <c r="BS268" s="2942">
        <f t="shared" si="150"/>
        <v>0</v>
      </c>
      <c r="BT268" s="2994">
        <f t="shared" si="151"/>
        <v>0</v>
      </c>
    </row>
    <row r="269" spans="1:72">
      <c r="A269" s="2939"/>
      <c r="B269" s="2940"/>
      <c r="C269" s="2940"/>
      <c r="D269" s="2941"/>
      <c r="E269" s="2942">
        <f t="shared" si="123"/>
        <v>0</v>
      </c>
      <c r="F269" s="2943"/>
      <c r="G269" s="2944">
        <f t="shared" si="124"/>
        <v>0</v>
      </c>
      <c r="H269" s="2945">
        <f t="shared" si="125"/>
        <v>0</v>
      </c>
      <c r="I269" s="2952"/>
      <c r="J269" s="2952"/>
      <c r="K269" s="2952"/>
      <c r="L269" s="2952"/>
      <c r="M269" s="2952"/>
      <c r="N269" s="2952"/>
      <c r="O269" s="2952"/>
      <c r="P269" s="2952"/>
      <c r="Q269" s="2952"/>
      <c r="R269" s="2952"/>
      <c r="S269" s="2952"/>
      <c r="T269" s="2952"/>
      <c r="U269" s="2952"/>
      <c r="V269" s="2952"/>
      <c r="W269" s="2952"/>
      <c r="X269" s="2952"/>
      <c r="Y269" s="2952"/>
      <c r="Z269" s="2952"/>
      <c r="AA269" s="2952"/>
      <c r="AB269" s="2952"/>
      <c r="AC269" s="2942">
        <f t="shared" si="126"/>
        <v>0</v>
      </c>
      <c r="AD269" s="2962"/>
      <c r="AE269" s="2962"/>
      <c r="AF269" s="2962"/>
      <c r="AG269" s="2962"/>
      <c r="AH269" s="2962"/>
      <c r="AI269" s="2962"/>
      <c r="AJ269" s="2962"/>
      <c r="AK269" s="2962"/>
      <c r="AL269" s="2962"/>
      <c r="AM269" s="2962"/>
      <c r="AN269" s="2962"/>
      <c r="AO269" s="2962"/>
      <c r="AP269" s="2962"/>
      <c r="AQ269" s="2962"/>
      <c r="AR269" s="2962"/>
      <c r="AS269" s="2962"/>
      <c r="AT269" s="2972"/>
      <c r="AU269" s="2973"/>
      <c r="AV269" s="1120">
        <f t="shared" si="127"/>
        <v>0</v>
      </c>
      <c r="AW269" s="1120">
        <f t="shared" si="128"/>
        <v>0</v>
      </c>
      <c r="AX269" s="1120">
        <f t="shared" si="129"/>
        <v>0</v>
      </c>
      <c r="AY269" s="2987">
        <f t="shared" si="130"/>
        <v>0</v>
      </c>
      <c r="AZ269" s="2942">
        <f t="shared" si="131"/>
        <v>0</v>
      </c>
      <c r="BA269" s="2942">
        <f t="shared" si="132"/>
        <v>0</v>
      </c>
      <c r="BB269" s="2942">
        <f t="shared" si="133"/>
        <v>0</v>
      </c>
      <c r="BC269" s="2942">
        <f t="shared" si="134"/>
        <v>0</v>
      </c>
      <c r="BD269" s="2942">
        <f t="shared" si="135"/>
        <v>0</v>
      </c>
      <c r="BE269" s="2942">
        <f t="shared" si="136"/>
        <v>0</v>
      </c>
      <c r="BF269" s="2942">
        <f t="shared" si="137"/>
        <v>0</v>
      </c>
      <c r="BG269" s="2942">
        <f t="shared" si="138"/>
        <v>0</v>
      </c>
      <c r="BH269" s="2942">
        <f t="shared" si="139"/>
        <v>0</v>
      </c>
      <c r="BI269" s="2942">
        <f t="shared" si="140"/>
        <v>0</v>
      </c>
      <c r="BJ269" s="2942">
        <f t="shared" si="141"/>
        <v>0</v>
      </c>
      <c r="BK269" s="2942">
        <f t="shared" si="142"/>
        <v>0</v>
      </c>
      <c r="BL269" s="2942">
        <f t="shared" si="143"/>
        <v>0</v>
      </c>
      <c r="BM269" s="2942">
        <f t="shared" si="144"/>
        <v>0</v>
      </c>
      <c r="BN269" s="2942">
        <f t="shared" si="145"/>
        <v>0</v>
      </c>
      <c r="BO269" s="2942">
        <f t="shared" si="146"/>
        <v>0</v>
      </c>
      <c r="BP269" s="2942">
        <f t="shared" si="147"/>
        <v>0</v>
      </c>
      <c r="BQ269" s="2942">
        <f t="shared" si="148"/>
        <v>0</v>
      </c>
      <c r="BR269" s="2942">
        <f t="shared" si="149"/>
        <v>0</v>
      </c>
      <c r="BS269" s="2942">
        <f t="shared" si="150"/>
        <v>0</v>
      </c>
      <c r="BT269" s="2994">
        <f t="shared" si="151"/>
        <v>0</v>
      </c>
    </row>
    <row r="270" spans="1:72">
      <c r="A270" s="2939"/>
      <c r="B270" s="2940"/>
      <c r="C270" s="2940"/>
      <c r="D270" s="2941"/>
      <c r="E270" s="2942">
        <f t="shared" si="123"/>
        <v>0</v>
      </c>
      <c r="F270" s="2943"/>
      <c r="G270" s="2944">
        <f t="shared" si="124"/>
        <v>0</v>
      </c>
      <c r="H270" s="2945">
        <f t="shared" si="125"/>
        <v>0</v>
      </c>
      <c r="I270" s="2952"/>
      <c r="J270" s="2952"/>
      <c r="K270" s="2952"/>
      <c r="L270" s="2952"/>
      <c r="M270" s="2952"/>
      <c r="N270" s="2952"/>
      <c r="O270" s="2952"/>
      <c r="P270" s="2952"/>
      <c r="Q270" s="2952"/>
      <c r="R270" s="2952"/>
      <c r="S270" s="2952"/>
      <c r="T270" s="2952"/>
      <c r="U270" s="2952"/>
      <c r="V270" s="2952"/>
      <c r="W270" s="2952"/>
      <c r="X270" s="2952"/>
      <c r="Y270" s="2952"/>
      <c r="Z270" s="2952"/>
      <c r="AA270" s="2952"/>
      <c r="AB270" s="2952"/>
      <c r="AC270" s="2942">
        <f t="shared" si="126"/>
        <v>0</v>
      </c>
      <c r="AD270" s="2962"/>
      <c r="AE270" s="2962"/>
      <c r="AF270" s="2962"/>
      <c r="AG270" s="2962"/>
      <c r="AH270" s="2962"/>
      <c r="AI270" s="2962"/>
      <c r="AJ270" s="2962"/>
      <c r="AK270" s="2962"/>
      <c r="AL270" s="2962"/>
      <c r="AM270" s="2962"/>
      <c r="AN270" s="2962"/>
      <c r="AO270" s="2962"/>
      <c r="AP270" s="2962"/>
      <c r="AQ270" s="2962"/>
      <c r="AR270" s="2962"/>
      <c r="AS270" s="2962"/>
      <c r="AT270" s="2972"/>
      <c r="AU270" s="2973"/>
      <c r="AV270" s="1120">
        <f t="shared" si="127"/>
        <v>0</v>
      </c>
      <c r="AW270" s="1120">
        <f t="shared" si="128"/>
        <v>0</v>
      </c>
      <c r="AX270" s="1120">
        <f t="shared" si="129"/>
        <v>0</v>
      </c>
      <c r="AY270" s="2987">
        <f t="shared" si="130"/>
        <v>0</v>
      </c>
      <c r="AZ270" s="2942">
        <f t="shared" si="131"/>
        <v>0</v>
      </c>
      <c r="BA270" s="2942">
        <f t="shared" si="132"/>
        <v>0</v>
      </c>
      <c r="BB270" s="2942">
        <f t="shared" si="133"/>
        <v>0</v>
      </c>
      <c r="BC270" s="2942">
        <f t="shared" si="134"/>
        <v>0</v>
      </c>
      <c r="BD270" s="2942">
        <f t="shared" si="135"/>
        <v>0</v>
      </c>
      <c r="BE270" s="2942">
        <f t="shared" si="136"/>
        <v>0</v>
      </c>
      <c r="BF270" s="2942">
        <f t="shared" si="137"/>
        <v>0</v>
      </c>
      <c r="BG270" s="2942">
        <f t="shared" si="138"/>
        <v>0</v>
      </c>
      <c r="BH270" s="2942">
        <f t="shared" si="139"/>
        <v>0</v>
      </c>
      <c r="BI270" s="2942">
        <f t="shared" si="140"/>
        <v>0</v>
      </c>
      <c r="BJ270" s="2942">
        <f t="shared" si="141"/>
        <v>0</v>
      </c>
      <c r="BK270" s="2942">
        <f t="shared" si="142"/>
        <v>0</v>
      </c>
      <c r="BL270" s="2942">
        <f t="shared" si="143"/>
        <v>0</v>
      </c>
      <c r="BM270" s="2942">
        <f t="shared" si="144"/>
        <v>0</v>
      </c>
      <c r="BN270" s="2942">
        <f t="shared" si="145"/>
        <v>0</v>
      </c>
      <c r="BO270" s="2942">
        <f t="shared" si="146"/>
        <v>0</v>
      </c>
      <c r="BP270" s="2942">
        <f t="shared" si="147"/>
        <v>0</v>
      </c>
      <c r="BQ270" s="2942">
        <f t="shared" si="148"/>
        <v>0</v>
      </c>
      <c r="BR270" s="2942">
        <f t="shared" si="149"/>
        <v>0</v>
      </c>
      <c r="BS270" s="2942">
        <f t="shared" si="150"/>
        <v>0</v>
      </c>
      <c r="BT270" s="2994">
        <f t="shared" si="151"/>
        <v>0</v>
      </c>
    </row>
    <row r="271" spans="1:72">
      <c r="A271" s="2939"/>
      <c r="B271" s="2940"/>
      <c r="C271" s="2940"/>
      <c r="D271" s="2941"/>
      <c r="E271" s="2942">
        <f t="shared" si="123"/>
        <v>0</v>
      </c>
      <c r="F271" s="2943"/>
      <c r="G271" s="2944">
        <f t="shared" si="124"/>
        <v>0</v>
      </c>
      <c r="H271" s="2945">
        <f t="shared" si="125"/>
        <v>0</v>
      </c>
      <c r="I271" s="2952"/>
      <c r="J271" s="2952"/>
      <c r="K271" s="2952"/>
      <c r="L271" s="2952"/>
      <c r="M271" s="2952"/>
      <c r="N271" s="2952"/>
      <c r="O271" s="2952"/>
      <c r="P271" s="2952"/>
      <c r="Q271" s="2952"/>
      <c r="R271" s="2952"/>
      <c r="S271" s="2952"/>
      <c r="T271" s="2952"/>
      <c r="U271" s="2952"/>
      <c r="V271" s="2952"/>
      <c r="W271" s="2952"/>
      <c r="X271" s="2952"/>
      <c r="Y271" s="2952"/>
      <c r="Z271" s="2952"/>
      <c r="AA271" s="2952"/>
      <c r="AB271" s="2952"/>
      <c r="AC271" s="2942">
        <f t="shared" si="126"/>
        <v>0</v>
      </c>
      <c r="AD271" s="2962"/>
      <c r="AE271" s="2962"/>
      <c r="AF271" s="2962"/>
      <c r="AG271" s="2962"/>
      <c r="AH271" s="2962"/>
      <c r="AI271" s="2962"/>
      <c r="AJ271" s="2962"/>
      <c r="AK271" s="2962"/>
      <c r="AL271" s="2962"/>
      <c r="AM271" s="2962"/>
      <c r="AN271" s="2962"/>
      <c r="AO271" s="2962"/>
      <c r="AP271" s="2962"/>
      <c r="AQ271" s="2962"/>
      <c r="AR271" s="2962"/>
      <c r="AS271" s="2962"/>
      <c r="AT271" s="2972"/>
      <c r="AU271" s="2973"/>
      <c r="AV271" s="1120">
        <f t="shared" si="127"/>
        <v>0</v>
      </c>
      <c r="AW271" s="1120">
        <f t="shared" si="128"/>
        <v>0</v>
      </c>
      <c r="AX271" s="1120">
        <f t="shared" si="129"/>
        <v>0</v>
      </c>
      <c r="AY271" s="2987">
        <f t="shared" si="130"/>
        <v>0</v>
      </c>
      <c r="AZ271" s="2942">
        <f t="shared" si="131"/>
        <v>0</v>
      </c>
      <c r="BA271" s="2942">
        <f t="shared" si="132"/>
        <v>0</v>
      </c>
      <c r="BB271" s="2942">
        <f t="shared" si="133"/>
        <v>0</v>
      </c>
      <c r="BC271" s="2942">
        <f t="shared" si="134"/>
        <v>0</v>
      </c>
      <c r="BD271" s="2942">
        <f t="shared" si="135"/>
        <v>0</v>
      </c>
      <c r="BE271" s="2942">
        <f t="shared" si="136"/>
        <v>0</v>
      </c>
      <c r="BF271" s="2942">
        <f t="shared" si="137"/>
        <v>0</v>
      </c>
      <c r="BG271" s="2942">
        <f t="shared" si="138"/>
        <v>0</v>
      </c>
      <c r="BH271" s="2942">
        <f t="shared" si="139"/>
        <v>0</v>
      </c>
      <c r="BI271" s="2942">
        <f t="shared" si="140"/>
        <v>0</v>
      </c>
      <c r="BJ271" s="2942">
        <f t="shared" si="141"/>
        <v>0</v>
      </c>
      <c r="BK271" s="2942">
        <f t="shared" si="142"/>
        <v>0</v>
      </c>
      <c r="BL271" s="2942">
        <f t="shared" si="143"/>
        <v>0</v>
      </c>
      <c r="BM271" s="2942">
        <f t="shared" si="144"/>
        <v>0</v>
      </c>
      <c r="BN271" s="2942">
        <f t="shared" si="145"/>
        <v>0</v>
      </c>
      <c r="BO271" s="2942">
        <f t="shared" si="146"/>
        <v>0</v>
      </c>
      <c r="BP271" s="2942">
        <f t="shared" si="147"/>
        <v>0</v>
      </c>
      <c r="BQ271" s="2942">
        <f t="shared" si="148"/>
        <v>0</v>
      </c>
      <c r="BR271" s="2942">
        <f t="shared" si="149"/>
        <v>0</v>
      </c>
      <c r="BS271" s="2942">
        <f t="shared" si="150"/>
        <v>0</v>
      </c>
      <c r="BT271" s="2994">
        <f t="shared" si="151"/>
        <v>0</v>
      </c>
    </row>
    <row r="272" spans="1:72">
      <c r="A272" s="2939"/>
      <c r="B272" s="2940"/>
      <c r="C272" s="2940"/>
      <c r="D272" s="2941"/>
      <c r="E272" s="2942">
        <f t="shared" si="123"/>
        <v>0</v>
      </c>
      <c r="F272" s="2943"/>
      <c r="G272" s="2944">
        <f t="shared" si="124"/>
        <v>0</v>
      </c>
      <c r="H272" s="2945">
        <f t="shared" si="125"/>
        <v>0</v>
      </c>
      <c r="I272" s="2952"/>
      <c r="J272" s="2952"/>
      <c r="K272" s="2952"/>
      <c r="L272" s="2952"/>
      <c r="M272" s="2952"/>
      <c r="N272" s="2952"/>
      <c r="O272" s="2952"/>
      <c r="P272" s="2952"/>
      <c r="Q272" s="2952"/>
      <c r="R272" s="2952"/>
      <c r="S272" s="2952"/>
      <c r="T272" s="2952"/>
      <c r="U272" s="2952"/>
      <c r="V272" s="2952"/>
      <c r="W272" s="2952"/>
      <c r="X272" s="2952"/>
      <c r="Y272" s="2952"/>
      <c r="Z272" s="2952"/>
      <c r="AA272" s="2952"/>
      <c r="AB272" s="2952"/>
      <c r="AC272" s="2942">
        <f t="shared" si="126"/>
        <v>0</v>
      </c>
      <c r="AD272" s="2962"/>
      <c r="AE272" s="2962"/>
      <c r="AF272" s="2962"/>
      <c r="AG272" s="2962"/>
      <c r="AH272" s="2962"/>
      <c r="AI272" s="2962"/>
      <c r="AJ272" s="2962"/>
      <c r="AK272" s="2962"/>
      <c r="AL272" s="2962"/>
      <c r="AM272" s="2962"/>
      <c r="AN272" s="2962"/>
      <c r="AO272" s="2962"/>
      <c r="AP272" s="2962"/>
      <c r="AQ272" s="2962"/>
      <c r="AR272" s="2962"/>
      <c r="AS272" s="2962"/>
      <c r="AT272" s="2972"/>
      <c r="AU272" s="2973"/>
      <c r="AV272" s="1120">
        <f t="shared" si="127"/>
        <v>0</v>
      </c>
      <c r="AW272" s="1120">
        <f t="shared" si="128"/>
        <v>0</v>
      </c>
      <c r="AX272" s="1120">
        <f t="shared" si="129"/>
        <v>0</v>
      </c>
      <c r="AY272" s="2987">
        <f t="shared" si="130"/>
        <v>0</v>
      </c>
      <c r="AZ272" s="2942">
        <f t="shared" si="131"/>
        <v>0</v>
      </c>
      <c r="BA272" s="2942">
        <f t="shared" si="132"/>
        <v>0</v>
      </c>
      <c r="BB272" s="2942">
        <f t="shared" si="133"/>
        <v>0</v>
      </c>
      <c r="BC272" s="2942">
        <f t="shared" si="134"/>
        <v>0</v>
      </c>
      <c r="BD272" s="2942">
        <f t="shared" si="135"/>
        <v>0</v>
      </c>
      <c r="BE272" s="2942">
        <f t="shared" si="136"/>
        <v>0</v>
      </c>
      <c r="BF272" s="2942">
        <f t="shared" si="137"/>
        <v>0</v>
      </c>
      <c r="BG272" s="2942">
        <f t="shared" si="138"/>
        <v>0</v>
      </c>
      <c r="BH272" s="2942">
        <f t="shared" si="139"/>
        <v>0</v>
      </c>
      <c r="BI272" s="2942">
        <f t="shared" si="140"/>
        <v>0</v>
      </c>
      <c r="BJ272" s="2942">
        <f t="shared" si="141"/>
        <v>0</v>
      </c>
      <c r="BK272" s="2942">
        <f t="shared" si="142"/>
        <v>0</v>
      </c>
      <c r="BL272" s="2942">
        <f t="shared" si="143"/>
        <v>0</v>
      </c>
      <c r="BM272" s="2942">
        <f t="shared" si="144"/>
        <v>0</v>
      </c>
      <c r="BN272" s="2942">
        <f t="shared" si="145"/>
        <v>0</v>
      </c>
      <c r="BO272" s="2942">
        <f t="shared" si="146"/>
        <v>0</v>
      </c>
      <c r="BP272" s="2942">
        <f t="shared" si="147"/>
        <v>0</v>
      </c>
      <c r="BQ272" s="2942">
        <f t="shared" si="148"/>
        <v>0</v>
      </c>
      <c r="BR272" s="2942">
        <f t="shared" si="149"/>
        <v>0</v>
      </c>
      <c r="BS272" s="2942">
        <f t="shared" si="150"/>
        <v>0</v>
      </c>
      <c r="BT272" s="2994">
        <f t="shared" si="151"/>
        <v>0</v>
      </c>
    </row>
    <row r="273" spans="1:72">
      <c r="A273" s="2939"/>
      <c r="B273" s="2940"/>
      <c r="C273" s="2940"/>
      <c r="D273" s="2941"/>
      <c r="E273" s="2942">
        <f t="shared" si="123"/>
        <v>0</v>
      </c>
      <c r="F273" s="2943"/>
      <c r="G273" s="2944">
        <f t="shared" si="124"/>
        <v>0</v>
      </c>
      <c r="H273" s="2945">
        <f t="shared" si="125"/>
        <v>0</v>
      </c>
      <c r="I273" s="2952"/>
      <c r="J273" s="2952"/>
      <c r="K273" s="2952"/>
      <c r="L273" s="2952"/>
      <c r="M273" s="2952"/>
      <c r="N273" s="2952"/>
      <c r="O273" s="2952"/>
      <c r="P273" s="2952"/>
      <c r="Q273" s="2952"/>
      <c r="R273" s="2952"/>
      <c r="S273" s="2952"/>
      <c r="T273" s="2952"/>
      <c r="U273" s="2952"/>
      <c r="V273" s="2952"/>
      <c r="W273" s="2952"/>
      <c r="X273" s="2952"/>
      <c r="Y273" s="2952"/>
      <c r="Z273" s="2952"/>
      <c r="AA273" s="2952"/>
      <c r="AB273" s="2952"/>
      <c r="AC273" s="2942">
        <f t="shared" si="126"/>
        <v>0</v>
      </c>
      <c r="AD273" s="2962"/>
      <c r="AE273" s="2962"/>
      <c r="AF273" s="2962"/>
      <c r="AG273" s="2962"/>
      <c r="AH273" s="2962"/>
      <c r="AI273" s="2962"/>
      <c r="AJ273" s="2962"/>
      <c r="AK273" s="2962"/>
      <c r="AL273" s="2962"/>
      <c r="AM273" s="2962"/>
      <c r="AN273" s="2962"/>
      <c r="AO273" s="2962"/>
      <c r="AP273" s="2962"/>
      <c r="AQ273" s="2962"/>
      <c r="AR273" s="2962"/>
      <c r="AS273" s="2962"/>
      <c r="AT273" s="2972"/>
      <c r="AU273" s="2973"/>
      <c r="AV273" s="1120">
        <f t="shared" si="127"/>
        <v>0</v>
      </c>
      <c r="AW273" s="1120">
        <f t="shared" si="128"/>
        <v>0</v>
      </c>
      <c r="AX273" s="1120">
        <f t="shared" si="129"/>
        <v>0</v>
      </c>
      <c r="AY273" s="2987">
        <f t="shared" si="130"/>
        <v>0</v>
      </c>
      <c r="AZ273" s="2942">
        <f t="shared" si="131"/>
        <v>0</v>
      </c>
      <c r="BA273" s="2942">
        <f t="shared" si="132"/>
        <v>0</v>
      </c>
      <c r="BB273" s="2942">
        <f t="shared" si="133"/>
        <v>0</v>
      </c>
      <c r="BC273" s="2942">
        <f t="shared" si="134"/>
        <v>0</v>
      </c>
      <c r="BD273" s="2942">
        <f t="shared" si="135"/>
        <v>0</v>
      </c>
      <c r="BE273" s="2942">
        <f t="shared" si="136"/>
        <v>0</v>
      </c>
      <c r="BF273" s="2942">
        <f t="shared" si="137"/>
        <v>0</v>
      </c>
      <c r="BG273" s="2942">
        <f t="shared" si="138"/>
        <v>0</v>
      </c>
      <c r="BH273" s="2942">
        <f t="shared" si="139"/>
        <v>0</v>
      </c>
      <c r="BI273" s="2942">
        <f t="shared" si="140"/>
        <v>0</v>
      </c>
      <c r="BJ273" s="2942">
        <f t="shared" si="141"/>
        <v>0</v>
      </c>
      <c r="BK273" s="2942">
        <f t="shared" si="142"/>
        <v>0</v>
      </c>
      <c r="BL273" s="2942">
        <f t="shared" si="143"/>
        <v>0</v>
      </c>
      <c r="BM273" s="2942">
        <f t="shared" si="144"/>
        <v>0</v>
      </c>
      <c r="BN273" s="2942">
        <f t="shared" si="145"/>
        <v>0</v>
      </c>
      <c r="BO273" s="2942">
        <f t="shared" si="146"/>
        <v>0</v>
      </c>
      <c r="BP273" s="2942">
        <f t="shared" si="147"/>
        <v>0</v>
      </c>
      <c r="BQ273" s="2942">
        <f t="shared" si="148"/>
        <v>0</v>
      </c>
      <c r="BR273" s="2942">
        <f t="shared" si="149"/>
        <v>0</v>
      </c>
      <c r="BS273" s="2942">
        <f t="shared" si="150"/>
        <v>0</v>
      </c>
      <c r="BT273" s="2994">
        <f t="shared" si="151"/>
        <v>0</v>
      </c>
    </row>
    <row r="274" spans="1:72">
      <c r="A274" s="2939"/>
      <c r="B274" s="2940"/>
      <c r="C274" s="2940"/>
      <c r="D274" s="2941"/>
      <c r="E274" s="2942">
        <f t="shared" si="123"/>
        <v>0</v>
      </c>
      <c r="F274" s="2943"/>
      <c r="G274" s="2944">
        <f t="shared" si="124"/>
        <v>0</v>
      </c>
      <c r="H274" s="2945">
        <f t="shared" si="125"/>
        <v>0</v>
      </c>
      <c r="I274" s="2952"/>
      <c r="J274" s="2952"/>
      <c r="K274" s="2952"/>
      <c r="L274" s="2952"/>
      <c r="M274" s="2952"/>
      <c r="N274" s="2952"/>
      <c r="O274" s="2952"/>
      <c r="P274" s="2952"/>
      <c r="Q274" s="2952"/>
      <c r="R274" s="2952"/>
      <c r="S274" s="2952"/>
      <c r="T274" s="2952"/>
      <c r="U274" s="2952"/>
      <c r="V274" s="2952"/>
      <c r="W274" s="2952"/>
      <c r="X274" s="2952"/>
      <c r="Y274" s="2952"/>
      <c r="Z274" s="2952"/>
      <c r="AA274" s="2952"/>
      <c r="AB274" s="2952"/>
      <c r="AC274" s="2942">
        <f t="shared" si="126"/>
        <v>0</v>
      </c>
      <c r="AD274" s="2962"/>
      <c r="AE274" s="2962"/>
      <c r="AF274" s="2962"/>
      <c r="AG274" s="2962"/>
      <c r="AH274" s="2962"/>
      <c r="AI274" s="2962"/>
      <c r="AJ274" s="2962"/>
      <c r="AK274" s="2962"/>
      <c r="AL274" s="2962"/>
      <c r="AM274" s="2962"/>
      <c r="AN274" s="2962"/>
      <c r="AO274" s="2962"/>
      <c r="AP274" s="2962"/>
      <c r="AQ274" s="2962"/>
      <c r="AR274" s="2962"/>
      <c r="AS274" s="2962"/>
      <c r="AT274" s="2972"/>
      <c r="AU274" s="2973"/>
      <c r="AV274" s="1120">
        <f t="shared" si="127"/>
        <v>0</v>
      </c>
      <c r="AW274" s="1120">
        <f t="shared" si="128"/>
        <v>0</v>
      </c>
      <c r="AX274" s="1120">
        <f t="shared" si="129"/>
        <v>0</v>
      </c>
      <c r="AY274" s="2987">
        <f t="shared" si="130"/>
        <v>0</v>
      </c>
      <c r="AZ274" s="2942">
        <f t="shared" si="131"/>
        <v>0</v>
      </c>
      <c r="BA274" s="2942">
        <f t="shared" si="132"/>
        <v>0</v>
      </c>
      <c r="BB274" s="2942">
        <f t="shared" si="133"/>
        <v>0</v>
      </c>
      <c r="BC274" s="2942">
        <f t="shared" si="134"/>
        <v>0</v>
      </c>
      <c r="BD274" s="2942">
        <f t="shared" si="135"/>
        <v>0</v>
      </c>
      <c r="BE274" s="2942">
        <f t="shared" si="136"/>
        <v>0</v>
      </c>
      <c r="BF274" s="2942">
        <f t="shared" si="137"/>
        <v>0</v>
      </c>
      <c r="BG274" s="2942">
        <f t="shared" si="138"/>
        <v>0</v>
      </c>
      <c r="BH274" s="2942">
        <f t="shared" si="139"/>
        <v>0</v>
      </c>
      <c r="BI274" s="2942">
        <f t="shared" si="140"/>
        <v>0</v>
      </c>
      <c r="BJ274" s="2942">
        <f t="shared" si="141"/>
        <v>0</v>
      </c>
      <c r="BK274" s="2942">
        <f t="shared" si="142"/>
        <v>0</v>
      </c>
      <c r="BL274" s="2942">
        <f t="shared" si="143"/>
        <v>0</v>
      </c>
      <c r="BM274" s="2942">
        <f t="shared" si="144"/>
        <v>0</v>
      </c>
      <c r="BN274" s="2942">
        <f t="shared" si="145"/>
        <v>0</v>
      </c>
      <c r="BO274" s="2942">
        <f t="shared" si="146"/>
        <v>0</v>
      </c>
      <c r="BP274" s="2942">
        <f t="shared" si="147"/>
        <v>0</v>
      </c>
      <c r="BQ274" s="2942">
        <f t="shared" si="148"/>
        <v>0</v>
      </c>
      <c r="BR274" s="2942">
        <f t="shared" si="149"/>
        <v>0</v>
      </c>
      <c r="BS274" s="2942">
        <f t="shared" si="150"/>
        <v>0</v>
      </c>
      <c r="BT274" s="2994">
        <f t="shared" si="151"/>
        <v>0</v>
      </c>
    </row>
    <row r="275" spans="1:72">
      <c r="A275" s="2939"/>
      <c r="B275" s="2940"/>
      <c r="C275" s="2940"/>
      <c r="D275" s="2941"/>
      <c r="E275" s="2942">
        <f t="shared" si="123"/>
        <v>0</v>
      </c>
      <c r="F275" s="2943"/>
      <c r="G275" s="2944">
        <f t="shared" si="124"/>
        <v>0</v>
      </c>
      <c r="H275" s="2945">
        <f t="shared" si="125"/>
        <v>0</v>
      </c>
      <c r="I275" s="2952"/>
      <c r="J275" s="2952"/>
      <c r="K275" s="2952"/>
      <c r="L275" s="2952"/>
      <c r="M275" s="2952"/>
      <c r="N275" s="2952"/>
      <c r="O275" s="2952"/>
      <c r="P275" s="2952"/>
      <c r="Q275" s="2952"/>
      <c r="R275" s="2952"/>
      <c r="S275" s="2952"/>
      <c r="T275" s="2952"/>
      <c r="U275" s="2952"/>
      <c r="V275" s="2952"/>
      <c r="W275" s="2952"/>
      <c r="X275" s="2952"/>
      <c r="Y275" s="2952"/>
      <c r="Z275" s="2952"/>
      <c r="AA275" s="2952"/>
      <c r="AB275" s="2952"/>
      <c r="AC275" s="2942">
        <f t="shared" si="126"/>
        <v>0</v>
      </c>
      <c r="AD275" s="2962"/>
      <c r="AE275" s="2962"/>
      <c r="AF275" s="2962"/>
      <c r="AG275" s="2962"/>
      <c r="AH275" s="2962"/>
      <c r="AI275" s="2962"/>
      <c r="AJ275" s="2962"/>
      <c r="AK275" s="2962"/>
      <c r="AL275" s="2962"/>
      <c r="AM275" s="2962"/>
      <c r="AN275" s="2962"/>
      <c r="AO275" s="2962"/>
      <c r="AP275" s="2962"/>
      <c r="AQ275" s="2962"/>
      <c r="AR275" s="2962"/>
      <c r="AS275" s="2962"/>
      <c r="AT275" s="2972"/>
      <c r="AU275" s="2973"/>
      <c r="AV275" s="1120">
        <f t="shared" si="127"/>
        <v>0</v>
      </c>
      <c r="AW275" s="1120">
        <f t="shared" si="128"/>
        <v>0</v>
      </c>
      <c r="AX275" s="1120">
        <f t="shared" si="129"/>
        <v>0</v>
      </c>
      <c r="AY275" s="2987">
        <f t="shared" si="130"/>
        <v>0</v>
      </c>
      <c r="AZ275" s="2942">
        <f t="shared" si="131"/>
        <v>0</v>
      </c>
      <c r="BA275" s="2942">
        <f t="shared" si="132"/>
        <v>0</v>
      </c>
      <c r="BB275" s="2942">
        <f t="shared" si="133"/>
        <v>0</v>
      </c>
      <c r="BC275" s="2942">
        <f t="shared" si="134"/>
        <v>0</v>
      </c>
      <c r="BD275" s="2942">
        <f t="shared" si="135"/>
        <v>0</v>
      </c>
      <c r="BE275" s="2942">
        <f t="shared" si="136"/>
        <v>0</v>
      </c>
      <c r="BF275" s="2942">
        <f t="shared" si="137"/>
        <v>0</v>
      </c>
      <c r="BG275" s="2942">
        <f t="shared" si="138"/>
        <v>0</v>
      </c>
      <c r="BH275" s="2942">
        <f t="shared" si="139"/>
        <v>0</v>
      </c>
      <c r="BI275" s="2942">
        <f t="shared" si="140"/>
        <v>0</v>
      </c>
      <c r="BJ275" s="2942">
        <f t="shared" si="141"/>
        <v>0</v>
      </c>
      <c r="BK275" s="2942">
        <f t="shared" si="142"/>
        <v>0</v>
      </c>
      <c r="BL275" s="2942">
        <f t="shared" si="143"/>
        <v>0</v>
      </c>
      <c r="BM275" s="2942">
        <f t="shared" si="144"/>
        <v>0</v>
      </c>
      <c r="BN275" s="2942">
        <f t="shared" si="145"/>
        <v>0</v>
      </c>
      <c r="BO275" s="2942">
        <f t="shared" si="146"/>
        <v>0</v>
      </c>
      <c r="BP275" s="2942">
        <f t="shared" si="147"/>
        <v>0</v>
      </c>
      <c r="BQ275" s="2942">
        <f t="shared" si="148"/>
        <v>0</v>
      </c>
      <c r="BR275" s="2942">
        <f t="shared" si="149"/>
        <v>0</v>
      </c>
      <c r="BS275" s="2942">
        <f t="shared" si="150"/>
        <v>0</v>
      </c>
      <c r="BT275" s="2994">
        <f t="shared" si="151"/>
        <v>0</v>
      </c>
    </row>
    <row r="276" spans="1:72">
      <c r="A276" s="2939"/>
      <c r="B276" s="2940"/>
      <c r="C276" s="2940"/>
      <c r="D276" s="2941"/>
      <c r="E276" s="2942">
        <f t="shared" si="123"/>
        <v>0</v>
      </c>
      <c r="F276" s="2943"/>
      <c r="G276" s="2944">
        <f t="shared" si="124"/>
        <v>0</v>
      </c>
      <c r="H276" s="2945">
        <f t="shared" si="125"/>
        <v>0</v>
      </c>
      <c r="I276" s="2952"/>
      <c r="J276" s="2952"/>
      <c r="K276" s="2952"/>
      <c r="L276" s="2952"/>
      <c r="M276" s="2952"/>
      <c r="N276" s="2952"/>
      <c r="O276" s="2952"/>
      <c r="P276" s="2952"/>
      <c r="Q276" s="2952"/>
      <c r="R276" s="2952"/>
      <c r="S276" s="2952"/>
      <c r="T276" s="2952"/>
      <c r="U276" s="2952"/>
      <c r="V276" s="2952"/>
      <c r="W276" s="2952"/>
      <c r="X276" s="2952"/>
      <c r="Y276" s="2952"/>
      <c r="Z276" s="2952"/>
      <c r="AA276" s="2952"/>
      <c r="AB276" s="2952"/>
      <c r="AC276" s="2942">
        <f t="shared" si="126"/>
        <v>0</v>
      </c>
      <c r="AD276" s="2962"/>
      <c r="AE276" s="2962"/>
      <c r="AF276" s="2962"/>
      <c r="AG276" s="2962"/>
      <c r="AH276" s="2962"/>
      <c r="AI276" s="2962"/>
      <c r="AJ276" s="2962"/>
      <c r="AK276" s="2962"/>
      <c r="AL276" s="2962"/>
      <c r="AM276" s="2962"/>
      <c r="AN276" s="2962"/>
      <c r="AO276" s="2962"/>
      <c r="AP276" s="2962"/>
      <c r="AQ276" s="2962"/>
      <c r="AR276" s="2962"/>
      <c r="AS276" s="2962"/>
      <c r="AT276" s="2972"/>
      <c r="AU276" s="2973"/>
      <c r="AV276" s="1120">
        <f t="shared" si="127"/>
        <v>0</v>
      </c>
      <c r="AW276" s="1120">
        <f t="shared" si="128"/>
        <v>0</v>
      </c>
      <c r="AX276" s="1120">
        <f t="shared" si="129"/>
        <v>0</v>
      </c>
      <c r="AY276" s="2987">
        <f t="shared" si="130"/>
        <v>0</v>
      </c>
      <c r="AZ276" s="2942">
        <f t="shared" si="131"/>
        <v>0</v>
      </c>
      <c r="BA276" s="2942">
        <f t="shared" si="132"/>
        <v>0</v>
      </c>
      <c r="BB276" s="2942">
        <f t="shared" si="133"/>
        <v>0</v>
      </c>
      <c r="BC276" s="2942">
        <f t="shared" si="134"/>
        <v>0</v>
      </c>
      <c r="BD276" s="2942">
        <f t="shared" si="135"/>
        <v>0</v>
      </c>
      <c r="BE276" s="2942">
        <f t="shared" si="136"/>
        <v>0</v>
      </c>
      <c r="BF276" s="2942">
        <f t="shared" si="137"/>
        <v>0</v>
      </c>
      <c r="BG276" s="2942">
        <f t="shared" si="138"/>
        <v>0</v>
      </c>
      <c r="BH276" s="2942">
        <f t="shared" si="139"/>
        <v>0</v>
      </c>
      <c r="BI276" s="2942">
        <f t="shared" si="140"/>
        <v>0</v>
      </c>
      <c r="BJ276" s="2942">
        <f t="shared" si="141"/>
        <v>0</v>
      </c>
      <c r="BK276" s="2942">
        <f t="shared" si="142"/>
        <v>0</v>
      </c>
      <c r="BL276" s="2942">
        <f t="shared" si="143"/>
        <v>0</v>
      </c>
      <c r="BM276" s="2942">
        <f t="shared" si="144"/>
        <v>0</v>
      </c>
      <c r="BN276" s="2942">
        <f t="shared" si="145"/>
        <v>0</v>
      </c>
      <c r="BO276" s="2942">
        <f t="shared" si="146"/>
        <v>0</v>
      </c>
      <c r="BP276" s="2942">
        <f t="shared" si="147"/>
        <v>0</v>
      </c>
      <c r="BQ276" s="2942">
        <f t="shared" si="148"/>
        <v>0</v>
      </c>
      <c r="BR276" s="2942">
        <f t="shared" si="149"/>
        <v>0</v>
      </c>
      <c r="BS276" s="2942">
        <f t="shared" si="150"/>
        <v>0</v>
      </c>
      <c r="BT276" s="2994">
        <f t="shared" si="151"/>
        <v>0</v>
      </c>
    </row>
    <row r="277" spans="1:72">
      <c r="A277" s="2939"/>
      <c r="B277" s="2940"/>
      <c r="C277" s="2940"/>
      <c r="D277" s="2941"/>
      <c r="E277" s="2942">
        <f t="shared" si="123"/>
        <v>0</v>
      </c>
      <c r="F277" s="2943"/>
      <c r="G277" s="2944">
        <f t="shared" si="124"/>
        <v>0</v>
      </c>
      <c r="H277" s="2945">
        <f t="shared" si="125"/>
        <v>0</v>
      </c>
      <c r="I277" s="2952"/>
      <c r="J277" s="2952"/>
      <c r="K277" s="2952"/>
      <c r="L277" s="2952"/>
      <c r="M277" s="2952"/>
      <c r="N277" s="2952"/>
      <c r="O277" s="2952"/>
      <c r="P277" s="2952"/>
      <c r="Q277" s="2952"/>
      <c r="R277" s="2952"/>
      <c r="S277" s="2952"/>
      <c r="T277" s="2952"/>
      <c r="U277" s="2952"/>
      <c r="V277" s="2952"/>
      <c r="W277" s="2952"/>
      <c r="X277" s="2952"/>
      <c r="Y277" s="2952"/>
      <c r="Z277" s="2952"/>
      <c r="AA277" s="2952"/>
      <c r="AB277" s="2952"/>
      <c r="AC277" s="2942">
        <f t="shared" si="126"/>
        <v>0</v>
      </c>
      <c r="AD277" s="2962"/>
      <c r="AE277" s="2962"/>
      <c r="AF277" s="2962"/>
      <c r="AG277" s="2962"/>
      <c r="AH277" s="2962"/>
      <c r="AI277" s="2962"/>
      <c r="AJ277" s="2962"/>
      <c r="AK277" s="2962"/>
      <c r="AL277" s="2962"/>
      <c r="AM277" s="2962"/>
      <c r="AN277" s="2962"/>
      <c r="AO277" s="2962"/>
      <c r="AP277" s="2962"/>
      <c r="AQ277" s="2962"/>
      <c r="AR277" s="2962"/>
      <c r="AS277" s="2962"/>
      <c r="AT277" s="2972"/>
      <c r="AU277" s="2973"/>
      <c r="AV277" s="1120">
        <f t="shared" si="127"/>
        <v>0</v>
      </c>
      <c r="AW277" s="1120">
        <f t="shared" si="128"/>
        <v>0</v>
      </c>
      <c r="AX277" s="1120">
        <f t="shared" si="129"/>
        <v>0</v>
      </c>
      <c r="AY277" s="2987">
        <f t="shared" si="130"/>
        <v>0</v>
      </c>
      <c r="AZ277" s="2942">
        <f t="shared" si="131"/>
        <v>0</v>
      </c>
      <c r="BA277" s="2942">
        <f t="shared" si="132"/>
        <v>0</v>
      </c>
      <c r="BB277" s="2942">
        <f t="shared" si="133"/>
        <v>0</v>
      </c>
      <c r="BC277" s="2942">
        <f t="shared" si="134"/>
        <v>0</v>
      </c>
      <c r="BD277" s="2942">
        <f t="shared" si="135"/>
        <v>0</v>
      </c>
      <c r="BE277" s="2942">
        <f t="shared" si="136"/>
        <v>0</v>
      </c>
      <c r="BF277" s="2942">
        <f t="shared" si="137"/>
        <v>0</v>
      </c>
      <c r="BG277" s="2942">
        <f t="shared" si="138"/>
        <v>0</v>
      </c>
      <c r="BH277" s="2942">
        <f t="shared" si="139"/>
        <v>0</v>
      </c>
      <c r="BI277" s="2942">
        <f t="shared" si="140"/>
        <v>0</v>
      </c>
      <c r="BJ277" s="2942">
        <f t="shared" si="141"/>
        <v>0</v>
      </c>
      <c r="BK277" s="2942">
        <f t="shared" si="142"/>
        <v>0</v>
      </c>
      <c r="BL277" s="2942">
        <f t="shared" si="143"/>
        <v>0</v>
      </c>
      <c r="BM277" s="2942">
        <f t="shared" si="144"/>
        <v>0</v>
      </c>
      <c r="BN277" s="2942">
        <f t="shared" si="145"/>
        <v>0</v>
      </c>
      <c r="BO277" s="2942">
        <f t="shared" si="146"/>
        <v>0</v>
      </c>
      <c r="BP277" s="2942">
        <f t="shared" si="147"/>
        <v>0</v>
      </c>
      <c r="BQ277" s="2942">
        <f t="shared" si="148"/>
        <v>0</v>
      </c>
      <c r="BR277" s="2942">
        <f t="shared" si="149"/>
        <v>0</v>
      </c>
      <c r="BS277" s="2942">
        <f t="shared" si="150"/>
        <v>0</v>
      </c>
      <c r="BT277" s="2994">
        <f t="shared" si="151"/>
        <v>0</v>
      </c>
    </row>
    <row r="278" spans="1:72">
      <c r="A278" s="2939"/>
      <c r="B278" s="2940"/>
      <c r="C278" s="2940"/>
      <c r="D278" s="2941"/>
      <c r="E278" s="2942">
        <f t="shared" si="123"/>
        <v>0</v>
      </c>
      <c r="F278" s="2943"/>
      <c r="G278" s="2944">
        <f t="shared" si="124"/>
        <v>0</v>
      </c>
      <c r="H278" s="2945">
        <f t="shared" si="125"/>
        <v>0</v>
      </c>
      <c r="I278" s="2952"/>
      <c r="J278" s="2952"/>
      <c r="K278" s="2952"/>
      <c r="L278" s="2952"/>
      <c r="M278" s="2952"/>
      <c r="N278" s="2952"/>
      <c r="O278" s="2952"/>
      <c r="P278" s="2952"/>
      <c r="Q278" s="2952"/>
      <c r="R278" s="2952"/>
      <c r="S278" s="2952"/>
      <c r="T278" s="2952"/>
      <c r="U278" s="2952"/>
      <c r="V278" s="2952"/>
      <c r="W278" s="2952"/>
      <c r="X278" s="2952"/>
      <c r="Y278" s="2952"/>
      <c r="Z278" s="2952"/>
      <c r="AA278" s="2952"/>
      <c r="AB278" s="2952"/>
      <c r="AC278" s="2942">
        <f t="shared" si="126"/>
        <v>0</v>
      </c>
      <c r="AD278" s="2962"/>
      <c r="AE278" s="2962"/>
      <c r="AF278" s="2962"/>
      <c r="AG278" s="2962"/>
      <c r="AH278" s="2962"/>
      <c r="AI278" s="2962"/>
      <c r="AJ278" s="2962"/>
      <c r="AK278" s="2962"/>
      <c r="AL278" s="2962"/>
      <c r="AM278" s="2962"/>
      <c r="AN278" s="2962"/>
      <c r="AO278" s="2962"/>
      <c r="AP278" s="2962"/>
      <c r="AQ278" s="2962"/>
      <c r="AR278" s="2962"/>
      <c r="AS278" s="2962"/>
      <c r="AT278" s="2972"/>
      <c r="AU278" s="2973"/>
      <c r="AV278" s="1120">
        <f t="shared" si="127"/>
        <v>0</v>
      </c>
      <c r="AW278" s="1120">
        <f t="shared" si="128"/>
        <v>0</v>
      </c>
      <c r="AX278" s="1120">
        <f t="shared" si="129"/>
        <v>0</v>
      </c>
      <c r="AY278" s="2987">
        <f t="shared" si="130"/>
        <v>0</v>
      </c>
      <c r="AZ278" s="2942">
        <f t="shared" si="131"/>
        <v>0</v>
      </c>
      <c r="BA278" s="2942">
        <f t="shared" si="132"/>
        <v>0</v>
      </c>
      <c r="BB278" s="2942">
        <f t="shared" si="133"/>
        <v>0</v>
      </c>
      <c r="BC278" s="2942">
        <f t="shared" si="134"/>
        <v>0</v>
      </c>
      <c r="BD278" s="2942">
        <f t="shared" si="135"/>
        <v>0</v>
      </c>
      <c r="BE278" s="2942">
        <f t="shared" si="136"/>
        <v>0</v>
      </c>
      <c r="BF278" s="2942">
        <f t="shared" si="137"/>
        <v>0</v>
      </c>
      <c r="BG278" s="2942">
        <f t="shared" si="138"/>
        <v>0</v>
      </c>
      <c r="BH278" s="2942">
        <f t="shared" si="139"/>
        <v>0</v>
      </c>
      <c r="BI278" s="2942">
        <f t="shared" si="140"/>
        <v>0</v>
      </c>
      <c r="BJ278" s="2942">
        <f t="shared" si="141"/>
        <v>0</v>
      </c>
      <c r="BK278" s="2942">
        <f t="shared" si="142"/>
        <v>0</v>
      </c>
      <c r="BL278" s="2942">
        <f t="shared" si="143"/>
        <v>0</v>
      </c>
      <c r="BM278" s="2942">
        <f t="shared" si="144"/>
        <v>0</v>
      </c>
      <c r="BN278" s="2942">
        <f t="shared" si="145"/>
        <v>0</v>
      </c>
      <c r="BO278" s="2942">
        <f t="shared" si="146"/>
        <v>0</v>
      </c>
      <c r="BP278" s="2942">
        <f t="shared" si="147"/>
        <v>0</v>
      </c>
      <c r="BQ278" s="2942">
        <f t="shared" si="148"/>
        <v>0</v>
      </c>
      <c r="BR278" s="2942">
        <f t="shared" si="149"/>
        <v>0</v>
      </c>
      <c r="BS278" s="2942">
        <f t="shared" si="150"/>
        <v>0</v>
      </c>
      <c r="BT278" s="2994">
        <f t="shared" si="151"/>
        <v>0</v>
      </c>
    </row>
    <row r="279" spans="1:72">
      <c r="A279" s="2939"/>
      <c r="B279" s="2940"/>
      <c r="C279" s="2940"/>
      <c r="D279" s="2941"/>
      <c r="E279" s="2942">
        <f t="shared" si="123"/>
        <v>0</v>
      </c>
      <c r="F279" s="2943"/>
      <c r="G279" s="2944">
        <f t="shared" si="124"/>
        <v>0</v>
      </c>
      <c r="H279" s="2945">
        <f t="shared" si="125"/>
        <v>0</v>
      </c>
      <c r="I279" s="2952"/>
      <c r="J279" s="2952"/>
      <c r="K279" s="2952"/>
      <c r="L279" s="2952"/>
      <c r="M279" s="2952"/>
      <c r="N279" s="2952"/>
      <c r="O279" s="2952"/>
      <c r="P279" s="2952"/>
      <c r="Q279" s="2952"/>
      <c r="R279" s="2952"/>
      <c r="S279" s="2952"/>
      <c r="T279" s="2952"/>
      <c r="U279" s="2952"/>
      <c r="V279" s="2952"/>
      <c r="W279" s="2952"/>
      <c r="X279" s="2952"/>
      <c r="Y279" s="2952"/>
      <c r="Z279" s="2952"/>
      <c r="AA279" s="2952"/>
      <c r="AB279" s="2952"/>
      <c r="AC279" s="2942">
        <f t="shared" si="126"/>
        <v>0</v>
      </c>
      <c r="AD279" s="2962"/>
      <c r="AE279" s="2962"/>
      <c r="AF279" s="2962"/>
      <c r="AG279" s="2962"/>
      <c r="AH279" s="2962"/>
      <c r="AI279" s="2962"/>
      <c r="AJ279" s="2962"/>
      <c r="AK279" s="2962"/>
      <c r="AL279" s="2962"/>
      <c r="AM279" s="2962"/>
      <c r="AN279" s="2962"/>
      <c r="AO279" s="2962"/>
      <c r="AP279" s="2962"/>
      <c r="AQ279" s="2962"/>
      <c r="AR279" s="2962"/>
      <c r="AS279" s="2962"/>
      <c r="AT279" s="2972"/>
      <c r="AU279" s="2973"/>
      <c r="AV279" s="1120">
        <f t="shared" si="127"/>
        <v>0</v>
      </c>
      <c r="AW279" s="1120">
        <f t="shared" si="128"/>
        <v>0</v>
      </c>
      <c r="AX279" s="1120">
        <f t="shared" si="129"/>
        <v>0</v>
      </c>
      <c r="AY279" s="2987">
        <f t="shared" si="130"/>
        <v>0</v>
      </c>
      <c r="AZ279" s="2942">
        <f t="shared" si="131"/>
        <v>0</v>
      </c>
      <c r="BA279" s="2942">
        <f t="shared" si="132"/>
        <v>0</v>
      </c>
      <c r="BB279" s="2942">
        <f t="shared" si="133"/>
        <v>0</v>
      </c>
      <c r="BC279" s="2942">
        <f t="shared" si="134"/>
        <v>0</v>
      </c>
      <c r="BD279" s="2942">
        <f t="shared" si="135"/>
        <v>0</v>
      </c>
      <c r="BE279" s="2942">
        <f t="shared" si="136"/>
        <v>0</v>
      </c>
      <c r="BF279" s="2942">
        <f t="shared" si="137"/>
        <v>0</v>
      </c>
      <c r="BG279" s="2942">
        <f t="shared" si="138"/>
        <v>0</v>
      </c>
      <c r="BH279" s="2942">
        <f t="shared" si="139"/>
        <v>0</v>
      </c>
      <c r="BI279" s="2942">
        <f t="shared" si="140"/>
        <v>0</v>
      </c>
      <c r="BJ279" s="2942">
        <f t="shared" si="141"/>
        <v>0</v>
      </c>
      <c r="BK279" s="2942">
        <f t="shared" si="142"/>
        <v>0</v>
      </c>
      <c r="BL279" s="2942">
        <f t="shared" si="143"/>
        <v>0</v>
      </c>
      <c r="BM279" s="2942">
        <f t="shared" si="144"/>
        <v>0</v>
      </c>
      <c r="BN279" s="2942">
        <f t="shared" si="145"/>
        <v>0</v>
      </c>
      <c r="BO279" s="2942">
        <f t="shared" si="146"/>
        <v>0</v>
      </c>
      <c r="BP279" s="2942">
        <f t="shared" si="147"/>
        <v>0</v>
      </c>
      <c r="BQ279" s="2942">
        <f t="shared" si="148"/>
        <v>0</v>
      </c>
      <c r="BR279" s="2942">
        <f t="shared" si="149"/>
        <v>0</v>
      </c>
      <c r="BS279" s="2942">
        <f t="shared" si="150"/>
        <v>0</v>
      </c>
      <c r="BT279" s="2994">
        <f t="shared" si="151"/>
        <v>0</v>
      </c>
    </row>
    <row r="280" spans="1:72">
      <c r="A280" s="2939"/>
      <c r="B280" s="2940"/>
      <c r="C280" s="2940"/>
      <c r="D280" s="2941"/>
      <c r="E280" s="2942">
        <f t="shared" si="123"/>
        <v>0</v>
      </c>
      <c r="F280" s="2943"/>
      <c r="G280" s="2944">
        <f t="shared" si="124"/>
        <v>0</v>
      </c>
      <c r="H280" s="2945">
        <f t="shared" si="125"/>
        <v>0</v>
      </c>
      <c r="I280" s="2952"/>
      <c r="J280" s="2952"/>
      <c r="K280" s="2952"/>
      <c r="L280" s="2952"/>
      <c r="M280" s="2952"/>
      <c r="N280" s="2952"/>
      <c r="O280" s="2952"/>
      <c r="P280" s="2952"/>
      <c r="Q280" s="2952"/>
      <c r="R280" s="2952"/>
      <c r="S280" s="2952"/>
      <c r="T280" s="2952"/>
      <c r="U280" s="2952"/>
      <c r="V280" s="2952"/>
      <c r="W280" s="2952"/>
      <c r="X280" s="2952"/>
      <c r="Y280" s="2952"/>
      <c r="Z280" s="2952"/>
      <c r="AA280" s="2952"/>
      <c r="AB280" s="2952"/>
      <c r="AC280" s="2942">
        <f t="shared" si="126"/>
        <v>0</v>
      </c>
      <c r="AD280" s="2962"/>
      <c r="AE280" s="2962"/>
      <c r="AF280" s="2962"/>
      <c r="AG280" s="2962"/>
      <c r="AH280" s="2962"/>
      <c r="AI280" s="2962"/>
      <c r="AJ280" s="2962"/>
      <c r="AK280" s="2962"/>
      <c r="AL280" s="2962"/>
      <c r="AM280" s="2962"/>
      <c r="AN280" s="2962"/>
      <c r="AO280" s="2962"/>
      <c r="AP280" s="2962"/>
      <c r="AQ280" s="2962"/>
      <c r="AR280" s="2962"/>
      <c r="AS280" s="2962"/>
      <c r="AT280" s="2972"/>
      <c r="AU280" s="2973"/>
      <c r="AV280" s="1120">
        <f t="shared" si="127"/>
        <v>0</v>
      </c>
      <c r="AW280" s="1120">
        <f t="shared" si="128"/>
        <v>0</v>
      </c>
      <c r="AX280" s="1120">
        <f t="shared" si="129"/>
        <v>0</v>
      </c>
      <c r="AY280" s="2987">
        <f t="shared" si="130"/>
        <v>0</v>
      </c>
      <c r="AZ280" s="2942">
        <f t="shared" si="131"/>
        <v>0</v>
      </c>
      <c r="BA280" s="2942">
        <f t="shared" si="132"/>
        <v>0</v>
      </c>
      <c r="BB280" s="2942">
        <f t="shared" si="133"/>
        <v>0</v>
      </c>
      <c r="BC280" s="2942">
        <f t="shared" si="134"/>
        <v>0</v>
      </c>
      <c r="BD280" s="2942">
        <f t="shared" si="135"/>
        <v>0</v>
      </c>
      <c r="BE280" s="2942">
        <f t="shared" si="136"/>
        <v>0</v>
      </c>
      <c r="BF280" s="2942">
        <f t="shared" si="137"/>
        <v>0</v>
      </c>
      <c r="BG280" s="2942">
        <f t="shared" si="138"/>
        <v>0</v>
      </c>
      <c r="BH280" s="2942">
        <f t="shared" si="139"/>
        <v>0</v>
      </c>
      <c r="BI280" s="2942">
        <f t="shared" si="140"/>
        <v>0</v>
      </c>
      <c r="BJ280" s="2942">
        <f t="shared" si="141"/>
        <v>0</v>
      </c>
      <c r="BK280" s="2942">
        <f t="shared" si="142"/>
        <v>0</v>
      </c>
      <c r="BL280" s="2942">
        <f t="shared" si="143"/>
        <v>0</v>
      </c>
      <c r="BM280" s="2942">
        <f t="shared" si="144"/>
        <v>0</v>
      </c>
      <c r="BN280" s="2942">
        <f t="shared" si="145"/>
        <v>0</v>
      </c>
      <c r="BO280" s="2942">
        <f t="shared" si="146"/>
        <v>0</v>
      </c>
      <c r="BP280" s="2942">
        <f t="shared" si="147"/>
        <v>0</v>
      </c>
      <c r="BQ280" s="2942">
        <f t="shared" si="148"/>
        <v>0</v>
      </c>
      <c r="BR280" s="2942">
        <f t="shared" si="149"/>
        <v>0</v>
      </c>
      <c r="BS280" s="2942">
        <f t="shared" si="150"/>
        <v>0</v>
      </c>
      <c r="BT280" s="2994">
        <f t="shared" si="151"/>
        <v>0</v>
      </c>
    </row>
    <row r="281" spans="1:72">
      <c r="A281" s="2939"/>
      <c r="B281" s="2940"/>
      <c r="C281" s="2940"/>
      <c r="D281" s="2941"/>
      <c r="E281" s="2942">
        <f t="shared" si="123"/>
        <v>0</v>
      </c>
      <c r="F281" s="2943"/>
      <c r="G281" s="2944">
        <f t="shared" si="124"/>
        <v>0</v>
      </c>
      <c r="H281" s="2945">
        <f t="shared" si="125"/>
        <v>0</v>
      </c>
      <c r="I281" s="2952"/>
      <c r="J281" s="2952"/>
      <c r="K281" s="2952"/>
      <c r="L281" s="2952"/>
      <c r="M281" s="2952"/>
      <c r="N281" s="2952"/>
      <c r="O281" s="2952"/>
      <c r="P281" s="2952"/>
      <c r="Q281" s="2952"/>
      <c r="R281" s="2952"/>
      <c r="S281" s="2952"/>
      <c r="T281" s="2952"/>
      <c r="U281" s="2952"/>
      <c r="V281" s="2952"/>
      <c r="W281" s="2952"/>
      <c r="X281" s="2952"/>
      <c r="Y281" s="2952"/>
      <c r="Z281" s="2952"/>
      <c r="AA281" s="2952"/>
      <c r="AB281" s="2952"/>
      <c r="AC281" s="2942">
        <f t="shared" si="126"/>
        <v>0</v>
      </c>
      <c r="AD281" s="2962"/>
      <c r="AE281" s="2962"/>
      <c r="AF281" s="2962"/>
      <c r="AG281" s="2962"/>
      <c r="AH281" s="2962"/>
      <c r="AI281" s="2962"/>
      <c r="AJ281" s="2962"/>
      <c r="AK281" s="2962"/>
      <c r="AL281" s="2962"/>
      <c r="AM281" s="2962"/>
      <c r="AN281" s="2962"/>
      <c r="AO281" s="2962"/>
      <c r="AP281" s="2962"/>
      <c r="AQ281" s="2962"/>
      <c r="AR281" s="2962"/>
      <c r="AS281" s="2962"/>
      <c r="AT281" s="2972"/>
      <c r="AU281" s="2973"/>
      <c r="AV281" s="1120">
        <f t="shared" si="127"/>
        <v>0</v>
      </c>
      <c r="AW281" s="1120">
        <f t="shared" si="128"/>
        <v>0</v>
      </c>
      <c r="AX281" s="1120">
        <f t="shared" si="129"/>
        <v>0</v>
      </c>
      <c r="AY281" s="2987">
        <f t="shared" si="130"/>
        <v>0</v>
      </c>
      <c r="AZ281" s="2942">
        <f t="shared" si="131"/>
        <v>0</v>
      </c>
      <c r="BA281" s="2942">
        <f t="shared" si="132"/>
        <v>0</v>
      </c>
      <c r="BB281" s="2942">
        <f t="shared" si="133"/>
        <v>0</v>
      </c>
      <c r="BC281" s="2942">
        <f t="shared" si="134"/>
        <v>0</v>
      </c>
      <c r="BD281" s="2942">
        <f t="shared" si="135"/>
        <v>0</v>
      </c>
      <c r="BE281" s="2942">
        <f t="shared" si="136"/>
        <v>0</v>
      </c>
      <c r="BF281" s="2942">
        <f t="shared" si="137"/>
        <v>0</v>
      </c>
      <c r="BG281" s="2942">
        <f t="shared" si="138"/>
        <v>0</v>
      </c>
      <c r="BH281" s="2942">
        <f t="shared" si="139"/>
        <v>0</v>
      </c>
      <c r="BI281" s="2942">
        <f t="shared" si="140"/>
        <v>0</v>
      </c>
      <c r="BJ281" s="2942">
        <f t="shared" si="141"/>
        <v>0</v>
      </c>
      <c r="BK281" s="2942">
        <f t="shared" si="142"/>
        <v>0</v>
      </c>
      <c r="BL281" s="2942">
        <f t="shared" si="143"/>
        <v>0</v>
      </c>
      <c r="BM281" s="2942">
        <f t="shared" si="144"/>
        <v>0</v>
      </c>
      <c r="BN281" s="2942">
        <f t="shared" si="145"/>
        <v>0</v>
      </c>
      <c r="BO281" s="2942">
        <f t="shared" si="146"/>
        <v>0</v>
      </c>
      <c r="BP281" s="2942">
        <f t="shared" si="147"/>
        <v>0</v>
      </c>
      <c r="BQ281" s="2942">
        <f t="shared" si="148"/>
        <v>0</v>
      </c>
      <c r="BR281" s="2942">
        <f t="shared" si="149"/>
        <v>0</v>
      </c>
      <c r="BS281" s="2942">
        <f t="shared" si="150"/>
        <v>0</v>
      </c>
      <c r="BT281" s="2994">
        <f t="shared" si="151"/>
        <v>0</v>
      </c>
    </row>
    <row r="282" spans="1:72">
      <c r="A282" s="2939"/>
      <c r="B282" s="2940"/>
      <c r="C282" s="2940"/>
      <c r="D282" s="2941"/>
      <c r="E282" s="2942">
        <f t="shared" si="123"/>
        <v>0</v>
      </c>
      <c r="F282" s="2943"/>
      <c r="G282" s="2944">
        <f t="shared" si="124"/>
        <v>0</v>
      </c>
      <c r="H282" s="2945">
        <f t="shared" si="125"/>
        <v>0</v>
      </c>
      <c r="I282" s="2952"/>
      <c r="J282" s="2952"/>
      <c r="K282" s="2952"/>
      <c r="L282" s="2952"/>
      <c r="M282" s="2952"/>
      <c r="N282" s="2952"/>
      <c r="O282" s="2952"/>
      <c r="P282" s="2952"/>
      <c r="Q282" s="2952"/>
      <c r="R282" s="2952"/>
      <c r="S282" s="2952"/>
      <c r="T282" s="2952"/>
      <c r="U282" s="2952"/>
      <c r="V282" s="2952"/>
      <c r="W282" s="2952"/>
      <c r="X282" s="2952"/>
      <c r="Y282" s="2952"/>
      <c r="Z282" s="2952"/>
      <c r="AA282" s="2952"/>
      <c r="AB282" s="2952"/>
      <c r="AC282" s="2942">
        <f t="shared" si="126"/>
        <v>0</v>
      </c>
      <c r="AD282" s="2962"/>
      <c r="AE282" s="2962"/>
      <c r="AF282" s="2962"/>
      <c r="AG282" s="2962"/>
      <c r="AH282" s="2962"/>
      <c r="AI282" s="2962"/>
      <c r="AJ282" s="2962"/>
      <c r="AK282" s="2962"/>
      <c r="AL282" s="2962"/>
      <c r="AM282" s="2962"/>
      <c r="AN282" s="2962"/>
      <c r="AO282" s="2962"/>
      <c r="AP282" s="2962"/>
      <c r="AQ282" s="2962"/>
      <c r="AR282" s="2962"/>
      <c r="AS282" s="2962"/>
      <c r="AT282" s="2972"/>
      <c r="AU282" s="2973"/>
      <c r="AV282" s="1120">
        <f t="shared" si="127"/>
        <v>0</v>
      </c>
      <c r="AW282" s="1120">
        <f t="shared" si="128"/>
        <v>0</v>
      </c>
      <c r="AX282" s="1120">
        <f t="shared" si="129"/>
        <v>0</v>
      </c>
      <c r="AY282" s="2987">
        <f t="shared" si="130"/>
        <v>0</v>
      </c>
      <c r="AZ282" s="2942">
        <f t="shared" si="131"/>
        <v>0</v>
      </c>
      <c r="BA282" s="2942">
        <f t="shared" si="132"/>
        <v>0</v>
      </c>
      <c r="BB282" s="2942">
        <f t="shared" si="133"/>
        <v>0</v>
      </c>
      <c r="BC282" s="2942">
        <f t="shared" si="134"/>
        <v>0</v>
      </c>
      <c r="BD282" s="2942">
        <f t="shared" si="135"/>
        <v>0</v>
      </c>
      <c r="BE282" s="2942">
        <f t="shared" si="136"/>
        <v>0</v>
      </c>
      <c r="BF282" s="2942">
        <f t="shared" si="137"/>
        <v>0</v>
      </c>
      <c r="BG282" s="2942">
        <f t="shared" si="138"/>
        <v>0</v>
      </c>
      <c r="BH282" s="2942">
        <f t="shared" si="139"/>
        <v>0</v>
      </c>
      <c r="BI282" s="2942">
        <f t="shared" si="140"/>
        <v>0</v>
      </c>
      <c r="BJ282" s="2942">
        <f t="shared" si="141"/>
        <v>0</v>
      </c>
      <c r="BK282" s="2942">
        <f t="shared" si="142"/>
        <v>0</v>
      </c>
      <c r="BL282" s="2942">
        <f t="shared" si="143"/>
        <v>0</v>
      </c>
      <c r="BM282" s="2942">
        <f t="shared" si="144"/>
        <v>0</v>
      </c>
      <c r="BN282" s="2942">
        <f t="shared" si="145"/>
        <v>0</v>
      </c>
      <c r="BO282" s="2942">
        <f t="shared" si="146"/>
        <v>0</v>
      </c>
      <c r="BP282" s="2942">
        <f t="shared" si="147"/>
        <v>0</v>
      </c>
      <c r="BQ282" s="2942">
        <f t="shared" si="148"/>
        <v>0</v>
      </c>
      <c r="BR282" s="2942">
        <f t="shared" si="149"/>
        <v>0</v>
      </c>
      <c r="BS282" s="2942">
        <f t="shared" si="150"/>
        <v>0</v>
      </c>
      <c r="BT282" s="2994">
        <f t="shared" si="151"/>
        <v>0</v>
      </c>
    </row>
    <row r="283" spans="1:72">
      <c r="A283" s="2939"/>
      <c r="B283" s="2940"/>
      <c r="C283" s="2940"/>
      <c r="D283" s="2941"/>
      <c r="E283" s="2942">
        <f t="shared" si="123"/>
        <v>0</v>
      </c>
      <c r="F283" s="2943"/>
      <c r="G283" s="2944">
        <f t="shared" si="124"/>
        <v>0</v>
      </c>
      <c r="H283" s="2945">
        <f t="shared" si="125"/>
        <v>0</v>
      </c>
      <c r="I283" s="2952"/>
      <c r="J283" s="2952"/>
      <c r="K283" s="2952"/>
      <c r="L283" s="2952"/>
      <c r="M283" s="2952"/>
      <c r="N283" s="2952"/>
      <c r="O283" s="2952"/>
      <c r="P283" s="2952"/>
      <c r="Q283" s="2952"/>
      <c r="R283" s="2952"/>
      <c r="S283" s="2952"/>
      <c r="T283" s="2952"/>
      <c r="U283" s="2952"/>
      <c r="V283" s="2952"/>
      <c r="W283" s="2952"/>
      <c r="X283" s="2952"/>
      <c r="Y283" s="2952"/>
      <c r="Z283" s="2952"/>
      <c r="AA283" s="2952"/>
      <c r="AB283" s="2952"/>
      <c r="AC283" s="2942">
        <f t="shared" si="126"/>
        <v>0</v>
      </c>
      <c r="AD283" s="2962"/>
      <c r="AE283" s="2962"/>
      <c r="AF283" s="2962"/>
      <c r="AG283" s="2962"/>
      <c r="AH283" s="2962"/>
      <c r="AI283" s="2962"/>
      <c r="AJ283" s="2962"/>
      <c r="AK283" s="2962"/>
      <c r="AL283" s="2962"/>
      <c r="AM283" s="2962"/>
      <c r="AN283" s="2962"/>
      <c r="AO283" s="2962"/>
      <c r="AP283" s="2962"/>
      <c r="AQ283" s="2962"/>
      <c r="AR283" s="2962"/>
      <c r="AS283" s="2962"/>
      <c r="AT283" s="2972"/>
      <c r="AU283" s="2973"/>
      <c r="AV283" s="1120">
        <f t="shared" si="127"/>
        <v>0</v>
      </c>
      <c r="AW283" s="1120">
        <f t="shared" si="128"/>
        <v>0</v>
      </c>
      <c r="AX283" s="1120">
        <f t="shared" si="129"/>
        <v>0</v>
      </c>
      <c r="AY283" s="2987">
        <f t="shared" si="130"/>
        <v>0</v>
      </c>
      <c r="AZ283" s="2942">
        <f t="shared" si="131"/>
        <v>0</v>
      </c>
      <c r="BA283" s="2942">
        <f t="shared" si="132"/>
        <v>0</v>
      </c>
      <c r="BB283" s="2942">
        <f t="shared" si="133"/>
        <v>0</v>
      </c>
      <c r="BC283" s="2942">
        <f t="shared" si="134"/>
        <v>0</v>
      </c>
      <c r="BD283" s="2942">
        <f t="shared" si="135"/>
        <v>0</v>
      </c>
      <c r="BE283" s="2942">
        <f t="shared" si="136"/>
        <v>0</v>
      </c>
      <c r="BF283" s="2942">
        <f t="shared" si="137"/>
        <v>0</v>
      </c>
      <c r="BG283" s="2942">
        <f t="shared" si="138"/>
        <v>0</v>
      </c>
      <c r="BH283" s="2942">
        <f t="shared" si="139"/>
        <v>0</v>
      </c>
      <c r="BI283" s="2942">
        <f t="shared" si="140"/>
        <v>0</v>
      </c>
      <c r="BJ283" s="2942">
        <f t="shared" si="141"/>
        <v>0</v>
      </c>
      <c r="BK283" s="2942">
        <f t="shared" si="142"/>
        <v>0</v>
      </c>
      <c r="BL283" s="2942">
        <f t="shared" si="143"/>
        <v>0</v>
      </c>
      <c r="BM283" s="2942">
        <f t="shared" si="144"/>
        <v>0</v>
      </c>
      <c r="BN283" s="2942">
        <f t="shared" si="145"/>
        <v>0</v>
      </c>
      <c r="BO283" s="2942">
        <f t="shared" si="146"/>
        <v>0</v>
      </c>
      <c r="BP283" s="2942">
        <f t="shared" si="147"/>
        <v>0</v>
      </c>
      <c r="BQ283" s="2942">
        <f t="shared" si="148"/>
        <v>0</v>
      </c>
      <c r="BR283" s="2942">
        <f t="shared" si="149"/>
        <v>0</v>
      </c>
      <c r="BS283" s="2942">
        <f t="shared" si="150"/>
        <v>0</v>
      </c>
      <c r="BT283" s="2994">
        <f t="shared" si="151"/>
        <v>0</v>
      </c>
    </row>
    <row r="284" spans="1:72">
      <c r="A284" s="2939"/>
      <c r="B284" s="2940"/>
      <c r="C284" s="2940"/>
      <c r="D284" s="2941"/>
      <c r="E284" s="2942">
        <f t="shared" si="123"/>
        <v>0</v>
      </c>
      <c r="F284" s="2943"/>
      <c r="G284" s="2944">
        <f t="shared" si="124"/>
        <v>0</v>
      </c>
      <c r="H284" s="2945">
        <f t="shared" si="125"/>
        <v>0</v>
      </c>
      <c r="I284" s="2952"/>
      <c r="J284" s="2952"/>
      <c r="K284" s="2952"/>
      <c r="L284" s="2952"/>
      <c r="M284" s="2952"/>
      <c r="N284" s="2952"/>
      <c r="O284" s="2952"/>
      <c r="P284" s="2952"/>
      <c r="Q284" s="2952"/>
      <c r="R284" s="2952"/>
      <c r="S284" s="2952"/>
      <c r="T284" s="2952"/>
      <c r="U284" s="2952"/>
      <c r="V284" s="2952"/>
      <c r="W284" s="2952"/>
      <c r="X284" s="2952"/>
      <c r="Y284" s="2952"/>
      <c r="Z284" s="2952"/>
      <c r="AA284" s="2952"/>
      <c r="AB284" s="2952"/>
      <c r="AC284" s="2942">
        <f t="shared" si="126"/>
        <v>0</v>
      </c>
      <c r="AD284" s="2962"/>
      <c r="AE284" s="2962"/>
      <c r="AF284" s="2962"/>
      <c r="AG284" s="2962"/>
      <c r="AH284" s="2962"/>
      <c r="AI284" s="2962"/>
      <c r="AJ284" s="2962"/>
      <c r="AK284" s="2962"/>
      <c r="AL284" s="2962"/>
      <c r="AM284" s="2962"/>
      <c r="AN284" s="2962"/>
      <c r="AO284" s="2962"/>
      <c r="AP284" s="2962"/>
      <c r="AQ284" s="2962"/>
      <c r="AR284" s="2962"/>
      <c r="AS284" s="2962"/>
      <c r="AT284" s="2972"/>
      <c r="AU284" s="2973"/>
      <c r="AV284" s="1120">
        <f t="shared" si="127"/>
        <v>0</v>
      </c>
      <c r="AW284" s="1120">
        <f t="shared" si="128"/>
        <v>0</v>
      </c>
      <c r="AX284" s="1120">
        <f t="shared" si="129"/>
        <v>0</v>
      </c>
      <c r="AY284" s="2987">
        <f t="shared" si="130"/>
        <v>0</v>
      </c>
      <c r="AZ284" s="2942">
        <f t="shared" si="131"/>
        <v>0</v>
      </c>
      <c r="BA284" s="2942">
        <f t="shared" si="132"/>
        <v>0</v>
      </c>
      <c r="BB284" s="2942">
        <f t="shared" si="133"/>
        <v>0</v>
      </c>
      <c r="BC284" s="2942">
        <f t="shared" si="134"/>
        <v>0</v>
      </c>
      <c r="BD284" s="2942">
        <f t="shared" si="135"/>
        <v>0</v>
      </c>
      <c r="BE284" s="2942">
        <f t="shared" si="136"/>
        <v>0</v>
      </c>
      <c r="BF284" s="2942">
        <f t="shared" si="137"/>
        <v>0</v>
      </c>
      <c r="BG284" s="2942">
        <f t="shared" si="138"/>
        <v>0</v>
      </c>
      <c r="BH284" s="2942">
        <f t="shared" si="139"/>
        <v>0</v>
      </c>
      <c r="BI284" s="2942">
        <f t="shared" si="140"/>
        <v>0</v>
      </c>
      <c r="BJ284" s="2942">
        <f t="shared" si="141"/>
        <v>0</v>
      </c>
      <c r="BK284" s="2942">
        <f t="shared" si="142"/>
        <v>0</v>
      </c>
      <c r="BL284" s="2942">
        <f t="shared" si="143"/>
        <v>0</v>
      </c>
      <c r="BM284" s="2942">
        <f t="shared" si="144"/>
        <v>0</v>
      </c>
      <c r="BN284" s="2942">
        <f t="shared" si="145"/>
        <v>0</v>
      </c>
      <c r="BO284" s="2942">
        <f t="shared" si="146"/>
        <v>0</v>
      </c>
      <c r="BP284" s="2942">
        <f t="shared" si="147"/>
        <v>0</v>
      </c>
      <c r="BQ284" s="2942">
        <f t="shared" si="148"/>
        <v>0</v>
      </c>
      <c r="BR284" s="2942">
        <f t="shared" si="149"/>
        <v>0</v>
      </c>
      <c r="BS284" s="2942">
        <f t="shared" si="150"/>
        <v>0</v>
      </c>
      <c r="BT284" s="2994">
        <f t="shared" si="151"/>
        <v>0</v>
      </c>
    </row>
    <row r="285" spans="1:72">
      <c r="A285" s="2939"/>
      <c r="B285" s="2940"/>
      <c r="C285" s="2940"/>
      <c r="D285" s="2941"/>
      <c r="E285" s="2942">
        <f t="shared" si="123"/>
        <v>0</v>
      </c>
      <c r="F285" s="2943"/>
      <c r="G285" s="2944">
        <f t="shared" si="124"/>
        <v>0</v>
      </c>
      <c r="H285" s="2945">
        <f t="shared" si="125"/>
        <v>0</v>
      </c>
      <c r="I285" s="2952"/>
      <c r="J285" s="2952"/>
      <c r="K285" s="2952"/>
      <c r="L285" s="2952"/>
      <c r="M285" s="2952"/>
      <c r="N285" s="2952"/>
      <c r="O285" s="2952"/>
      <c r="P285" s="2952"/>
      <c r="Q285" s="2952"/>
      <c r="R285" s="2952"/>
      <c r="S285" s="2952"/>
      <c r="T285" s="2952"/>
      <c r="U285" s="2952"/>
      <c r="V285" s="2952"/>
      <c r="W285" s="2952"/>
      <c r="X285" s="2952"/>
      <c r="Y285" s="2952"/>
      <c r="Z285" s="2952"/>
      <c r="AA285" s="2952"/>
      <c r="AB285" s="2952"/>
      <c r="AC285" s="2942">
        <f t="shared" si="126"/>
        <v>0</v>
      </c>
      <c r="AD285" s="2962"/>
      <c r="AE285" s="2962"/>
      <c r="AF285" s="2962"/>
      <c r="AG285" s="2962"/>
      <c r="AH285" s="2962"/>
      <c r="AI285" s="2962"/>
      <c r="AJ285" s="2962"/>
      <c r="AK285" s="2962"/>
      <c r="AL285" s="2962"/>
      <c r="AM285" s="2962"/>
      <c r="AN285" s="2962"/>
      <c r="AO285" s="2962"/>
      <c r="AP285" s="2962"/>
      <c r="AQ285" s="2962"/>
      <c r="AR285" s="2962"/>
      <c r="AS285" s="2962"/>
      <c r="AT285" s="2972"/>
      <c r="AU285" s="2973"/>
      <c r="AV285" s="1120">
        <f t="shared" si="127"/>
        <v>0</v>
      </c>
      <c r="AW285" s="1120">
        <f t="shared" si="128"/>
        <v>0</v>
      </c>
      <c r="AX285" s="1120">
        <f t="shared" si="129"/>
        <v>0</v>
      </c>
      <c r="AY285" s="2987">
        <f t="shared" si="130"/>
        <v>0</v>
      </c>
      <c r="AZ285" s="2942">
        <f t="shared" si="131"/>
        <v>0</v>
      </c>
      <c r="BA285" s="2942">
        <f t="shared" si="132"/>
        <v>0</v>
      </c>
      <c r="BB285" s="2942">
        <f t="shared" si="133"/>
        <v>0</v>
      </c>
      <c r="BC285" s="2942">
        <f t="shared" si="134"/>
        <v>0</v>
      </c>
      <c r="BD285" s="2942">
        <f t="shared" si="135"/>
        <v>0</v>
      </c>
      <c r="BE285" s="2942">
        <f t="shared" si="136"/>
        <v>0</v>
      </c>
      <c r="BF285" s="2942">
        <f t="shared" si="137"/>
        <v>0</v>
      </c>
      <c r="BG285" s="2942">
        <f t="shared" si="138"/>
        <v>0</v>
      </c>
      <c r="BH285" s="2942">
        <f t="shared" si="139"/>
        <v>0</v>
      </c>
      <c r="BI285" s="2942">
        <f t="shared" si="140"/>
        <v>0</v>
      </c>
      <c r="BJ285" s="2942">
        <f t="shared" si="141"/>
        <v>0</v>
      </c>
      <c r="BK285" s="2942">
        <f t="shared" si="142"/>
        <v>0</v>
      </c>
      <c r="BL285" s="2942">
        <f t="shared" si="143"/>
        <v>0</v>
      </c>
      <c r="BM285" s="2942">
        <f t="shared" si="144"/>
        <v>0</v>
      </c>
      <c r="BN285" s="2942">
        <f t="shared" si="145"/>
        <v>0</v>
      </c>
      <c r="BO285" s="2942">
        <f t="shared" si="146"/>
        <v>0</v>
      </c>
      <c r="BP285" s="2942">
        <f t="shared" si="147"/>
        <v>0</v>
      </c>
      <c r="BQ285" s="2942">
        <f t="shared" si="148"/>
        <v>0</v>
      </c>
      <c r="BR285" s="2942">
        <f t="shared" si="149"/>
        <v>0</v>
      </c>
      <c r="BS285" s="2942">
        <f t="shared" si="150"/>
        <v>0</v>
      </c>
      <c r="BT285" s="2994">
        <f t="shared" si="151"/>
        <v>0</v>
      </c>
    </row>
    <row r="286" spans="1:72">
      <c r="A286" s="2939"/>
      <c r="B286" s="2940"/>
      <c r="C286" s="2940"/>
      <c r="D286" s="2941"/>
      <c r="E286" s="2942">
        <f t="shared" si="123"/>
        <v>0</v>
      </c>
      <c r="F286" s="2943"/>
      <c r="G286" s="2944">
        <f t="shared" si="124"/>
        <v>0</v>
      </c>
      <c r="H286" s="2945">
        <f t="shared" si="125"/>
        <v>0</v>
      </c>
      <c r="I286" s="2952"/>
      <c r="J286" s="2952"/>
      <c r="K286" s="2952"/>
      <c r="L286" s="2952"/>
      <c r="M286" s="2952"/>
      <c r="N286" s="2952"/>
      <c r="O286" s="2952"/>
      <c r="P286" s="2952"/>
      <c r="Q286" s="2952"/>
      <c r="R286" s="2952"/>
      <c r="S286" s="2952"/>
      <c r="T286" s="2952"/>
      <c r="U286" s="2952"/>
      <c r="V286" s="2952"/>
      <c r="W286" s="2952"/>
      <c r="X286" s="2952"/>
      <c r="Y286" s="2952"/>
      <c r="Z286" s="2952"/>
      <c r="AA286" s="2952"/>
      <c r="AB286" s="2952"/>
      <c r="AC286" s="2942">
        <f t="shared" si="126"/>
        <v>0</v>
      </c>
      <c r="AD286" s="2962"/>
      <c r="AE286" s="2962"/>
      <c r="AF286" s="2962"/>
      <c r="AG286" s="2962"/>
      <c r="AH286" s="2962"/>
      <c r="AI286" s="2962"/>
      <c r="AJ286" s="2962"/>
      <c r="AK286" s="2962"/>
      <c r="AL286" s="2962"/>
      <c r="AM286" s="2962"/>
      <c r="AN286" s="2962"/>
      <c r="AO286" s="2962"/>
      <c r="AP286" s="2962"/>
      <c r="AQ286" s="2962"/>
      <c r="AR286" s="2962"/>
      <c r="AS286" s="2962"/>
      <c r="AT286" s="2972"/>
      <c r="AU286" s="2973"/>
      <c r="AV286" s="1120">
        <f t="shared" si="127"/>
        <v>0</v>
      </c>
      <c r="AW286" s="1120">
        <f t="shared" si="128"/>
        <v>0</v>
      </c>
      <c r="AX286" s="1120">
        <f t="shared" si="129"/>
        <v>0</v>
      </c>
      <c r="AY286" s="2987">
        <f t="shared" si="130"/>
        <v>0</v>
      </c>
      <c r="AZ286" s="2942">
        <f t="shared" si="131"/>
        <v>0</v>
      </c>
      <c r="BA286" s="2942">
        <f t="shared" si="132"/>
        <v>0</v>
      </c>
      <c r="BB286" s="2942">
        <f t="shared" si="133"/>
        <v>0</v>
      </c>
      <c r="BC286" s="2942">
        <f t="shared" si="134"/>
        <v>0</v>
      </c>
      <c r="BD286" s="2942">
        <f t="shared" si="135"/>
        <v>0</v>
      </c>
      <c r="BE286" s="2942">
        <f t="shared" si="136"/>
        <v>0</v>
      </c>
      <c r="BF286" s="2942">
        <f t="shared" si="137"/>
        <v>0</v>
      </c>
      <c r="BG286" s="2942">
        <f t="shared" si="138"/>
        <v>0</v>
      </c>
      <c r="BH286" s="2942">
        <f t="shared" si="139"/>
        <v>0</v>
      </c>
      <c r="BI286" s="2942">
        <f t="shared" si="140"/>
        <v>0</v>
      </c>
      <c r="BJ286" s="2942">
        <f t="shared" si="141"/>
        <v>0</v>
      </c>
      <c r="BK286" s="2942">
        <f t="shared" si="142"/>
        <v>0</v>
      </c>
      <c r="BL286" s="2942">
        <f t="shared" si="143"/>
        <v>0</v>
      </c>
      <c r="BM286" s="2942">
        <f t="shared" si="144"/>
        <v>0</v>
      </c>
      <c r="BN286" s="2942">
        <f t="shared" si="145"/>
        <v>0</v>
      </c>
      <c r="BO286" s="2942">
        <f t="shared" si="146"/>
        <v>0</v>
      </c>
      <c r="BP286" s="2942">
        <f t="shared" si="147"/>
        <v>0</v>
      </c>
      <c r="BQ286" s="2942">
        <f t="shared" si="148"/>
        <v>0</v>
      </c>
      <c r="BR286" s="2942">
        <f t="shared" si="149"/>
        <v>0</v>
      </c>
      <c r="BS286" s="2942">
        <f t="shared" si="150"/>
        <v>0</v>
      </c>
      <c r="BT286" s="2994">
        <f t="shared" si="151"/>
        <v>0</v>
      </c>
    </row>
    <row r="287" spans="1:72">
      <c r="A287" s="2939"/>
      <c r="B287" s="2940"/>
      <c r="C287" s="2940"/>
      <c r="D287" s="2941"/>
      <c r="E287" s="2942">
        <f t="shared" si="123"/>
        <v>0</v>
      </c>
      <c r="F287" s="2943"/>
      <c r="G287" s="2944">
        <f t="shared" si="124"/>
        <v>0</v>
      </c>
      <c r="H287" s="2945">
        <f t="shared" si="125"/>
        <v>0</v>
      </c>
      <c r="I287" s="2952"/>
      <c r="J287" s="2952"/>
      <c r="K287" s="2952"/>
      <c r="L287" s="2952"/>
      <c r="M287" s="2952"/>
      <c r="N287" s="2952"/>
      <c r="O287" s="2952"/>
      <c r="P287" s="2952"/>
      <c r="Q287" s="2952"/>
      <c r="R287" s="2952"/>
      <c r="S287" s="2952"/>
      <c r="T287" s="2952"/>
      <c r="U287" s="2952"/>
      <c r="V287" s="2952"/>
      <c r="W287" s="2952"/>
      <c r="X287" s="2952"/>
      <c r="Y287" s="2952"/>
      <c r="Z287" s="2952"/>
      <c r="AA287" s="2952"/>
      <c r="AB287" s="2952"/>
      <c r="AC287" s="2942">
        <f t="shared" si="126"/>
        <v>0</v>
      </c>
      <c r="AD287" s="2962"/>
      <c r="AE287" s="2962"/>
      <c r="AF287" s="2962"/>
      <c r="AG287" s="2962"/>
      <c r="AH287" s="2962"/>
      <c r="AI287" s="2962"/>
      <c r="AJ287" s="2962"/>
      <c r="AK287" s="2962"/>
      <c r="AL287" s="2962"/>
      <c r="AM287" s="2962"/>
      <c r="AN287" s="2962"/>
      <c r="AO287" s="2962"/>
      <c r="AP287" s="2962"/>
      <c r="AQ287" s="2962"/>
      <c r="AR287" s="2962"/>
      <c r="AS287" s="2962"/>
      <c r="AT287" s="2972"/>
      <c r="AU287" s="2973"/>
      <c r="AV287" s="1120">
        <f t="shared" si="127"/>
        <v>0</v>
      </c>
      <c r="AW287" s="1120">
        <f t="shared" si="128"/>
        <v>0</v>
      </c>
      <c r="AX287" s="1120">
        <f t="shared" si="129"/>
        <v>0</v>
      </c>
      <c r="AY287" s="2987">
        <f t="shared" si="130"/>
        <v>0</v>
      </c>
      <c r="AZ287" s="2942">
        <f t="shared" si="131"/>
        <v>0</v>
      </c>
      <c r="BA287" s="2942">
        <f t="shared" si="132"/>
        <v>0</v>
      </c>
      <c r="BB287" s="2942">
        <f t="shared" si="133"/>
        <v>0</v>
      </c>
      <c r="BC287" s="2942">
        <f t="shared" si="134"/>
        <v>0</v>
      </c>
      <c r="BD287" s="2942">
        <f t="shared" si="135"/>
        <v>0</v>
      </c>
      <c r="BE287" s="2942">
        <f t="shared" si="136"/>
        <v>0</v>
      </c>
      <c r="BF287" s="2942">
        <f t="shared" si="137"/>
        <v>0</v>
      </c>
      <c r="BG287" s="2942">
        <f t="shared" si="138"/>
        <v>0</v>
      </c>
      <c r="BH287" s="2942">
        <f t="shared" si="139"/>
        <v>0</v>
      </c>
      <c r="BI287" s="2942">
        <f t="shared" si="140"/>
        <v>0</v>
      </c>
      <c r="BJ287" s="2942">
        <f t="shared" si="141"/>
        <v>0</v>
      </c>
      <c r="BK287" s="2942">
        <f t="shared" si="142"/>
        <v>0</v>
      </c>
      <c r="BL287" s="2942">
        <f t="shared" si="143"/>
        <v>0</v>
      </c>
      <c r="BM287" s="2942">
        <f t="shared" si="144"/>
        <v>0</v>
      </c>
      <c r="BN287" s="2942">
        <f t="shared" si="145"/>
        <v>0</v>
      </c>
      <c r="BO287" s="2942">
        <f t="shared" si="146"/>
        <v>0</v>
      </c>
      <c r="BP287" s="2942">
        <f t="shared" si="147"/>
        <v>0</v>
      </c>
      <c r="BQ287" s="2942">
        <f t="shared" si="148"/>
        <v>0</v>
      </c>
      <c r="BR287" s="2942">
        <f t="shared" si="149"/>
        <v>0</v>
      </c>
      <c r="BS287" s="2942">
        <f t="shared" si="150"/>
        <v>0</v>
      </c>
      <c r="BT287" s="2994">
        <f t="shared" si="151"/>
        <v>0</v>
      </c>
    </row>
    <row r="288" spans="1:72">
      <c r="A288" s="2939"/>
      <c r="B288" s="2940"/>
      <c r="C288" s="2940"/>
      <c r="D288" s="2941"/>
      <c r="E288" s="2942">
        <f t="shared" si="123"/>
        <v>0</v>
      </c>
      <c r="F288" s="2943"/>
      <c r="G288" s="2944">
        <f t="shared" si="124"/>
        <v>0</v>
      </c>
      <c r="H288" s="2945">
        <f t="shared" si="125"/>
        <v>0</v>
      </c>
      <c r="I288" s="2952"/>
      <c r="J288" s="2952"/>
      <c r="K288" s="2952"/>
      <c r="L288" s="2952"/>
      <c r="M288" s="2952"/>
      <c r="N288" s="2952"/>
      <c r="O288" s="2952"/>
      <c r="P288" s="2952"/>
      <c r="Q288" s="2952"/>
      <c r="R288" s="2952"/>
      <c r="S288" s="2952"/>
      <c r="T288" s="2952"/>
      <c r="U288" s="2952"/>
      <c r="V288" s="2952"/>
      <c r="W288" s="2952"/>
      <c r="X288" s="2952"/>
      <c r="Y288" s="2952"/>
      <c r="Z288" s="2952"/>
      <c r="AA288" s="2952"/>
      <c r="AB288" s="2952"/>
      <c r="AC288" s="2942">
        <f t="shared" si="126"/>
        <v>0</v>
      </c>
      <c r="AD288" s="2962"/>
      <c r="AE288" s="2962"/>
      <c r="AF288" s="2962"/>
      <c r="AG288" s="2962"/>
      <c r="AH288" s="2962"/>
      <c r="AI288" s="2962"/>
      <c r="AJ288" s="2962"/>
      <c r="AK288" s="2962"/>
      <c r="AL288" s="2962"/>
      <c r="AM288" s="2962"/>
      <c r="AN288" s="2962"/>
      <c r="AO288" s="2962"/>
      <c r="AP288" s="2962"/>
      <c r="AQ288" s="2962"/>
      <c r="AR288" s="2962"/>
      <c r="AS288" s="2962"/>
      <c r="AT288" s="2972"/>
      <c r="AU288" s="2973"/>
      <c r="AV288" s="1120">
        <f t="shared" si="127"/>
        <v>0</v>
      </c>
      <c r="AW288" s="1120">
        <f t="shared" si="128"/>
        <v>0</v>
      </c>
      <c r="AX288" s="1120">
        <f t="shared" si="129"/>
        <v>0</v>
      </c>
      <c r="AY288" s="2987">
        <f t="shared" si="130"/>
        <v>0</v>
      </c>
      <c r="AZ288" s="2942">
        <f t="shared" si="131"/>
        <v>0</v>
      </c>
      <c r="BA288" s="2942">
        <f t="shared" si="132"/>
        <v>0</v>
      </c>
      <c r="BB288" s="2942">
        <f t="shared" si="133"/>
        <v>0</v>
      </c>
      <c r="BC288" s="2942">
        <f t="shared" si="134"/>
        <v>0</v>
      </c>
      <c r="BD288" s="2942">
        <f t="shared" si="135"/>
        <v>0</v>
      </c>
      <c r="BE288" s="2942">
        <f t="shared" si="136"/>
        <v>0</v>
      </c>
      <c r="BF288" s="2942">
        <f t="shared" si="137"/>
        <v>0</v>
      </c>
      <c r="BG288" s="2942">
        <f t="shared" si="138"/>
        <v>0</v>
      </c>
      <c r="BH288" s="2942">
        <f t="shared" si="139"/>
        <v>0</v>
      </c>
      <c r="BI288" s="2942">
        <f t="shared" si="140"/>
        <v>0</v>
      </c>
      <c r="BJ288" s="2942">
        <f t="shared" si="141"/>
        <v>0</v>
      </c>
      <c r="BK288" s="2942">
        <f t="shared" si="142"/>
        <v>0</v>
      </c>
      <c r="BL288" s="2942">
        <f t="shared" si="143"/>
        <v>0</v>
      </c>
      <c r="BM288" s="2942">
        <f t="shared" si="144"/>
        <v>0</v>
      </c>
      <c r="BN288" s="2942">
        <f t="shared" si="145"/>
        <v>0</v>
      </c>
      <c r="BO288" s="2942">
        <f t="shared" si="146"/>
        <v>0</v>
      </c>
      <c r="BP288" s="2942">
        <f t="shared" si="147"/>
        <v>0</v>
      </c>
      <c r="BQ288" s="2942">
        <f t="shared" si="148"/>
        <v>0</v>
      </c>
      <c r="BR288" s="2942">
        <f t="shared" si="149"/>
        <v>0</v>
      </c>
      <c r="BS288" s="2942">
        <f t="shared" si="150"/>
        <v>0</v>
      </c>
      <c r="BT288" s="2994">
        <f t="shared" si="151"/>
        <v>0</v>
      </c>
    </row>
    <row r="289" spans="1:72">
      <c r="A289" s="2939"/>
      <c r="B289" s="2940"/>
      <c r="C289" s="2940"/>
      <c r="D289" s="2941"/>
      <c r="E289" s="2942">
        <f t="shared" si="123"/>
        <v>0</v>
      </c>
      <c r="F289" s="2943"/>
      <c r="G289" s="2944">
        <f t="shared" si="124"/>
        <v>0</v>
      </c>
      <c r="H289" s="2945">
        <f t="shared" si="125"/>
        <v>0</v>
      </c>
      <c r="I289" s="2952"/>
      <c r="J289" s="2952"/>
      <c r="K289" s="2952"/>
      <c r="L289" s="2952"/>
      <c r="M289" s="2952"/>
      <c r="N289" s="2952"/>
      <c r="O289" s="2952"/>
      <c r="P289" s="2952"/>
      <c r="Q289" s="2952"/>
      <c r="R289" s="2952"/>
      <c r="S289" s="2952"/>
      <c r="T289" s="2952"/>
      <c r="U289" s="2952"/>
      <c r="V289" s="2952"/>
      <c r="W289" s="2952"/>
      <c r="X289" s="2952"/>
      <c r="Y289" s="2952"/>
      <c r="Z289" s="2952"/>
      <c r="AA289" s="2952"/>
      <c r="AB289" s="2952"/>
      <c r="AC289" s="2942">
        <f t="shared" si="126"/>
        <v>0</v>
      </c>
      <c r="AD289" s="2962"/>
      <c r="AE289" s="2962"/>
      <c r="AF289" s="2962"/>
      <c r="AG289" s="2962"/>
      <c r="AH289" s="2962"/>
      <c r="AI289" s="2962"/>
      <c r="AJ289" s="2962"/>
      <c r="AK289" s="2962"/>
      <c r="AL289" s="2962"/>
      <c r="AM289" s="2962"/>
      <c r="AN289" s="2962"/>
      <c r="AO289" s="2962"/>
      <c r="AP289" s="2962"/>
      <c r="AQ289" s="2962"/>
      <c r="AR289" s="2962"/>
      <c r="AS289" s="2962"/>
      <c r="AT289" s="2972"/>
      <c r="AU289" s="2973"/>
      <c r="AV289" s="1120">
        <f t="shared" si="127"/>
        <v>0</v>
      </c>
      <c r="AW289" s="1120">
        <f t="shared" si="128"/>
        <v>0</v>
      </c>
      <c r="AX289" s="1120">
        <f t="shared" si="129"/>
        <v>0</v>
      </c>
      <c r="AY289" s="2987">
        <f t="shared" si="130"/>
        <v>0</v>
      </c>
      <c r="AZ289" s="2942">
        <f t="shared" si="131"/>
        <v>0</v>
      </c>
      <c r="BA289" s="2942">
        <f t="shared" si="132"/>
        <v>0</v>
      </c>
      <c r="BB289" s="2942">
        <f t="shared" si="133"/>
        <v>0</v>
      </c>
      <c r="BC289" s="2942">
        <f t="shared" si="134"/>
        <v>0</v>
      </c>
      <c r="BD289" s="2942">
        <f t="shared" si="135"/>
        <v>0</v>
      </c>
      <c r="BE289" s="2942">
        <f t="shared" si="136"/>
        <v>0</v>
      </c>
      <c r="BF289" s="2942">
        <f t="shared" si="137"/>
        <v>0</v>
      </c>
      <c r="BG289" s="2942">
        <f t="shared" si="138"/>
        <v>0</v>
      </c>
      <c r="BH289" s="2942">
        <f t="shared" si="139"/>
        <v>0</v>
      </c>
      <c r="BI289" s="2942">
        <f t="shared" si="140"/>
        <v>0</v>
      </c>
      <c r="BJ289" s="2942">
        <f t="shared" si="141"/>
        <v>0</v>
      </c>
      <c r="BK289" s="2942">
        <f t="shared" si="142"/>
        <v>0</v>
      </c>
      <c r="BL289" s="2942">
        <f t="shared" si="143"/>
        <v>0</v>
      </c>
      <c r="BM289" s="2942">
        <f t="shared" si="144"/>
        <v>0</v>
      </c>
      <c r="BN289" s="2942">
        <f t="shared" si="145"/>
        <v>0</v>
      </c>
      <c r="BO289" s="2942">
        <f t="shared" si="146"/>
        <v>0</v>
      </c>
      <c r="BP289" s="2942">
        <f t="shared" si="147"/>
        <v>0</v>
      </c>
      <c r="BQ289" s="2942">
        <f t="shared" si="148"/>
        <v>0</v>
      </c>
      <c r="BR289" s="2942">
        <f t="shared" si="149"/>
        <v>0</v>
      </c>
      <c r="BS289" s="2942">
        <f t="shared" si="150"/>
        <v>0</v>
      </c>
      <c r="BT289" s="2994">
        <f t="shared" si="151"/>
        <v>0</v>
      </c>
    </row>
    <row r="290" spans="1:72">
      <c r="A290" s="2939"/>
      <c r="B290" s="2940"/>
      <c r="C290" s="2940"/>
      <c r="D290" s="2941"/>
      <c r="E290" s="2942">
        <f t="shared" si="123"/>
        <v>0</v>
      </c>
      <c r="F290" s="2943"/>
      <c r="G290" s="2944">
        <f t="shared" si="124"/>
        <v>0</v>
      </c>
      <c r="H290" s="2945">
        <f t="shared" si="125"/>
        <v>0</v>
      </c>
      <c r="I290" s="2952"/>
      <c r="J290" s="2952"/>
      <c r="K290" s="2952"/>
      <c r="L290" s="2952"/>
      <c r="M290" s="2952"/>
      <c r="N290" s="2952"/>
      <c r="O290" s="2952"/>
      <c r="P290" s="2952"/>
      <c r="Q290" s="2952"/>
      <c r="R290" s="2952"/>
      <c r="S290" s="2952"/>
      <c r="T290" s="2952"/>
      <c r="U290" s="2952"/>
      <c r="V290" s="2952"/>
      <c r="W290" s="2952"/>
      <c r="X290" s="2952"/>
      <c r="Y290" s="2952"/>
      <c r="Z290" s="2952"/>
      <c r="AA290" s="2952"/>
      <c r="AB290" s="2952"/>
      <c r="AC290" s="2942">
        <f t="shared" si="126"/>
        <v>0</v>
      </c>
      <c r="AD290" s="2962"/>
      <c r="AE290" s="2962"/>
      <c r="AF290" s="2962"/>
      <c r="AG290" s="2962"/>
      <c r="AH290" s="2962"/>
      <c r="AI290" s="2962"/>
      <c r="AJ290" s="2962"/>
      <c r="AK290" s="2962"/>
      <c r="AL290" s="2962"/>
      <c r="AM290" s="2962"/>
      <c r="AN290" s="2962"/>
      <c r="AO290" s="2962"/>
      <c r="AP290" s="2962"/>
      <c r="AQ290" s="2962"/>
      <c r="AR290" s="2962"/>
      <c r="AS290" s="2962"/>
      <c r="AT290" s="2972"/>
      <c r="AU290" s="2973"/>
      <c r="AV290" s="1120">
        <f t="shared" si="127"/>
        <v>0</v>
      </c>
      <c r="AW290" s="1120">
        <f t="shared" si="128"/>
        <v>0</v>
      </c>
      <c r="AX290" s="1120">
        <f t="shared" si="129"/>
        <v>0</v>
      </c>
      <c r="AY290" s="2987">
        <f t="shared" si="130"/>
        <v>0</v>
      </c>
      <c r="AZ290" s="2942">
        <f t="shared" si="131"/>
        <v>0</v>
      </c>
      <c r="BA290" s="2942">
        <f t="shared" si="132"/>
        <v>0</v>
      </c>
      <c r="BB290" s="2942">
        <f t="shared" si="133"/>
        <v>0</v>
      </c>
      <c r="BC290" s="2942">
        <f t="shared" si="134"/>
        <v>0</v>
      </c>
      <c r="BD290" s="2942">
        <f t="shared" si="135"/>
        <v>0</v>
      </c>
      <c r="BE290" s="2942">
        <f t="shared" si="136"/>
        <v>0</v>
      </c>
      <c r="BF290" s="2942">
        <f t="shared" si="137"/>
        <v>0</v>
      </c>
      <c r="BG290" s="2942">
        <f t="shared" si="138"/>
        <v>0</v>
      </c>
      <c r="BH290" s="2942">
        <f t="shared" si="139"/>
        <v>0</v>
      </c>
      <c r="BI290" s="2942">
        <f t="shared" si="140"/>
        <v>0</v>
      </c>
      <c r="BJ290" s="2942">
        <f t="shared" si="141"/>
        <v>0</v>
      </c>
      <c r="BK290" s="2942">
        <f t="shared" si="142"/>
        <v>0</v>
      </c>
      <c r="BL290" s="2942">
        <f t="shared" si="143"/>
        <v>0</v>
      </c>
      <c r="BM290" s="2942">
        <f t="shared" si="144"/>
        <v>0</v>
      </c>
      <c r="BN290" s="2942">
        <f t="shared" si="145"/>
        <v>0</v>
      </c>
      <c r="BO290" s="2942">
        <f t="shared" si="146"/>
        <v>0</v>
      </c>
      <c r="BP290" s="2942">
        <f t="shared" si="147"/>
        <v>0</v>
      </c>
      <c r="BQ290" s="2942">
        <f t="shared" si="148"/>
        <v>0</v>
      </c>
      <c r="BR290" s="2942">
        <f t="shared" si="149"/>
        <v>0</v>
      </c>
      <c r="BS290" s="2942">
        <f t="shared" si="150"/>
        <v>0</v>
      </c>
      <c r="BT290" s="2994">
        <f t="shared" si="151"/>
        <v>0</v>
      </c>
    </row>
    <row r="291" spans="1:72">
      <c r="A291" s="2939"/>
      <c r="B291" s="2940"/>
      <c r="C291" s="2940"/>
      <c r="D291" s="2941"/>
      <c r="E291" s="2942">
        <f t="shared" si="123"/>
        <v>0</v>
      </c>
      <c r="F291" s="2943"/>
      <c r="G291" s="2944">
        <f t="shared" si="124"/>
        <v>0</v>
      </c>
      <c r="H291" s="2945">
        <f t="shared" si="125"/>
        <v>0</v>
      </c>
      <c r="I291" s="2952"/>
      <c r="J291" s="2952"/>
      <c r="K291" s="2952"/>
      <c r="L291" s="2952"/>
      <c r="M291" s="2952"/>
      <c r="N291" s="2952"/>
      <c r="O291" s="2952"/>
      <c r="P291" s="2952"/>
      <c r="Q291" s="2952"/>
      <c r="R291" s="2952"/>
      <c r="S291" s="2952"/>
      <c r="T291" s="2952"/>
      <c r="U291" s="2952"/>
      <c r="V291" s="2952"/>
      <c r="W291" s="2952"/>
      <c r="X291" s="2952"/>
      <c r="Y291" s="2952"/>
      <c r="Z291" s="2952"/>
      <c r="AA291" s="2952"/>
      <c r="AB291" s="2952"/>
      <c r="AC291" s="2942">
        <f t="shared" si="126"/>
        <v>0</v>
      </c>
      <c r="AD291" s="2962"/>
      <c r="AE291" s="2962"/>
      <c r="AF291" s="2962"/>
      <c r="AG291" s="2962"/>
      <c r="AH291" s="2962"/>
      <c r="AI291" s="2962"/>
      <c r="AJ291" s="2962"/>
      <c r="AK291" s="2962"/>
      <c r="AL291" s="2962"/>
      <c r="AM291" s="2962"/>
      <c r="AN291" s="2962"/>
      <c r="AO291" s="2962"/>
      <c r="AP291" s="2962"/>
      <c r="AQ291" s="2962"/>
      <c r="AR291" s="2962"/>
      <c r="AS291" s="2962"/>
      <c r="AT291" s="2972"/>
      <c r="AU291" s="2973"/>
      <c r="AV291" s="1120">
        <f t="shared" si="127"/>
        <v>0</v>
      </c>
      <c r="AW291" s="1120">
        <f t="shared" si="128"/>
        <v>0</v>
      </c>
      <c r="AX291" s="1120">
        <f t="shared" si="129"/>
        <v>0</v>
      </c>
      <c r="AY291" s="2987">
        <f t="shared" si="130"/>
        <v>0</v>
      </c>
      <c r="AZ291" s="2942">
        <f t="shared" si="131"/>
        <v>0</v>
      </c>
      <c r="BA291" s="2942">
        <f t="shared" si="132"/>
        <v>0</v>
      </c>
      <c r="BB291" s="2942">
        <f t="shared" si="133"/>
        <v>0</v>
      </c>
      <c r="BC291" s="2942">
        <f t="shared" si="134"/>
        <v>0</v>
      </c>
      <c r="BD291" s="2942">
        <f t="shared" si="135"/>
        <v>0</v>
      </c>
      <c r="BE291" s="2942">
        <f t="shared" si="136"/>
        <v>0</v>
      </c>
      <c r="BF291" s="2942">
        <f t="shared" si="137"/>
        <v>0</v>
      </c>
      <c r="BG291" s="2942">
        <f t="shared" si="138"/>
        <v>0</v>
      </c>
      <c r="BH291" s="2942">
        <f t="shared" si="139"/>
        <v>0</v>
      </c>
      <c r="BI291" s="2942">
        <f t="shared" si="140"/>
        <v>0</v>
      </c>
      <c r="BJ291" s="2942">
        <f t="shared" si="141"/>
        <v>0</v>
      </c>
      <c r="BK291" s="2942">
        <f t="shared" si="142"/>
        <v>0</v>
      </c>
      <c r="BL291" s="2942">
        <f t="shared" si="143"/>
        <v>0</v>
      </c>
      <c r="BM291" s="2942">
        <f t="shared" si="144"/>
        <v>0</v>
      </c>
      <c r="BN291" s="2942">
        <f t="shared" si="145"/>
        <v>0</v>
      </c>
      <c r="BO291" s="2942">
        <f t="shared" si="146"/>
        <v>0</v>
      </c>
      <c r="BP291" s="2942">
        <f t="shared" si="147"/>
        <v>0</v>
      </c>
      <c r="BQ291" s="2942">
        <f t="shared" si="148"/>
        <v>0</v>
      </c>
      <c r="BR291" s="2942">
        <f t="shared" si="149"/>
        <v>0</v>
      </c>
      <c r="BS291" s="2942">
        <f t="shared" si="150"/>
        <v>0</v>
      </c>
      <c r="BT291" s="2994">
        <f t="shared" si="151"/>
        <v>0</v>
      </c>
    </row>
    <row r="292" spans="1:72">
      <c r="A292" s="2939"/>
      <c r="B292" s="2940"/>
      <c r="C292" s="2940"/>
      <c r="D292" s="2941"/>
      <c r="E292" s="2942">
        <f t="shared" si="123"/>
        <v>0</v>
      </c>
      <c r="F292" s="2943"/>
      <c r="G292" s="2944">
        <f t="shared" si="124"/>
        <v>0</v>
      </c>
      <c r="H292" s="2945">
        <f t="shared" si="125"/>
        <v>0</v>
      </c>
      <c r="I292" s="2952"/>
      <c r="J292" s="2952"/>
      <c r="K292" s="2952"/>
      <c r="L292" s="2952"/>
      <c r="M292" s="2952"/>
      <c r="N292" s="2952"/>
      <c r="O292" s="2952"/>
      <c r="P292" s="2952"/>
      <c r="Q292" s="2952"/>
      <c r="R292" s="2952"/>
      <c r="S292" s="2952"/>
      <c r="T292" s="2952"/>
      <c r="U292" s="2952"/>
      <c r="V292" s="2952"/>
      <c r="W292" s="2952"/>
      <c r="X292" s="2952"/>
      <c r="Y292" s="2952"/>
      <c r="Z292" s="2952"/>
      <c r="AA292" s="2952"/>
      <c r="AB292" s="2952"/>
      <c r="AC292" s="2942">
        <f t="shared" si="126"/>
        <v>0</v>
      </c>
      <c r="AD292" s="2962"/>
      <c r="AE292" s="2962"/>
      <c r="AF292" s="2962"/>
      <c r="AG292" s="2962"/>
      <c r="AH292" s="2962"/>
      <c r="AI292" s="2962"/>
      <c r="AJ292" s="2962"/>
      <c r="AK292" s="2962"/>
      <c r="AL292" s="2962"/>
      <c r="AM292" s="2962"/>
      <c r="AN292" s="2962"/>
      <c r="AO292" s="2962"/>
      <c r="AP292" s="2962"/>
      <c r="AQ292" s="2962"/>
      <c r="AR292" s="2962"/>
      <c r="AS292" s="2962"/>
      <c r="AT292" s="2972"/>
      <c r="AU292" s="2973"/>
      <c r="AV292" s="1120">
        <f t="shared" si="127"/>
        <v>0</v>
      </c>
      <c r="AW292" s="1120">
        <f t="shared" si="128"/>
        <v>0</v>
      </c>
      <c r="AX292" s="1120">
        <f t="shared" si="129"/>
        <v>0</v>
      </c>
      <c r="AY292" s="2987">
        <f t="shared" si="130"/>
        <v>0</v>
      </c>
      <c r="AZ292" s="2942">
        <f t="shared" si="131"/>
        <v>0</v>
      </c>
      <c r="BA292" s="2942">
        <f t="shared" si="132"/>
        <v>0</v>
      </c>
      <c r="BB292" s="2942">
        <f t="shared" si="133"/>
        <v>0</v>
      </c>
      <c r="BC292" s="2942">
        <f t="shared" si="134"/>
        <v>0</v>
      </c>
      <c r="BD292" s="2942">
        <f t="shared" si="135"/>
        <v>0</v>
      </c>
      <c r="BE292" s="2942">
        <f t="shared" si="136"/>
        <v>0</v>
      </c>
      <c r="BF292" s="2942">
        <f t="shared" si="137"/>
        <v>0</v>
      </c>
      <c r="BG292" s="2942">
        <f t="shared" si="138"/>
        <v>0</v>
      </c>
      <c r="BH292" s="2942">
        <f t="shared" si="139"/>
        <v>0</v>
      </c>
      <c r="BI292" s="2942">
        <f t="shared" si="140"/>
        <v>0</v>
      </c>
      <c r="BJ292" s="2942">
        <f t="shared" si="141"/>
        <v>0</v>
      </c>
      <c r="BK292" s="2942">
        <f t="shared" si="142"/>
        <v>0</v>
      </c>
      <c r="BL292" s="2942">
        <f t="shared" si="143"/>
        <v>0</v>
      </c>
      <c r="BM292" s="2942">
        <f t="shared" si="144"/>
        <v>0</v>
      </c>
      <c r="BN292" s="2942">
        <f t="shared" si="145"/>
        <v>0</v>
      </c>
      <c r="BO292" s="2942">
        <f t="shared" si="146"/>
        <v>0</v>
      </c>
      <c r="BP292" s="2942">
        <f t="shared" si="147"/>
        <v>0</v>
      </c>
      <c r="BQ292" s="2942">
        <f t="shared" si="148"/>
        <v>0</v>
      </c>
      <c r="BR292" s="2942">
        <f t="shared" si="149"/>
        <v>0</v>
      </c>
      <c r="BS292" s="2942">
        <f t="shared" si="150"/>
        <v>0</v>
      </c>
      <c r="BT292" s="2994">
        <f t="shared" si="151"/>
        <v>0</v>
      </c>
    </row>
    <row r="293" spans="1:72">
      <c r="A293" s="2939"/>
      <c r="B293" s="2940"/>
      <c r="C293" s="2940"/>
      <c r="D293" s="2941"/>
      <c r="E293" s="2942">
        <f t="shared" si="123"/>
        <v>0</v>
      </c>
      <c r="F293" s="2943"/>
      <c r="G293" s="2944">
        <f t="shared" si="124"/>
        <v>0</v>
      </c>
      <c r="H293" s="2945">
        <f t="shared" si="125"/>
        <v>0</v>
      </c>
      <c r="I293" s="2952"/>
      <c r="J293" s="2952"/>
      <c r="K293" s="2952"/>
      <c r="L293" s="2952"/>
      <c r="M293" s="2952"/>
      <c r="N293" s="2952"/>
      <c r="O293" s="2952"/>
      <c r="P293" s="2952"/>
      <c r="Q293" s="2952"/>
      <c r="R293" s="2952"/>
      <c r="S293" s="2952"/>
      <c r="T293" s="2952"/>
      <c r="U293" s="2952"/>
      <c r="V293" s="2952"/>
      <c r="W293" s="2952"/>
      <c r="X293" s="2952"/>
      <c r="Y293" s="2952"/>
      <c r="Z293" s="2952"/>
      <c r="AA293" s="2952"/>
      <c r="AB293" s="2952"/>
      <c r="AC293" s="2942">
        <f t="shared" si="126"/>
        <v>0</v>
      </c>
      <c r="AD293" s="2962"/>
      <c r="AE293" s="2962"/>
      <c r="AF293" s="2962"/>
      <c r="AG293" s="2962"/>
      <c r="AH293" s="2962"/>
      <c r="AI293" s="2962"/>
      <c r="AJ293" s="2962"/>
      <c r="AK293" s="2962"/>
      <c r="AL293" s="2962"/>
      <c r="AM293" s="2962"/>
      <c r="AN293" s="2962"/>
      <c r="AO293" s="2962"/>
      <c r="AP293" s="2962"/>
      <c r="AQ293" s="2962"/>
      <c r="AR293" s="2962"/>
      <c r="AS293" s="2962"/>
      <c r="AT293" s="2972"/>
      <c r="AU293" s="2973"/>
      <c r="AV293" s="1120">
        <f t="shared" si="127"/>
        <v>0</v>
      </c>
      <c r="AW293" s="1120">
        <f t="shared" si="128"/>
        <v>0</v>
      </c>
      <c r="AX293" s="1120">
        <f t="shared" si="129"/>
        <v>0</v>
      </c>
      <c r="AY293" s="2987">
        <f t="shared" si="130"/>
        <v>0</v>
      </c>
      <c r="AZ293" s="2942">
        <f t="shared" si="131"/>
        <v>0</v>
      </c>
      <c r="BA293" s="2942">
        <f t="shared" si="132"/>
        <v>0</v>
      </c>
      <c r="BB293" s="2942">
        <f t="shared" si="133"/>
        <v>0</v>
      </c>
      <c r="BC293" s="2942">
        <f t="shared" si="134"/>
        <v>0</v>
      </c>
      <c r="BD293" s="2942">
        <f t="shared" si="135"/>
        <v>0</v>
      </c>
      <c r="BE293" s="2942">
        <f t="shared" si="136"/>
        <v>0</v>
      </c>
      <c r="BF293" s="2942">
        <f t="shared" si="137"/>
        <v>0</v>
      </c>
      <c r="BG293" s="2942">
        <f t="shared" si="138"/>
        <v>0</v>
      </c>
      <c r="BH293" s="2942">
        <f t="shared" si="139"/>
        <v>0</v>
      </c>
      <c r="BI293" s="2942">
        <f t="shared" si="140"/>
        <v>0</v>
      </c>
      <c r="BJ293" s="2942">
        <f t="shared" si="141"/>
        <v>0</v>
      </c>
      <c r="BK293" s="2942">
        <f t="shared" si="142"/>
        <v>0</v>
      </c>
      <c r="BL293" s="2942">
        <f t="shared" si="143"/>
        <v>0</v>
      </c>
      <c r="BM293" s="2942">
        <f t="shared" si="144"/>
        <v>0</v>
      </c>
      <c r="BN293" s="2942">
        <f t="shared" si="145"/>
        <v>0</v>
      </c>
      <c r="BO293" s="2942">
        <f t="shared" si="146"/>
        <v>0</v>
      </c>
      <c r="BP293" s="2942">
        <f t="shared" si="147"/>
        <v>0</v>
      </c>
      <c r="BQ293" s="2942">
        <f t="shared" si="148"/>
        <v>0</v>
      </c>
      <c r="BR293" s="2942">
        <f t="shared" si="149"/>
        <v>0</v>
      </c>
      <c r="BS293" s="2942">
        <f t="shared" si="150"/>
        <v>0</v>
      </c>
      <c r="BT293" s="2994">
        <f t="shared" si="151"/>
        <v>0</v>
      </c>
    </row>
    <row r="294" spans="1:72">
      <c r="A294" s="2939"/>
      <c r="B294" s="2940"/>
      <c r="C294" s="2940"/>
      <c r="D294" s="2941"/>
      <c r="E294" s="2942">
        <f t="shared" si="123"/>
        <v>0</v>
      </c>
      <c r="F294" s="2943"/>
      <c r="G294" s="2944">
        <f t="shared" si="124"/>
        <v>0</v>
      </c>
      <c r="H294" s="2945">
        <f t="shared" si="125"/>
        <v>0</v>
      </c>
      <c r="I294" s="2952"/>
      <c r="J294" s="2952"/>
      <c r="K294" s="2952"/>
      <c r="L294" s="2952"/>
      <c r="M294" s="2952"/>
      <c r="N294" s="2952"/>
      <c r="O294" s="2952"/>
      <c r="P294" s="2952"/>
      <c r="Q294" s="2952"/>
      <c r="R294" s="2952"/>
      <c r="S294" s="2952"/>
      <c r="T294" s="2952"/>
      <c r="U294" s="2952"/>
      <c r="V294" s="2952"/>
      <c r="W294" s="2952"/>
      <c r="X294" s="2952"/>
      <c r="Y294" s="2952"/>
      <c r="Z294" s="2952"/>
      <c r="AA294" s="2952"/>
      <c r="AB294" s="2952"/>
      <c r="AC294" s="2942">
        <f t="shared" si="126"/>
        <v>0</v>
      </c>
      <c r="AD294" s="2962"/>
      <c r="AE294" s="2962"/>
      <c r="AF294" s="2962"/>
      <c r="AG294" s="2962"/>
      <c r="AH294" s="2962"/>
      <c r="AI294" s="2962"/>
      <c r="AJ294" s="2962"/>
      <c r="AK294" s="2962"/>
      <c r="AL294" s="2962"/>
      <c r="AM294" s="2962"/>
      <c r="AN294" s="2962"/>
      <c r="AO294" s="2962"/>
      <c r="AP294" s="2962"/>
      <c r="AQ294" s="2962"/>
      <c r="AR294" s="2962"/>
      <c r="AS294" s="2962"/>
      <c r="AT294" s="2972"/>
      <c r="AU294" s="2973"/>
      <c r="AV294" s="1120">
        <f t="shared" si="127"/>
        <v>0</v>
      </c>
      <c r="AW294" s="1120">
        <f t="shared" si="128"/>
        <v>0</v>
      </c>
      <c r="AX294" s="1120">
        <f t="shared" si="129"/>
        <v>0</v>
      </c>
      <c r="AY294" s="2987">
        <f t="shared" si="130"/>
        <v>0</v>
      </c>
      <c r="AZ294" s="2942">
        <f t="shared" si="131"/>
        <v>0</v>
      </c>
      <c r="BA294" s="2942">
        <f t="shared" si="132"/>
        <v>0</v>
      </c>
      <c r="BB294" s="2942">
        <f t="shared" si="133"/>
        <v>0</v>
      </c>
      <c r="BC294" s="2942">
        <f t="shared" si="134"/>
        <v>0</v>
      </c>
      <c r="BD294" s="2942">
        <f t="shared" si="135"/>
        <v>0</v>
      </c>
      <c r="BE294" s="2942">
        <f t="shared" si="136"/>
        <v>0</v>
      </c>
      <c r="BF294" s="2942">
        <f t="shared" si="137"/>
        <v>0</v>
      </c>
      <c r="BG294" s="2942">
        <f t="shared" si="138"/>
        <v>0</v>
      </c>
      <c r="BH294" s="2942">
        <f t="shared" si="139"/>
        <v>0</v>
      </c>
      <c r="BI294" s="2942">
        <f t="shared" si="140"/>
        <v>0</v>
      </c>
      <c r="BJ294" s="2942">
        <f t="shared" si="141"/>
        <v>0</v>
      </c>
      <c r="BK294" s="2942">
        <f t="shared" si="142"/>
        <v>0</v>
      </c>
      <c r="BL294" s="2942">
        <f t="shared" si="143"/>
        <v>0</v>
      </c>
      <c r="BM294" s="2942">
        <f t="shared" si="144"/>
        <v>0</v>
      </c>
      <c r="BN294" s="2942">
        <f t="shared" si="145"/>
        <v>0</v>
      </c>
      <c r="BO294" s="2942">
        <f t="shared" si="146"/>
        <v>0</v>
      </c>
      <c r="BP294" s="2942">
        <f t="shared" si="147"/>
        <v>0</v>
      </c>
      <c r="BQ294" s="2942">
        <f t="shared" si="148"/>
        <v>0</v>
      </c>
      <c r="BR294" s="2942">
        <f t="shared" si="149"/>
        <v>0</v>
      </c>
      <c r="BS294" s="2942">
        <f t="shared" si="150"/>
        <v>0</v>
      </c>
      <c r="BT294" s="2994">
        <f t="shared" si="151"/>
        <v>0</v>
      </c>
    </row>
    <row r="295" spans="1:72">
      <c r="A295" s="2939"/>
      <c r="B295" s="2940"/>
      <c r="C295" s="2940"/>
      <c r="D295" s="2941"/>
      <c r="E295" s="2942">
        <f t="shared" si="123"/>
        <v>0</v>
      </c>
      <c r="F295" s="2943"/>
      <c r="G295" s="2944">
        <f t="shared" si="124"/>
        <v>0</v>
      </c>
      <c r="H295" s="2945">
        <f t="shared" si="125"/>
        <v>0</v>
      </c>
      <c r="I295" s="2952"/>
      <c r="J295" s="2952"/>
      <c r="K295" s="2952"/>
      <c r="L295" s="2952"/>
      <c r="M295" s="2952"/>
      <c r="N295" s="2952"/>
      <c r="O295" s="2952"/>
      <c r="P295" s="2952"/>
      <c r="Q295" s="2952"/>
      <c r="R295" s="2952"/>
      <c r="S295" s="2952"/>
      <c r="T295" s="2952"/>
      <c r="U295" s="2952"/>
      <c r="V295" s="2952"/>
      <c r="W295" s="2952"/>
      <c r="X295" s="2952"/>
      <c r="Y295" s="2952"/>
      <c r="Z295" s="2952"/>
      <c r="AA295" s="2952"/>
      <c r="AB295" s="2952"/>
      <c r="AC295" s="2942">
        <f t="shared" si="126"/>
        <v>0</v>
      </c>
      <c r="AD295" s="2962"/>
      <c r="AE295" s="2962"/>
      <c r="AF295" s="2962"/>
      <c r="AG295" s="2962"/>
      <c r="AH295" s="2962"/>
      <c r="AI295" s="2962"/>
      <c r="AJ295" s="2962"/>
      <c r="AK295" s="2962"/>
      <c r="AL295" s="2962"/>
      <c r="AM295" s="2962"/>
      <c r="AN295" s="2962"/>
      <c r="AO295" s="2962"/>
      <c r="AP295" s="2962"/>
      <c r="AQ295" s="2962"/>
      <c r="AR295" s="2962"/>
      <c r="AS295" s="2962"/>
      <c r="AT295" s="2972"/>
      <c r="AU295" s="2973"/>
      <c r="AV295" s="1120">
        <f t="shared" si="127"/>
        <v>0</v>
      </c>
      <c r="AW295" s="1120">
        <f t="shared" si="128"/>
        <v>0</v>
      </c>
      <c r="AX295" s="1120">
        <f t="shared" si="129"/>
        <v>0</v>
      </c>
      <c r="AY295" s="2987">
        <f t="shared" si="130"/>
        <v>0</v>
      </c>
      <c r="AZ295" s="2942">
        <f t="shared" si="131"/>
        <v>0</v>
      </c>
      <c r="BA295" s="2942">
        <f t="shared" si="132"/>
        <v>0</v>
      </c>
      <c r="BB295" s="2942">
        <f t="shared" si="133"/>
        <v>0</v>
      </c>
      <c r="BC295" s="2942">
        <f t="shared" si="134"/>
        <v>0</v>
      </c>
      <c r="BD295" s="2942">
        <f t="shared" si="135"/>
        <v>0</v>
      </c>
      <c r="BE295" s="2942">
        <f t="shared" si="136"/>
        <v>0</v>
      </c>
      <c r="BF295" s="2942">
        <f t="shared" si="137"/>
        <v>0</v>
      </c>
      <c r="BG295" s="2942">
        <f t="shared" si="138"/>
        <v>0</v>
      </c>
      <c r="BH295" s="2942">
        <f t="shared" si="139"/>
        <v>0</v>
      </c>
      <c r="BI295" s="2942">
        <f t="shared" si="140"/>
        <v>0</v>
      </c>
      <c r="BJ295" s="2942">
        <f t="shared" si="141"/>
        <v>0</v>
      </c>
      <c r="BK295" s="2942">
        <f t="shared" si="142"/>
        <v>0</v>
      </c>
      <c r="BL295" s="2942">
        <f t="shared" si="143"/>
        <v>0</v>
      </c>
      <c r="BM295" s="2942">
        <f t="shared" si="144"/>
        <v>0</v>
      </c>
      <c r="BN295" s="2942">
        <f t="shared" si="145"/>
        <v>0</v>
      </c>
      <c r="BO295" s="2942">
        <f t="shared" si="146"/>
        <v>0</v>
      </c>
      <c r="BP295" s="2942">
        <f t="shared" si="147"/>
        <v>0</v>
      </c>
      <c r="BQ295" s="2942">
        <f t="shared" si="148"/>
        <v>0</v>
      </c>
      <c r="BR295" s="2942">
        <f t="shared" si="149"/>
        <v>0</v>
      </c>
      <c r="BS295" s="2942">
        <f t="shared" si="150"/>
        <v>0</v>
      </c>
      <c r="BT295" s="2994">
        <f t="shared" si="151"/>
        <v>0</v>
      </c>
    </row>
    <row r="296" spans="1:72">
      <c r="A296" s="2939"/>
      <c r="B296" s="2940"/>
      <c r="C296" s="2940"/>
      <c r="D296" s="2941"/>
      <c r="E296" s="2942">
        <f t="shared" si="123"/>
        <v>0</v>
      </c>
      <c r="F296" s="2943"/>
      <c r="G296" s="2944">
        <f t="shared" si="124"/>
        <v>0</v>
      </c>
      <c r="H296" s="2945">
        <f t="shared" si="125"/>
        <v>0</v>
      </c>
      <c r="I296" s="2952"/>
      <c r="J296" s="2952"/>
      <c r="K296" s="2952"/>
      <c r="L296" s="2952"/>
      <c r="M296" s="2952"/>
      <c r="N296" s="2952"/>
      <c r="O296" s="2952"/>
      <c r="P296" s="2952"/>
      <c r="Q296" s="2952"/>
      <c r="R296" s="2952"/>
      <c r="S296" s="2952"/>
      <c r="T296" s="2952"/>
      <c r="U296" s="2952"/>
      <c r="V296" s="2952"/>
      <c r="W296" s="2952"/>
      <c r="X296" s="2952"/>
      <c r="Y296" s="2952"/>
      <c r="Z296" s="2952"/>
      <c r="AA296" s="2952"/>
      <c r="AB296" s="2952"/>
      <c r="AC296" s="2942">
        <f t="shared" si="126"/>
        <v>0</v>
      </c>
      <c r="AD296" s="2962"/>
      <c r="AE296" s="2962"/>
      <c r="AF296" s="2962"/>
      <c r="AG296" s="2962"/>
      <c r="AH296" s="2962"/>
      <c r="AI296" s="2962"/>
      <c r="AJ296" s="2962"/>
      <c r="AK296" s="2962"/>
      <c r="AL296" s="2962"/>
      <c r="AM296" s="2962"/>
      <c r="AN296" s="2962"/>
      <c r="AO296" s="2962"/>
      <c r="AP296" s="2962"/>
      <c r="AQ296" s="2962"/>
      <c r="AR296" s="2962"/>
      <c r="AS296" s="2962"/>
      <c r="AT296" s="2972"/>
      <c r="AU296" s="2973"/>
      <c r="AV296" s="1120">
        <f t="shared" si="127"/>
        <v>0</v>
      </c>
      <c r="AW296" s="1120">
        <f t="shared" si="128"/>
        <v>0</v>
      </c>
      <c r="AX296" s="1120">
        <f t="shared" si="129"/>
        <v>0</v>
      </c>
      <c r="AY296" s="2987">
        <f t="shared" si="130"/>
        <v>0</v>
      </c>
      <c r="AZ296" s="2942">
        <f t="shared" si="131"/>
        <v>0</v>
      </c>
      <c r="BA296" s="2942">
        <f t="shared" si="132"/>
        <v>0</v>
      </c>
      <c r="BB296" s="2942">
        <f t="shared" si="133"/>
        <v>0</v>
      </c>
      <c r="BC296" s="2942">
        <f t="shared" si="134"/>
        <v>0</v>
      </c>
      <c r="BD296" s="2942">
        <f t="shared" si="135"/>
        <v>0</v>
      </c>
      <c r="BE296" s="2942">
        <f t="shared" si="136"/>
        <v>0</v>
      </c>
      <c r="BF296" s="2942">
        <f t="shared" si="137"/>
        <v>0</v>
      </c>
      <c r="BG296" s="2942">
        <f t="shared" si="138"/>
        <v>0</v>
      </c>
      <c r="BH296" s="2942">
        <f t="shared" si="139"/>
        <v>0</v>
      </c>
      <c r="BI296" s="2942">
        <f t="shared" si="140"/>
        <v>0</v>
      </c>
      <c r="BJ296" s="2942">
        <f t="shared" si="141"/>
        <v>0</v>
      </c>
      <c r="BK296" s="2942">
        <f t="shared" si="142"/>
        <v>0</v>
      </c>
      <c r="BL296" s="2942">
        <f t="shared" si="143"/>
        <v>0</v>
      </c>
      <c r="BM296" s="2942">
        <f t="shared" si="144"/>
        <v>0</v>
      </c>
      <c r="BN296" s="2942">
        <f t="shared" si="145"/>
        <v>0</v>
      </c>
      <c r="BO296" s="2942">
        <f t="shared" si="146"/>
        <v>0</v>
      </c>
      <c r="BP296" s="2942">
        <f t="shared" si="147"/>
        <v>0</v>
      </c>
      <c r="BQ296" s="2942">
        <f t="shared" si="148"/>
        <v>0</v>
      </c>
      <c r="BR296" s="2942">
        <f t="shared" si="149"/>
        <v>0</v>
      </c>
      <c r="BS296" s="2942">
        <f t="shared" si="150"/>
        <v>0</v>
      </c>
      <c r="BT296" s="2994">
        <f t="shared" si="151"/>
        <v>0</v>
      </c>
    </row>
    <row r="297" spans="1:72">
      <c r="A297" s="2939"/>
      <c r="B297" s="2940"/>
      <c r="C297" s="2940"/>
      <c r="D297" s="2941"/>
      <c r="E297" s="2942">
        <f t="shared" si="123"/>
        <v>0</v>
      </c>
      <c r="F297" s="2943"/>
      <c r="G297" s="2944">
        <f t="shared" si="124"/>
        <v>0</v>
      </c>
      <c r="H297" s="2945">
        <f t="shared" si="125"/>
        <v>0</v>
      </c>
      <c r="I297" s="2952"/>
      <c r="J297" s="2952"/>
      <c r="K297" s="2952"/>
      <c r="L297" s="2952"/>
      <c r="M297" s="2952"/>
      <c r="N297" s="2952"/>
      <c r="O297" s="2952"/>
      <c r="P297" s="2952"/>
      <c r="Q297" s="2952"/>
      <c r="R297" s="2952"/>
      <c r="S297" s="2952"/>
      <c r="T297" s="2952"/>
      <c r="U297" s="2952"/>
      <c r="V297" s="2952"/>
      <c r="W297" s="2952"/>
      <c r="X297" s="2952"/>
      <c r="Y297" s="2952"/>
      <c r="Z297" s="2952"/>
      <c r="AA297" s="2952"/>
      <c r="AB297" s="2952"/>
      <c r="AC297" s="2942">
        <f t="shared" si="126"/>
        <v>0</v>
      </c>
      <c r="AD297" s="2962"/>
      <c r="AE297" s="2962"/>
      <c r="AF297" s="2962"/>
      <c r="AG297" s="2962"/>
      <c r="AH297" s="2962"/>
      <c r="AI297" s="2962"/>
      <c r="AJ297" s="2962"/>
      <c r="AK297" s="2962"/>
      <c r="AL297" s="2962"/>
      <c r="AM297" s="2962"/>
      <c r="AN297" s="2962"/>
      <c r="AO297" s="2962"/>
      <c r="AP297" s="2962"/>
      <c r="AQ297" s="2962"/>
      <c r="AR297" s="2962"/>
      <c r="AS297" s="2962"/>
      <c r="AT297" s="2972"/>
      <c r="AU297" s="2973"/>
      <c r="AV297" s="1120">
        <f t="shared" si="127"/>
        <v>0</v>
      </c>
      <c r="AW297" s="1120">
        <f t="shared" si="128"/>
        <v>0</v>
      </c>
      <c r="AX297" s="1120">
        <f t="shared" si="129"/>
        <v>0</v>
      </c>
      <c r="AY297" s="2987">
        <f t="shared" si="130"/>
        <v>0</v>
      </c>
      <c r="AZ297" s="2942">
        <f t="shared" si="131"/>
        <v>0</v>
      </c>
      <c r="BA297" s="2942">
        <f t="shared" si="132"/>
        <v>0</v>
      </c>
      <c r="BB297" s="2942">
        <f t="shared" si="133"/>
        <v>0</v>
      </c>
      <c r="BC297" s="2942">
        <f t="shared" si="134"/>
        <v>0</v>
      </c>
      <c r="BD297" s="2942">
        <f t="shared" si="135"/>
        <v>0</v>
      </c>
      <c r="BE297" s="2942">
        <f t="shared" si="136"/>
        <v>0</v>
      </c>
      <c r="BF297" s="2942">
        <f t="shared" si="137"/>
        <v>0</v>
      </c>
      <c r="BG297" s="2942">
        <f t="shared" si="138"/>
        <v>0</v>
      </c>
      <c r="BH297" s="2942">
        <f t="shared" si="139"/>
        <v>0</v>
      </c>
      <c r="BI297" s="2942">
        <f t="shared" si="140"/>
        <v>0</v>
      </c>
      <c r="BJ297" s="2942">
        <f t="shared" si="141"/>
        <v>0</v>
      </c>
      <c r="BK297" s="2942">
        <f t="shared" si="142"/>
        <v>0</v>
      </c>
      <c r="BL297" s="2942">
        <f t="shared" si="143"/>
        <v>0</v>
      </c>
      <c r="BM297" s="2942">
        <f t="shared" si="144"/>
        <v>0</v>
      </c>
      <c r="BN297" s="2942">
        <f t="shared" si="145"/>
        <v>0</v>
      </c>
      <c r="BO297" s="2942">
        <f t="shared" si="146"/>
        <v>0</v>
      </c>
      <c r="BP297" s="2942">
        <f t="shared" si="147"/>
        <v>0</v>
      </c>
      <c r="BQ297" s="2942">
        <f t="shared" si="148"/>
        <v>0</v>
      </c>
      <c r="BR297" s="2942">
        <f t="shared" si="149"/>
        <v>0</v>
      </c>
      <c r="BS297" s="2942">
        <f t="shared" si="150"/>
        <v>0</v>
      </c>
      <c r="BT297" s="2994">
        <f t="shared" si="151"/>
        <v>0</v>
      </c>
    </row>
    <row r="298" spans="1:72">
      <c r="A298" s="2939"/>
      <c r="B298" s="2940"/>
      <c r="C298" s="2940"/>
      <c r="D298" s="2941"/>
      <c r="E298" s="2942">
        <f t="shared" si="123"/>
        <v>0</v>
      </c>
      <c r="F298" s="2943"/>
      <c r="G298" s="2944">
        <f t="shared" si="124"/>
        <v>0</v>
      </c>
      <c r="H298" s="2945">
        <f t="shared" si="125"/>
        <v>0</v>
      </c>
      <c r="I298" s="2952"/>
      <c r="J298" s="2952"/>
      <c r="K298" s="2952"/>
      <c r="L298" s="2952"/>
      <c r="M298" s="2952"/>
      <c r="N298" s="2952"/>
      <c r="O298" s="2952"/>
      <c r="P298" s="2952"/>
      <c r="Q298" s="2952"/>
      <c r="R298" s="2952"/>
      <c r="S298" s="2952"/>
      <c r="T298" s="2952"/>
      <c r="U298" s="2952"/>
      <c r="V298" s="2952"/>
      <c r="W298" s="2952"/>
      <c r="X298" s="2952"/>
      <c r="Y298" s="2952"/>
      <c r="Z298" s="2952"/>
      <c r="AA298" s="2952"/>
      <c r="AB298" s="2952"/>
      <c r="AC298" s="2942">
        <f t="shared" si="126"/>
        <v>0</v>
      </c>
      <c r="AD298" s="2962"/>
      <c r="AE298" s="2962"/>
      <c r="AF298" s="2962"/>
      <c r="AG298" s="2962"/>
      <c r="AH298" s="2962"/>
      <c r="AI298" s="2962"/>
      <c r="AJ298" s="2962"/>
      <c r="AK298" s="2962"/>
      <c r="AL298" s="2962"/>
      <c r="AM298" s="2962"/>
      <c r="AN298" s="2962"/>
      <c r="AO298" s="2962"/>
      <c r="AP298" s="2962"/>
      <c r="AQ298" s="2962"/>
      <c r="AR298" s="2962"/>
      <c r="AS298" s="2962"/>
      <c r="AT298" s="2972"/>
      <c r="AU298" s="2973"/>
      <c r="AV298" s="1120">
        <f t="shared" si="127"/>
        <v>0</v>
      </c>
      <c r="AW298" s="1120">
        <f t="shared" si="128"/>
        <v>0</v>
      </c>
      <c r="AX298" s="1120">
        <f t="shared" si="129"/>
        <v>0</v>
      </c>
      <c r="AY298" s="2987">
        <f t="shared" si="130"/>
        <v>0</v>
      </c>
      <c r="AZ298" s="2942">
        <f t="shared" si="131"/>
        <v>0</v>
      </c>
      <c r="BA298" s="2942">
        <f t="shared" si="132"/>
        <v>0</v>
      </c>
      <c r="BB298" s="2942">
        <f t="shared" si="133"/>
        <v>0</v>
      </c>
      <c r="BC298" s="2942">
        <f t="shared" si="134"/>
        <v>0</v>
      </c>
      <c r="BD298" s="2942">
        <f t="shared" si="135"/>
        <v>0</v>
      </c>
      <c r="BE298" s="2942">
        <f t="shared" si="136"/>
        <v>0</v>
      </c>
      <c r="BF298" s="2942">
        <f t="shared" si="137"/>
        <v>0</v>
      </c>
      <c r="BG298" s="2942">
        <f t="shared" si="138"/>
        <v>0</v>
      </c>
      <c r="BH298" s="2942">
        <f t="shared" si="139"/>
        <v>0</v>
      </c>
      <c r="BI298" s="2942">
        <f t="shared" si="140"/>
        <v>0</v>
      </c>
      <c r="BJ298" s="2942">
        <f t="shared" si="141"/>
        <v>0</v>
      </c>
      <c r="BK298" s="2942">
        <f t="shared" si="142"/>
        <v>0</v>
      </c>
      <c r="BL298" s="2942">
        <f t="shared" si="143"/>
        <v>0</v>
      </c>
      <c r="BM298" s="2942">
        <f t="shared" si="144"/>
        <v>0</v>
      </c>
      <c r="BN298" s="2942">
        <f t="shared" si="145"/>
        <v>0</v>
      </c>
      <c r="BO298" s="2942">
        <f t="shared" si="146"/>
        <v>0</v>
      </c>
      <c r="BP298" s="2942">
        <f t="shared" si="147"/>
        <v>0</v>
      </c>
      <c r="BQ298" s="2942">
        <f t="shared" si="148"/>
        <v>0</v>
      </c>
      <c r="BR298" s="2942">
        <f t="shared" si="149"/>
        <v>0</v>
      </c>
      <c r="BS298" s="2942">
        <f t="shared" si="150"/>
        <v>0</v>
      </c>
      <c r="BT298" s="2994">
        <f t="shared" si="151"/>
        <v>0</v>
      </c>
    </row>
    <row r="299" spans="1:72">
      <c r="A299" s="2939"/>
      <c r="B299" s="2940"/>
      <c r="C299" s="2940"/>
      <c r="D299" s="2941"/>
      <c r="E299" s="2942">
        <f t="shared" si="123"/>
        <v>0</v>
      </c>
      <c r="F299" s="2943"/>
      <c r="G299" s="2944">
        <f t="shared" si="124"/>
        <v>0</v>
      </c>
      <c r="H299" s="2945">
        <f t="shared" si="125"/>
        <v>0</v>
      </c>
      <c r="I299" s="2952"/>
      <c r="J299" s="2952"/>
      <c r="K299" s="2952"/>
      <c r="L299" s="2952"/>
      <c r="M299" s="2952"/>
      <c r="N299" s="2952"/>
      <c r="O299" s="2952"/>
      <c r="P299" s="2952"/>
      <c r="Q299" s="2952"/>
      <c r="R299" s="2952"/>
      <c r="S299" s="2952"/>
      <c r="T299" s="2952"/>
      <c r="U299" s="2952"/>
      <c r="V299" s="2952"/>
      <c r="W299" s="2952"/>
      <c r="X299" s="2952"/>
      <c r="Y299" s="2952"/>
      <c r="Z299" s="2952"/>
      <c r="AA299" s="2952"/>
      <c r="AB299" s="2952"/>
      <c r="AC299" s="2942">
        <f t="shared" si="126"/>
        <v>0</v>
      </c>
      <c r="AD299" s="2962"/>
      <c r="AE299" s="2962"/>
      <c r="AF299" s="2962"/>
      <c r="AG299" s="2962"/>
      <c r="AH299" s="2962"/>
      <c r="AI299" s="2962"/>
      <c r="AJ299" s="2962"/>
      <c r="AK299" s="2962"/>
      <c r="AL299" s="2962"/>
      <c r="AM299" s="2962"/>
      <c r="AN299" s="2962"/>
      <c r="AO299" s="2962"/>
      <c r="AP299" s="2962"/>
      <c r="AQ299" s="2962"/>
      <c r="AR299" s="2962"/>
      <c r="AS299" s="2962"/>
      <c r="AT299" s="2972"/>
      <c r="AU299" s="2973"/>
      <c r="AV299" s="1120">
        <f t="shared" si="127"/>
        <v>0</v>
      </c>
      <c r="AW299" s="1120">
        <f t="shared" si="128"/>
        <v>0</v>
      </c>
      <c r="AX299" s="1120">
        <f t="shared" si="129"/>
        <v>0</v>
      </c>
      <c r="AY299" s="2987">
        <f t="shared" si="130"/>
        <v>0</v>
      </c>
      <c r="AZ299" s="2942">
        <f t="shared" si="131"/>
        <v>0</v>
      </c>
      <c r="BA299" s="2942">
        <f t="shared" si="132"/>
        <v>0</v>
      </c>
      <c r="BB299" s="2942">
        <f t="shared" si="133"/>
        <v>0</v>
      </c>
      <c r="BC299" s="2942">
        <f t="shared" si="134"/>
        <v>0</v>
      </c>
      <c r="BD299" s="2942">
        <f t="shared" si="135"/>
        <v>0</v>
      </c>
      <c r="BE299" s="2942">
        <f t="shared" si="136"/>
        <v>0</v>
      </c>
      <c r="BF299" s="2942">
        <f t="shared" si="137"/>
        <v>0</v>
      </c>
      <c r="BG299" s="2942">
        <f t="shared" si="138"/>
        <v>0</v>
      </c>
      <c r="BH299" s="2942">
        <f t="shared" si="139"/>
        <v>0</v>
      </c>
      <c r="BI299" s="2942">
        <f t="shared" si="140"/>
        <v>0</v>
      </c>
      <c r="BJ299" s="2942">
        <f t="shared" si="141"/>
        <v>0</v>
      </c>
      <c r="BK299" s="2942">
        <f t="shared" si="142"/>
        <v>0</v>
      </c>
      <c r="BL299" s="2942">
        <f t="shared" si="143"/>
        <v>0</v>
      </c>
      <c r="BM299" s="2942">
        <f t="shared" si="144"/>
        <v>0</v>
      </c>
      <c r="BN299" s="2942">
        <f t="shared" si="145"/>
        <v>0</v>
      </c>
      <c r="BO299" s="2942">
        <f t="shared" si="146"/>
        <v>0</v>
      </c>
      <c r="BP299" s="2942">
        <f t="shared" si="147"/>
        <v>0</v>
      </c>
      <c r="BQ299" s="2942">
        <f t="shared" si="148"/>
        <v>0</v>
      </c>
      <c r="BR299" s="2942">
        <f t="shared" si="149"/>
        <v>0</v>
      </c>
      <c r="BS299" s="2942">
        <f t="shared" si="150"/>
        <v>0</v>
      </c>
      <c r="BT299" s="2994">
        <f t="shared" si="151"/>
        <v>0</v>
      </c>
    </row>
    <row r="300" spans="1:72">
      <c r="A300" s="2939"/>
      <c r="B300" s="2939"/>
      <c r="C300" s="2939"/>
      <c r="D300" s="2941"/>
      <c r="E300" s="2942">
        <f t="shared" si="123"/>
        <v>0</v>
      </c>
      <c r="F300" s="2995"/>
      <c r="G300" s="2944">
        <f t="shared" ref="G300:G331" si="152">H300+AC300+AT300</f>
        <v>0</v>
      </c>
      <c r="H300" s="2945">
        <f t="shared" ref="H300:H331" si="153">SUMIF(I$12:AB$12,"总值",I300:AB300)</f>
        <v>0</v>
      </c>
      <c r="I300" s="2996"/>
      <c r="J300" s="2996"/>
      <c r="K300" s="2952"/>
      <c r="L300" s="2952"/>
      <c r="M300" s="2952"/>
      <c r="N300" s="2952"/>
      <c r="O300" s="2952"/>
      <c r="P300" s="2952"/>
      <c r="Q300" s="2952"/>
      <c r="R300" s="2952"/>
      <c r="S300" s="2952"/>
      <c r="T300" s="2952"/>
      <c r="U300" s="2952"/>
      <c r="V300" s="2952"/>
      <c r="W300" s="2952"/>
      <c r="X300" s="2952"/>
      <c r="Y300" s="2952"/>
      <c r="Z300" s="2952"/>
      <c r="AA300" s="2952"/>
      <c r="AB300" s="2952"/>
      <c r="AC300" s="2942">
        <f t="shared" ref="AC300:AC331" si="154">SUMIF(AD$12:AS$12,"总值",AD300:AS300)</f>
        <v>0</v>
      </c>
      <c r="AD300" s="2962"/>
      <c r="AE300" s="2962"/>
      <c r="AF300" s="2962"/>
      <c r="AG300" s="2962"/>
      <c r="AH300" s="2962"/>
      <c r="AI300" s="2962"/>
      <c r="AJ300" s="2962"/>
      <c r="AK300" s="2962"/>
      <c r="AL300" s="2962"/>
      <c r="AM300" s="2962"/>
      <c r="AN300" s="2962"/>
      <c r="AO300" s="2962"/>
      <c r="AP300" s="2962"/>
      <c r="AQ300" s="2962"/>
      <c r="AR300" s="2962"/>
      <c r="AS300" s="2962"/>
      <c r="AT300" s="2962"/>
      <c r="AU300" s="2997"/>
      <c r="AV300" s="1120">
        <f t="shared" si="127"/>
        <v>0</v>
      </c>
      <c r="AW300" s="1120">
        <f t="shared" si="128"/>
        <v>0</v>
      </c>
      <c r="AX300" s="1120">
        <f t="shared" si="129"/>
        <v>0</v>
      </c>
      <c r="AY300" s="2987">
        <f t="shared" ref="AY300:AY331" si="155">ROUND($AY$6*AZ300/$AZ$5,2)</f>
        <v>0</v>
      </c>
      <c r="AZ300" s="2942">
        <f t="shared" ref="AZ300:AZ331" si="156">BA300+BL300</f>
        <v>0</v>
      </c>
      <c r="BA300" s="2942">
        <f t="shared" ref="BA300:BA331" si="157">SUM(BB300:BK300)</f>
        <v>0</v>
      </c>
      <c r="BB300" s="2942">
        <f t="shared" ref="BB300:BB331" si="158">IF($D300="是",I300-J300,0)</f>
        <v>0</v>
      </c>
      <c r="BC300" s="2942">
        <f t="shared" ref="BC300:BC331" si="159">IF($D300="是",K300-L300,0)</f>
        <v>0</v>
      </c>
      <c r="BD300" s="2942">
        <f t="shared" ref="BD300:BD331" si="160">IF($D300="是",M300-N300,0)</f>
        <v>0</v>
      </c>
      <c r="BE300" s="2942">
        <f t="shared" ref="BE300:BE331" si="161">IF($D300="是",O300-P300,0)</f>
        <v>0</v>
      </c>
      <c r="BF300" s="2942">
        <f t="shared" ref="BF300:BF331" si="162">IF($D300="是",Q300-R300,0)</f>
        <v>0</v>
      </c>
      <c r="BG300" s="2942">
        <f t="shared" ref="BG300:BG331" si="163">IF($D300="是",S300-T300,0)</f>
        <v>0</v>
      </c>
      <c r="BH300" s="2942">
        <f t="shared" ref="BH300:BH331" si="164">IF($D300="是",U300-V300,0)</f>
        <v>0</v>
      </c>
      <c r="BI300" s="2942">
        <f t="shared" ref="BI300:BI331" si="165">IF($D300="是",W300-X300,0)</f>
        <v>0</v>
      </c>
      <c r="BJ300" s="2942">
        <f t="shared" ref="BJ300:BJ331" si="166">IF($D300="是",Y300-Z300,0)</f>
        <v>0</v>
      </c>
      <c r="BK300" s="2942">
        <f t="shared" ref="BK300:BK331" si="167">IF($D300="是",AA300-AB300,0)</f>
        <v>0</v>
      </c>
      <c r="BL300" s="2942">
        <f t="shared" ref="BL300:BL331" si="168">SUM(BM300:BT300)</f>
        <v>0</v>
      </c>
      <c r="BM300" s="2942">
        <f t="shared" ref="BM300:BM331" si="169">IF($D300="是",AD300-AE300,0)</f>
        <v>0</v>
      </c>
      <c r="BN300" s="2942">
        <f t="shared" ref="BN300:BN331" si="170">IF($D300="是",AF300-AG300,0)</f>
        <v>0</v>
      </c>
      <c r="BO300" s="2942">
        <f t="shared" ref="BO300:BO331" si="171">IF($D300="是",AH300-AI300,0)</f>
        <v>0</v>
      </c>
      <c r="BP300" s="2942">
        <f t="shared" ref="BP300:BP331" si="172">IF($D300="是",AJ300-AK300,0)</f>
        <v>0</v>
      </c>
      <c r="BQ300" s="2942">
        <f t="shared" ref="BQ300:BQ331" si="173">IF($D300="是",AL300-AM300,0)</f>
        <v>0</v>
      </c>
      <c r="BR300" s="2942">
        <f t="shared" ref="BR300:BR331" si="174">IF($D300="是",AN300-AO300,0)</f>
        <v>0</v>
      </c>
      <c r="BS300" s="2942">
        <f t="shared" ref="BS300:BS331" si="175">IF($D300="是",AP300-AQ300,0)</f>
        <v>0</v>
      </c>
      <c r="BT300" s="2994">
        <f t="shared" ref="BT300:BT331" si="176">IF($D300="是",AR300-AS300,0)</f>
        <v>0</v>
      </c>
    </row>
    <row r="301" spans="1:72">
      <c r="A301" s="2939"/>
      <c r="B301" s="2939"/>
      <c r="C301" s="2939"/>
      <c r="D301" s="2941"/>
      <c r="E301" s="2942">
        <f t="shared" si="123"/>
        <v>0</v>
      </c>
      <c r="F301" s="2995"/>
      <c r="G301" s="2944">
        <f t="shared" si="152"/>
        <v>0</v>
      </c>
      <c r="H301" s="2945">
        <f t="shared" si="153"/>
        <v>0</v>
      </c>
      <c r="I301" s="2952"/>
      <c r="J301" s="2952"/>
      <c r="K301" s="2952"/>
      <c r="L301" s="2952"/>
      <c r="M301" s="2952"/>
      <c r="N301" s="2952"/>
      <c r="O301" s="2952"/>
      <c r="P301" s="2952"/>
      <c r="Q301" s="2952"/>
      <c r="R301" s="2952"/>
      <c r="S301" s="2952"/>
      <c r="T301" s="2952"/>
      <c r="U301" s="2952"/>
      <c r="V301" s="2952"/>
      <c r="W301" s="2952"/>
      <c r="X301" s="2952"/>
      <c r="Y301" s="2952"/>
      <c r="Z301" s="2952"/>
      <c r="AA301" s="2952"/>
      <c r="AB301" s="2952"/>
      <c r="AC301" s="2942">
        <f t="shared" si="154"/>
        <v>0</v>
      </c>
      <c r="AD301" s="2962"/>
      <c r="AE301" s="2962"/>
      <c r="AF301" s="2962"/>
      <c r="AG301" s="2962"/>
      <c r="AH301" s="2962"/>
      <c r="AI301" s="2962"/>
      <c r="AJ301" s="2962"/>
      <c r="AK301" s="2962"/>
      <c r="AL301" s="2962"/>
      <c r="AM301" s="2962"/>
      <c r="AN301" s="2962"/>
      <c r="AO301" s="2962"/>
      <c r="AP301" s="2962"/>
      <c r="AQ301" s="2962"/>
      <c r="AR301" s="2962"/>
      <c r="AS301" s="2962"/>
      <c r="AT301" s="2962"/>
      <c r="AU301" s="2997"/>
      <c r="AV301" s="1120">
        <f t="shared" si="127"/>
        <v>0</v>
      </c>
      <c r="AW301" s="1120">
        <f t="shared" si="128"/>
        <v>0</v>
      </c>
      <c r="AX301" s="1120">
        <f t="shared" si="129"/>
        <v>0</v>
      </c>
      <c r="AY301" s="2987">
        <f t="shared" si="155"/>
        <v>0</v>
      </c>
      <c r="AZ301" s="2942">
        <f t="shared" si="156"/>
        <v>0</v>
      </c>
      <c r="BA301" s="2942">
        <f t="shared" si="157"/>
        <v>0</v>
      </c>
      <c r="BB301" s="2942">
        <f t="shared" si="158"/>
        <v>0</v>
      </c>
      <c r="BC301" s="2942">
        <f t="shared" si="159"/>
        <v>0</v>
      </c>
      <c r="BD301" s="2942">
        <f t="shared" si="160"/>
        <v>0</v>
      </c>
      <c r="BE301" s="2942">
        <f t="shared" si="161"/>
        <v>0</v>
      </c>
      <c r="BF301" s="2942">
        <f t="shared" si="162"/>
        <v>0</v>
      </c>
      <c r="BG301" s="2942">
        <f t="shared" si="163"/>
        <v>0</v>
      </c>
      <c r="BH301" s="2942">
        <f t="shared" si="164"/>
        <v>0</v>
      </c>
      <c r="BI301" s="2942">
        <f t="shared" si="165"/>
        <v>0</v>
      </c>
      <c r="BJ301" s="2942">
        <f t="shared" si="166"/>
        <v>0</v>
      </c>
      <c r="BK301" s="2942">
        <f t="shared" si="167"/>
        <v>0</v>
      </c>
      <c r="BL301" s="2942">
        <f t="shared" si="168"/>
        <v>0</v>
      </c>
      <c r="BM301" s="2942">
        <f t="shared" si="169"/>
        <v>0</v>
      </c>
      <c r="BN301" s="2942">
        <f t="shared" si="170"/>
        <v>0</v>
      </c>
      <c r="BO301" s="2942">
        <f t="shared" si="171"/>
        <v>0</v>
      </c>
      <c r="BP301" s="2942">
        <f t="shared" si="172"/>
        <v>0</v>
      </c>
      <c r="BQ301" s="2942">
        <f t="shared" si="173"/>
        <v>0</v>
      </c>
      <c r="BR301" s="2942">
        <f t="shared" si="174"/>
        <v>0</v>
      </c>
      <c r="BS301" s="2942">
        <f t="shared" si="175"/>
        <v>0</v>
      </c>
      <c r="BT301" s="2994">
        <f t="shared" si="176"/>
        <v>0</v>
      </c>
    </row>
    <row r="302" spans="1:72">
      <c r="A302" s="2939"/>
      <c r="B302" s="2939"/>
      <c r="C302" s="2939"/>
      <c r="D302" s="2941"/>
      <c r="E302" s="2942">
        <f t="shared" si="123"/>
        <v>0</v>
      </c>
      <c r="F302" s="2995"/>
      <c r="G302" s="2944">
        <f t="shared" si="152"/>
        <v>0</v>
      </c>
      <c r="H302" s="2945">
        <f t="shared" si="153"/>
        <v>0</v>
      </c>
      <c r="I302" s="2952"/>
      <c r="J302" s="2952"/>
      <c r="K302" s="2952"/>
      <c r="L302" s="2952"/>
      <c r="M302" s="2952"/>
      <c r="N302" s="2952"/>
      <c r="O302" s="2952"/>
      <c r="P302" s="2952"/>
      <c r="Q302" s="2952"/>
      <c r="R302" s="2952"/>
      <c r="S302" s="2952"/>
      <c r="T302" s="2952"/>
      <c r="U302" s="2952"/>
      <c r="V302" s="2952"/>
      <c r="W302" s="2952"/>
      <c r="X302" s="2952"/>
      <c r="Y302" s="2952"/>
      <c r="Z302" s="2952"/>
      <c r="AA302" s="2952"/>
      <c r="AB302" s="2952"/>
      <c r="AC302" s="2942">
        <f t="shared" si="154"/>
        <v>0</v>
      </c>
      <c r="AD302" s="2962"/>
      <c r="AE302" s="2962"/>
      <c r="AF302" s="2962"/>
      <c r="AG302" s="2962"/>
      <c r="AH302" s="2962"/>
      <c r="AI302" s="2962"/>
      <c r="AJ302" s="2962"/>
      <c r="AK302" s="2962"/>
      <c r="AL302" s="2962"/>
      <c r="AM302" s="2962"/>
      <c r="AN302" s="2962"/>
      <c r="AO302" s="2962"/>
      <c r="AP302" s="2962"/>
      <c r="AQ302" s="2962"/>
      <c r="AR302" s="2962"/>
      <c r="AS302" s="2962"/>
      <c r="AT302" s="2962"/>
      <c r="AU302" s="2997"/>
      <c r="AV302" s="1120">
        <f t="shared" si="127"/>
        <v>0</v>
      </c>
      <c r="AW302" s="1120">
        <f t="shared" si="128"/>
        <v>0</v>
      </c>
      <c r="AX302" s="1120">
        <f t="shared" si="129"/>
        <v>0</v>
      </c>
      <c r="AY302" s="2987">
        <f t="shared" si="155"/>
        <v>0</v>
      </c>
      <c r="AZ302" s="2942">
        <f t="shared" si="156"/>
        <v>0</v>
      </c>
      <c r="BA302" s="2942">
        <f t="shared" si="157"/>
        <v>0</v>
      </c>
      <c r="BB302" s="2942">
        <f t="shared" si="158"/>
        <v>0</v>
      </c>
      <c r="BC302" s="2942">
        <f t="shared" si="159"/>
        <v>0</v>
      </c>
      <c r="BD302" s="2942">
        <f t="shared" si="160"/>
        <v>0</v>
      </c>
      <c r="BE302" s="2942">
        <f t="shared" si="161"/>
        <v>0</v>
      </c>
      <c r="BF302" s="2942">
        <f t="shared" si="162"/>
        <v>0</v>
      </c>
      <c r="BG302" s="2942">
        <f t="shared" si="163"/>
        <v>0</v>
      </c>
      <c r="BH302" s="2942">
        <f t="shared" si="164"/>
        <v>0</v>
      </c>
      <c r="BI302" s="2942">
        <f t="shared" si="165"/>
        <v>0</v>
      </c>
      <c r="BJ302" s="2942">
        <f t="shared" si="166"/>
        <v>0</v>
      </c>
      <c r="BK302" s="2942">
        <f t="shared" si="167"/>
        <v>0</v>
      </c>
      <c r="BL302" s="2942">
        <f t="shared" si="168"/>
        <v>0</v>
      </c>
      <c r="BM302" s="2942">
        <f t="shared" si="169"/>
        <v>0</v>
      </c>
      <c r="BN302" s="2942">
        <f t="shared" si="170"/>
        <v>0</v>
      </c>
      <c r="BO302" s="2942">
        <f t="shared" si="171"/>
        <v>0</v>
      </c>
      <c r="BP302" s="2942">
        <f t="shared" si="172"/>
        <v>0</v>
      </c>
      <c r="BQ302" s="2942">
        <f t="shared" si="173"/>
        <v>0</v>
      </c>
      <c r="BR302" s="2942">
        <f t="shared" si="174"/>
        <v>0</v>
      </c>
      <c r="BS302" s="2942">
        <f t="shared" si="175"/>
        <v>0</v>
      </c>
      <c r="BT302" s="2994">
        <f t="shared" si="176"/>
        <v>0</v>
      </c>
    </row>
    <row r="303" spans="1:72">
      <c r="A303" s="2939"/>
      <c r="B303" s="2940"/>
      <c r="C303" s="2940"/>
      <c r="D303" s="2941"/>
      <c r="E303" s="2942">
        <f t="shared" ref="E303:E334" si="177">IF($C$3="是",ROUND($A$3*G303/$B$3,2),ROUND($A$3*(G303-AT303)/$B$3,2))</f>
        <v>0</v>
      </c>
      <c r="F303" s="2943"/>
      <c r="G303" s="2944">
        <f t="shared" si="152"/>
        <v>0</v>
      </c>
      <c r="H303" s="2945">
        <f t="shared" si="153"/>
        <v>0</v>
      </c>
      <c r="I303" s="2952"/>
      <c r="J303" s="2952"/>
      <c r="K303" s="2952"/>
      <c r="L303" s="2952"/>
      <c r="M303" s="2952"/>
      <c r="N303" s="2952"/>
      <c r="O303" s="2952"/>
      <c r="P303" s="2952"/>
      <c r="Q303" s="2952"/>
      <c r="R303" s="2952"/>
      <c r="S303" s="2952"/>
      <c r="T303" s="2952"/>
      <c r="U303" s="2952"/>
      <c r="V303" s="2952"/>
      <c r="W303" s="2952"/>
      <c r="X303" s="2952"/>
      <c r="Y303" s="2952"/>
      <c r="Z303" s="2952"/>
      <c r="AA303" s="2952"/>
      <c r="AB303" s="2952"/>
      <c r="AC303" s="2942">
        <f t="shared" si="154"/>
        <v>0</v>
      </c>
      <c r="AD303" s="2962"/>
      <c r="AE303" s="2962"/>
      <c r="AF303" s="2962"/>
      <c r="AG303" s="2962"/>
      <c r="AH303" s="2962"/>
      <c r="AI303" s="2962"/>
      <c r="AJ303" s="2962"/>
      <c r="AK303" s="2962"/>
      <c r="AL303" s="2962"/>
      <c r="AM303" s="2962"/>
      <c r="AN303" s="2962"/>
      <c r="AO303" s="2962"/>
      <c r="AP303" s="2962"/>
      <c r="AQ303" s="2962"/>
      <c r="AR303" s="2962"/>
      <c r="AS303" s="2962"/>
      <c r="AT303" s="2972"/>
      <c r="AU303" s="2973"/>
      <c r="AV303" s="1120">
        <f t="shared" ref="AV303:AV334" si="178">A303</f>
        <v>0</v>
      </c>
      <c r="AW303" s="1120">
        <f t="shared" ref="AW303:AW334" si="179">B303</f>
        <v>0</v>
      </c>
      <c r="AX303" s="1120">
        <f t="shared" ref="AX303:AX334" si="180">C303</f>
        <v>0</v>
      </c>
      <c r="AY303" s="2987">
        <f t="shared" si="155"/>
        <v>0</v>
      </c>
      <c r="AZ303" s="2942">
        <f t="shared" si="156"/>
        <v>0</v>
      </c>
      <c r="BA303" s="2942">
        <f t="shared" si="157"/>
        <v>0</v>
      </c>
      <c r="BB303" s="2942">
        <f t="shared" si="158"/>
        <v>0</v>
      </c>
      <c r="BC303" s="2942">
        <f t="shared" si="159"/>
        <v>0</v>
      </c>
      <c r="BD303" s="2942">
        <f t="shared" si="160"/>
        <v>0</v>
      </c>
      <c r="BE303" s="2942">
        <f t="shared" si="161"/>
        <v>0</v>
      </c>
      <c r="BF303" s="2942">
        <f t="shared" si="162"/>
        <v>0</v>
      </c>
      <c r="BG303" s="2942">
        <f t="shared" si="163"/>
        <v>0</v>
      </c>
      <c r="BH303" s="2942">
        <f t="shared" si="164"/>
        <v>0</v>
      </c>
      <c r="BI303" s="2942">
        <f t="shared" si="165"/>
        <v>0</v>
      </c>
      <c r="BJ303" s="2942">
        <f t="shared" si="166"/>
        <v>0</v>
      </c>
      <c r="BK303" s="2942">
        <f t="shared" si="167"/>
        <v>0</v>
      </c>
      <c r="BL303" s="2942">
        <f t="shared" si="168"/>
        <v>0</v>
      </c>
      <c r="BM303" s="2942">
        <f t="shared" si="169"/>
        <v>0</v>
      </c>
      <c r="BN303" s="2942">
        <f t="shared" si="170"/>
        <v>0</v>
      </c>
      <c r="BO303" s="2942">
        <f t="shared" si="171"/>
        <v>0</v>
      </c>
      <c r="BP303" s="2942">
        <f t="shared" si="172"/>
        <v>0</v>
      </c>
      <c r="BQ303" s="2942">
        <f t="shared" si="173"/>
        <v>0</v>
      </c>
      <c r="BR303" s="2942">
        <f t="shared" si="174"/>
        <v>0</v>
      </c>
      <c r="BS303" s="2942">
        <f t="shared" si="175"/>
        <v>0</v>
      </c>
      <c r="BT303" s="2994">
        <f t="shared" si="176"/>
        <v>0</v>
      </c>
    </row>
    <row r="304" spans="1:72">
      <c r="A304" s="2939"/>
      <c r="B304" s="2940"/>
      <c r="C304" s="2940"/>
      <c r="D304" s="2941"/>
      <c r="E304" s="2942">
        <f t="shared" si="177"/>
        <v>0</v>
      </c>
      <c r="F304" s="2943"/>
      <c r="G304" s="2944">
        <f t="shared" si="152"/>
        <v>0</v>
      </c>
      <c r="H304" s="2945">
        <f t="shared" si="153"/>
        <v>0</v>
      </c>
      <c r="I304" s="2952"/>
      <c r="J304" s="2952"/>
      <c r="K304" s="2952"/>
      <c r="L304" s="2952"/>
      <c r="M304" s="2952"/>
      <c r="N304" s="2952"/>
      <c r="O304" s="2952"/>
      <c r="P304" s="2952"/>
      <c r="Q304" s="2952"/>
      <c r="R304" s="2952"/>
      <c r="S304" s="2952"/>
      <c r="T304" s="2952"/>
      <c r="U304" s="2952"/>
      <c r="V304" s="2952"/>
      <c r="W304" s="2952"/>
      <c r="X304" s="2952"/>
      <c r="Y304" s="2952"/>
      <c r="Z304" s="2952"/>
      <c r="AA304" s="2952"/>
      <c r="AB304" s="2952"/>
      <c r="AC304" s="2942">
        <f t="shared" si="154"/>
        <v>0</v>
      </c>
      <c r="AD304" s="2962"/>
      <c r="AE304" s="2962"/>
      <c r="AF304" s="2962"/>
      <c r="AG304" s="2962"/>
      <c r="AH304" s="2962"/>
      <c r="AI304" s="2962"/>
      <c r="AJ304" s="2962"/>
      <c r="AK304" s="2962"/>
      <c r="AL304" s="2962"/>
      <c r="AM304" s="2962"/>
      <c r="AN304" s="2962"/>
      <c r="AO304" s="2962"/>
      <c r="AP304" s="2962"/>
      <c r="AQ304" s="2962"/>
      <c r="AR304" s="2962"/>
      <c r="AS304" s="2962"/>
      <c r="AT304" s="2972"/>
      <c r="AU304" s="2973"/>
      <c r="AV304" s="1120">
        <f t="shared" si="178"/>
        <v>0</v>
      </c>
      <c r="AW304" s="1120">
        <f t="shared" si="179"/>
        <v>0</v>
      </c>
      <c r="AX304" s="1120">
        <f t="shared" si="180"/>
        <v>0</v>
      </c>
      <c r="AY304" s="2987">
        <f t="shared" si="155"/>
        <v>0</v>
      </c>
      <c r="AZ304" s="2942">
        <f t="shared" si="156"/>
        <v>0</v>
      </c>
      <c r="BA304" s="2942">
        <f t="shared" si="157"/>
        <v>0</v>
      </c>
      <c r="BB304" s="2942">
        <f t="shared" si="158"/>
        <v>0</v>
      </c>
      <c r="BC304" s="2942">
        <f t="shared" si="159"/>
        <v>0</v>
      </c>
      <c r="BD304" s="2942">
        <f t="shared" si="160"/>
        <v>0</v>
      </c>
      <c r="BE304" s="2942">
        <f t="shared" si="161"/>
        <v>0</v>
      </c>
      <c r="BF304" s="2942">
        <f t="shared" si="162"/>
        <v>0</v>
      </c>
      <c r="BG304" s="2942">
        <f t="shared" si="163"/>
        <v>0</v>
      </c>
      <c r="BH304" s="2942">
        <f t="shared" si="164"/>
        <v>0</v>
      </c>
      <c r="BI304" s="2942">
        <f t="shared" si="165"/>
        <v>0</v>
      </c>
      <c r="BJ304" s="2942">
        <f t="shared" si="166"/>
        <v>0</v>
      </c>
      <c r="BK304" s="2942">
        <f t="shared" si="167"/>
        <v>0</v>
      </c>
      <c r="BL304" s="2942">
        <f t="shared" si="168"/>
        <v>0</v>
      </c>
      <c r="BM304" s="2942">
        <f t="shared" si="169"/>
        <v>0</v>
      </c>
      <c r="BN304" s="2942">
        <f t="shared" si="170"/>
        <v>0</v>
      </c>
      <c r="BO304" s="2942">
        <f t="shared" si="171"/>
        <v>0</v>
      </c>
      <c r="BP304" s="2942">
        <f t="shared" si="172"/>
        <v>0</v>
      </c>
      <c r="BQ304" s="2942">
        <f t="shared" si="173"/>
        <v>0</v>
      </c>
      <c r="BR304" s="2942">
        <f t="shared" si="174"/>
        <v>0</v>
      </c>
      <c r="BS304" s="2942">
        <f t="shared" si="175"/>
        <v>0</v>
      </c>
      <c r="BT304" s="2994">
        <f t="shared" si="176"/>
        <v>0</v>
      </c>
    </row>
    <row r="305" spans="1:72">
      <c r="A305" s="2939"/>
      <c r="B305" s="2940"/>
      <c r="C305" s="2940"/>
      <c r="D305" s="2941"/>
      <c r="E305" s="2942">
        <f t="shared" si="177"/>
        <v>0</v>
      </c>
      <c r="F305" s="2943"/>
      <c r="G305" s="2944">
        <f t="shared" si="152"/>
        <v>0</v>
      </c>
      <c r="H305" s="2945">
        <f t="shared" si="153"/>
        <v>0</v>
      </c>
      <c r="I305" s="2952"/>
      <c r="J305" s="2952"/>
      <c r="K305" s="2952"/>
      <c r="L305" s="2952"/>
      <c r="M305" s="2952"/>
      <c r="N305" s="2952"/>
      <c r="O305" s="2952"/>
      <c r="P305" s="2952"/>
      <c r="Q305" s="2952"/>
      <c r="R305" s="2952"/>
      <c r="S305" s="2952"/>
      <c r="T305" s="2952"/>
      <c r="U305" s="2952"/>
      <c r="V305" s="2952"/>
      <c r="W305" s="2952"/>
      <c r="X305" s="2952"/>
      <c r="Y305" s="2952"/>
      <c r="Z305" s="2952"/>
      <c r="AA305" s="2952"/>
      <c r="AB305" s="2952"/>
      <c r="AC305" s="2942">
        <f t="shared" si="154"/>
        <v>0</v>
      </c>
      <c r="AD305" s="2962"/>
      <c r="AE305" s="2962"/>
      <c r="AF305" s="2962"/>
      <c r="AG305" s="2962"/>
      <c r="AH305" s="2962"/>
      <c r="AI305" s="2962"/>
      <c r="AJ305" s="2962"/>
      <c r="AK305" s="2962"/>
      <c r="AL305" s="2962"/>
      <c r="AM305" s="2962"/>
      <c r="AN305" s="2962"/>
      <c r="AO305" s="2962"/>
      <c r="AP305" s="2962"/>
      <c r="AQ305" s="2962"/>
      <c r="AR305" s="2962"/>
      <c r="AS305" s="2962"/>
      <c r="AT305" s="2972"/>
      <c r="AU305" s="2973"/>
      <c r="AV305" s="1120">
        <f t="shared" si="178"/>
        <v>0</v>
      </c>
      <c r="AW305" s="1120">
        <f t="shared" si="179"/>
        <v>0</v>
      </c>
      <c r="AX305" s="1120">
        <f t="shared" si="180"/>
        <v>0</v>
      </c>
      <c r="AY305" s="2987">
        <f t="shared" si="155"/>
        <v>0</v>
      </c>
      <c r="AZ305" s="2942">
        <f t="shared" si="156"/>
        <v>0</v>
      </c>
      <c r="BA305" s="2942">
        <f t="shared" si="157"/>
        <v>0</v>
      </c>
      <c r="BB305" s="2942">
        <f t="shared" si="158"/>
        <v>0</v>
      </c>
      <c r="BC305" s="2942">
        <f t="shared" si="159"/>
        <v>0</v>
      </c>
      <c r="BD305" s="2942">
        <f t="shared" si="160"/>
        <v>0</v>
      </c>
      <c r="BE305" s="2942">
        <f t="shared" si="161"/>
        <v>0</v>
      </c>
      <c r="BF305" s="2942">
        <f t="shared" si="162"/>
        <v>0</v>
      </c>
      <c r="BG305" s="2942">
        <f t="shared" si="163"/>
        <v>0</v>
      </c>
      <c r="BH305" s="2942">
        <f t="shared" si="164"/>
        <v>0</v>
      </c>
      <c r="BI305" s="2942">
        <f t="shared" si="165"/>
        <v>0</v>
      </c>
      <c r="BJ305" s="2942">
        <f t="shared" si="166"/>
        <v>0</v>
      </c>
      <c r="BK305" s="2942">
        <f t="shared" si="167"/>
        <v>0</v>
      </c>
      <c r="BL305" s="2942">
        <f t="shared" si="168"/>
        <v>0</v>
      </c>
      <c r="BM305" s="2942">
        <f t="shared" si="169"/>
        <v>0</v>
      </c>
      <c r="BN305" s="2942">
        <f t="shared" si="170"/>
        <v>0</v>
      </c>
      <c r="BO305" s="2942">
        <f t="shared" si="171"/>
        <v>0</v>
      </c>
      <c r="BP305" s="2942">
        <f t="shared" si="172"/>
        <v>0</v>
      </c>
      <c r="BQ305" s="2942">
        <f t="shared" si="173"/>
        <v>0</v>
      </c>
      <c r="BR305" s="2942">
        <f t="shared" si="174"/>
        <v>0</v>
      </c>
      <c r="BS305" s="2942">
        <f t="shared" si="175"/>
        <v>0</v>
      </c>
      <c r="BT305" s="2994">
        <f t="shared" si="176"/>
        <v>0</v>
      </c>
    </row>
    <row r="306" spans="1:72">
      <c r="A306" s="2939"/>
      <c r="B306" s="2940"/>
      <c r="C306" s="2940"/>
      <c r="D306" s="2941"/>
      <c r="E306" s="2942">
        <f t="shared" si="177"/>
        <v>0</v>
      </c>
      <c r="F306" s="2943"/>
      <c r="G306" s="2944">
        <f t="shared" si="152"/>
        <v>0</v>
      </c>
      <c r="H306" s="2945">
        <f t="shared" si="153"/>
        <v>0</v>
      </c>
      <c r="I306" s="2952"/>
      <c r="J306" s="2952"/>
      <c r="K306" s="2952"/>
      <c r="L306" s="2952"/>
      <c r="M306" s="2952"/>
      <c r="N306" s="2952"/>
      <c r="O306" s="2952"/>
      <c r="P306" s="2952"/>
      <c r="Q306" s="2952"/>
      <c r="R306" s="2952"/>
      <c r="S306" s="2952"/>
      <c r="T306" s="2952"/>
      <c r="U306" s="2952"/>
      <c r="V306" s="2952"/>
      <c r="W306" s="2952"/>
      <c r="X306" s="2952"/>
      <c r="Y306" s="2952"/>
      <c r="Z306" s="2952"/>
      <c r="AA306" s="2952"/>
      <c r="AB306" s="2952"/>
      <c r="AC306" s="2942">
        <f t="shared" si="154"/>
        <v>0</v>
      </c>
      <c r="AD306" s="2962"/>
      <c r="AE306" s="2962"/>
      <c r="AF306" s="2962"/>
      <c r="AG306" s="2962"/>
      <c r="AH306" s="2962"/>
      <c r="AI306" s="2962"/>
      <c r="AJ306" s="2962"/>
      <c r="AK306" s="2962"/>
      <c r="AL306" s="2962"/>
      <c r="AM306" s="2962"/>
      <c r="AN306" s="2962"/>
      <c r="AO306" s="2962"/>
      <c r="AP306" s="2962"/>
      <c r="AQ306" s="2962"/>
      <c r="AR306" s="2962"/>
      <c r="AS306" s="2962"/>
      <c r="AT306" s="2972"/>
      <c r="AU306" s="2973"/>
      <c r="AV306" s="1120">
        <f t="shared" si="178"/>
        <v>0</v>
      </c>
      <c r="AW306" s="1120">
        <f t="shared" si="179"/>
        <v>0</v>
      </c>
      <c r="AX306" s="1120">
        <f t="shared" si="180"/>
        <v>0</v>
      </c>
      <c r="AY306" s="2987">
        <f t="shared" si="155"/>
        <v>0</v>
      </c>
      <c r="AZ306" s="2942">
        <f t="shared" si="156"/>
        <v>0</v>
      </c>
      <c r="BA306" s="2942">
        <f t="shared" si="157"/>
        <v>0</v>
      </c>
      <c r="BB306" s="2942">
        <f t="shared" si="158"/>
        <v>0</v>
      </c>
      <c r="BC306" s="2942">
        <f t="shared" si="159"/>
        <v>0</v>
      </c>
      <c r="BD306" s="2942">
        <f t="shared" si="160"/>
        <v>0</v>
      </c>
      <c r="BE306" s="2942">
        <f t="shared" si="161"/>
        <v>0</v>
      </c>
      <c r="BF306" s="2942">
        <f t="shared" si="162"/>
        <v>0</v>
      </c>
      <c r="BG306" s="2942">
        <f t="shared" si="163"/>
        <v>0</v>
      </c>
      <c r="BH306" s="2942">
        <f t="shared" si="164"/>
        <v>0</v>
      </c>
      <c r="BI306" s="2942">
        <f t="shared" si="165"/>
        <v>0</v>
      </c>
      <c r="BJ306" s="2942">
        <f t="shared" si="166"/>
        <v>0</v>
      </c>
      <c r="BK306" s="2942">
        <f t="shared" si="167"/>
        <v>0</v>
      </c>
      <c r="BL306" s="2942">
        <f t="shared" si="168"/>
        <v>0</v>
      </c>
      <c r="BM306" s="2942">
        <f t="shared" si="169"/>
        <v>0</v>
      </c>
      <c r="BN306" s="2942">
        <f t="shared" si="170"/>
        <v>0</v>
      </c>
      <c r="BO306" s="2942">
        <f t="shared" si="171"/>
        <v>0</v>
      </c>
      <c r="BP306" s="2942">
        <f t="shared" si="172"/>
        <v>0</v>
      </c>
      <c r="BQ306" s="2942">
        <f t="shared" si="173"/>
        <v>0</v>
      </c>
      <c r="BR306" s="2942">
        <f t="shared" si="174"/>
        <v>0</v>
      </c>
      <c r="BS306" s="2942">
        <f t="shared" si="175"/>
        <v>0</v>
      </c>
      <c r="BT306" s="2994">
        <f t="shared" si="176"/>
        <v>0</v>
      </c>
    </row>
    <row r="307" spans="1:72">
      <c r="A307" s="2939"/>
      <c r="B307" s="2940"/>
      <c r="C307" s="2940"/>
      <c r="D307" s="2941"/>
      <c r="E307" s="2942">
        <f t="shared" si="177"/>
        <v>0</v>
      </c>
      <c r="F307" s="2943"/>
      <c r="G307" s="2944">
        <f t="shared" si="152"/>
        <v>0</v>
      </c>
      <c r="H307" s="2945">
        <f t="shared" si="153"/>
        <v>0</v>
      </c>
      <c r="I307" s="2952"/>
      <c r="J307" s="2952"/>
      <c r="K307" s="2952"/>
      <c r="L307" s="2952"/>
      <c r="M307" s="2952"/>
      <c r="N307" s="2952"/>
      <c r="O307" s="2952"/>
      <c r="P307" s="2952"/>
      <c r="Q307" s="2952"/>
      <c r="R307" s="2952"/>
      <c r="S307" s="2952"/>
      <c r="T307" s="2952"/>
      <c r="U307" s="2952"/>
      <c r="V307" s="2952"/>
      <c r="W307" s="2952"/>
      <c r="X307" s="2952"/>
      <c r="Y307" s="2952"/>
      <c r="Z307" s="2952"/>
      <c r="AA307" s="2952"/>
      <c r="AB307" s="2952"/>
      <c r="AC307" s="2942">
        <f t="shared" si="154"/>
        <v>0</v>
      </c>
      <c r="AD307" s="2962"/>
      <c r="AE307" s="2962"/>
      <c r="AF307" s="2962"/>
      <c r="AG307" s="2962"/>
      <c r="AH307" s="2962"/>
      <c r="AI307" s="2962"/>
      <c r="AJ307" s="2962"/>
      <c r="AK307" s="2962"/>
      <c r="AL307" s="2962"/>
      <c r="AM307" s="2962"/>
      <c r="AN307" s="2962"/>
      <c r="AO307" s="2962"/>
      <c r="AP307" s="2962"/>
      <c r="AQ307" s="2962"/>
      <c r="AR307" s="2962"/>
      <c r="AS307" s="2962"/>
      <c r="AT307" s="2972"/>
      <c r="AU307" s="2973"/>
      <c r="AV307" s="1120">
        <f t="shared" si="178"/>
        <v>0</v>
      </c>
      <c r="AW307" s="1120">
        <f t="shared" si="179"/>
        <v>0</v>
      </c>
      <c r="AX307" s="1120">
        <f t="shared" si="180"/>
        <v>0</v>
      </c>
      <c r="AY307" s="2987">
        <f t="shared" si="155"/>
        <v>0</v>
      </c>
      <c r="AZ307" s="2942">
        <f t="shared" si="156"/>
        <v>0</v>
      </c>
      <c r="BA307" s="2942">
        <f t="shared" si="157"/>
        <v>0</v>
      </c>
      <c r="BB307" s="2942">
        <f t="shared" si="158"/>
        <v>0</v>
      </c>
      <c r="BC307" s="2942">
        <f t="shared" si="159"/>
        <v>0</v>
      </c>
      <c r="BD307" s="2942">
        <f t="shared" si="160"/>
        <v>0</v>
      </c>
      <c r="BE307" s="2942">
        <f t="shared" si="161"/>
        <v>0</v>
      </c>
      <c r="BF307" s="2942">
        <f t="shared" si="162"/>
        <v>0</v>
      </c>
      <c r="BG307" s="2942">
        <f t="shared" si="163"/>
        <v>0</v>
      </c>
      <c r="BH307" s="2942">
        <f t="shared" si="164"/>
        <v>0</v>
      </c>
      <c r="BI307" s="2942">
        <f t="shared" si="165"/>
        <v>0</v>
      </c>
      <c r="BJ307" s="2942">
        <f t="shared" si="166"/>
        <v>0</v>
      </c>
      <c r="BK307" s="2942">
        <f t="shared" si="167"/>
        <v>0</v>
      </c>
      <c r="BL307" s="2942">
        <f t="shared" si="168"/>
        <v>0</v>
      </c>
      <c r="BM307" s="2942">
        <f t="shared" si="169"/>
        <v>0</v>
      </c>
      <c r="BN307" s="2942">
        <f t="shared" si="170"/>
        <v>0</v>
      </c>
      <c r="BO307" s="2942">
        <f t="shared" si="171"/>
        <v>0</v>
      </c>
      <c r="BP307" s="2942">
        <f t="shared" si="172"/>
        <v>0</v>
      </c>
      <c r="BQ307" s="2942">
        <f t="shared" si="173"/>
        <v>0</v>
      </c>
      <c r="BR307" s="2942">
        <f t="shared" si="174"/>
        <v>0</v>
      </c>
      <c r="BS307" s="2942">
        <f t="shared" si="175"/>
        <v>0</v>
      </c>
      <c r="BT307" s="2994">
        <f t="shared" si="176"/>
        <v>0</v>
      </c>
    </row>
    <row r="308" spans="1:72">
      <c r="A308" s="2939"/>
      <c r="B308" s="2940"/>
      <c r="C308" s="2940"/>
      <c r="D308" s="2941"/>
      <c r="E308" s="2942">
        <f t="shared" si="177"/>
        <v>0</v>
      </c>
      <c r="F308" s="2943"/>
      <c r="G308" s="2944">
        <f t="shared" si="152"/>
        <v>0</v>
      </c>
      <c r="H308" s="2945">
        <f t="shared" si="153"/>
        <v>0</v>
      </c>
      <c r="I308" s="2952"/>
      <c r="J308" s="2952"/>
      <c r="K308" s="2952"/>
      <c r="L308" s="2952"/>
      <c r="M308" s="2952"/>
      <c r="N308" s="2952"/>
      <c r="O308" s="2952"/>
      <c r="P308" s="2952"/>
      <c r="Q308" s="2952"/>
      <c r="R308" s="2952"/>
      <c r="S308" s="2952"/>
      <c r="T308" s="2952"/>
      <c r="U308" s="2952"/>
      <c r="V308" s="2952"/>
      <c r="W308" s="2952"/>
      <c r="X308" s="2952"/>
      <c r="Y308" s="2952"/>
      <c r="Z308" s="2952"/>
      <c r="AA308" s="2952"/>
      <c r="AB308" s="2952"/>
      <c r="AC308" s="2942">
        <f t="shared" si="154"/>
        <v>0</v>
      </c>
      <c r="AD308" s="2962"/>
      <c r="AE308" s="2962"/>
      <c r="AF308" s="2962"/>
      <c r="AG308" s="2962"/>
      <c r="AH308" s="2962"/>
      <c r="AI308" s="2962"/>
      <c r="AJ308" s="2962"/>
      <c r="AK308" s="2962"/>
      <c r="AL308" s="2962"/>
      <c r="AM308" s="2962"/>
      <c r="AN308" s="2962"/>
      <c r="AO308" s="2962"/>
      <c r="AP308" s="2962"/>
      <c r="AQ308" s="2962"/>
      <c r="AR308" s="2962"/>
      <c r="AS308" s="2962"/>
      <c r="AT308" s="2972"/>
      <c r="AU308" s="2973"/>
      <c r="AV308" s="1120">
        <f t="shared" si="178"/>
        <v>0</v>
      </c>
      <c r="AW308" s="1120">
        <f t="shared" si="179"/>
        <v>0</v>
      </c>
      <c r="AX308" s="1120">
        <f t="shared" si="180"/>
        <v>0</v>
      </c>
      <c r="AY308" s="2987">
        <f t="shared" si="155"/>
        <v>0</v>
      </c>
      <c r="AZ308" s="2942">
        <f t="shared" si="156"/>
        <v>0</v>
      </c>
      <c r="BA308" s="2942">
        <f t="shared" si="157"/>
        <v>0</v>
      </c>
      <c r="BB308" s="2942">
        <f t="shared" si="158"/>
        <v>0</v>
      </c>
      <c r="BC308" s="2942">
        <f t="shared" si="159"/>
        <v>0</v>
      </c>
      <c r="BD308" s="2942">
        <f t="shared" si="160"/>
        <v>0</v>
      </c>
      <c r="BE308" s="2942">
        <f t="shared" si="161"/>
        <v>0</v>
      </c>
      <c r="BF308" s="2942">
        <f t="shared" si="162"/>
        <v>0</v>
      </c>
      <c r="BG308" s="2942">
        <f t="shared" si="163"/>
        <v>0</v>
      </c>
      <c r="BH308" s="2942">
        <f t="shared" si="164"/>
        <v>0</v>
      </c>
      <c r="BI308" s="2942">
        <f t="shared" si="165"/>
        <v>0</v>
      </c>
      <c r="BJ308" s="2942">
        <f t="shared" si="166"/>
        <v>0</v>
      </c>
      <c r="BK308" s="2942">
        <f t="shared" si="167"/>
        <v>0</v>
      </c>
      <c r="BL308" s="2942">
        <f t="shared" si="168"/>
        <v>0</v>
      </c>
      <c r="BM308" s="2942">
        <f t="shared" si="169"/>
        <v>0</v>
      </c>
      <c r="BN308" s="2942">
        <f t="shared" si="170"/>
        <v>0</v>
      </c>
      <c r="BO308" s="2942">
        <f t="shared" si="171"/>
        <v>0</v>
      </c>
      <c r="BP308" s="2942">
        <f t="shared" si="172"/>
        <v>0</v>
      </c>
      <c r="BQ308" s="2942">
        <f t="shared" si="173"/>
        <v>0</v>
      </c>
      <c r="BR308" s="2942">
        <f t="shared" si="174"/>
        <v>0</v>
      </c>
      <c r="BS308" s="2942">
        <f t="shared" si="175"/>
        <v>0</v>
      </c>
      <c r="BT308" s="2994">
        <f t="shared" si="176"/>
        <v>0</v>
      </c>
    </row>
    <row r="309" spans="1:72">
      <c r="A309" s="2939"/>
      <c r="B309" s="2940"/>
      <c r="C309" s="2940"/>
      <c r="D309" s="2941"/>
      <c r="E309" s="2942">
        <f t="shared" si="177"/>
        <v>0</v>
      </c>
      <c r="F309" s="2943"/>
      <c r="G309" s="2944">
        <f t="shared" si="152"/>
        <v>0</v>
      </c>
      <c r="H309" s="2945">
        <f t="shared" si="153"/>
        <v>0</v>
      </c>
      <c r="I309" s="2952"/>
      <c r="J309" s="2952"/>
      <c r="K309" s="2952"/>
      <c r="L309" s="2952"/>
      <c r="M309" s="2952"/>
      <c r="N309" s="2952"/>
      <c r="O309" s="2952"/>
      <c r="P309" s="2952"/>
      <c r="Q309" s="2952"/>
      <c r="R309" s="2952"/>
      <c r="S309" s="2952"/>
      <c r="T309" s="2952"/>
      <c r="U309" s="2952"/>
      <c r="V309" s="2952"/>
      <c r="W309" s="2952"/>
      <c r="X309" s="2952"/>
      <c r="Y309" s="2952"/>
      <c r="Z309" s="2952"/>
      <c r="AA309" s="2952"/>
      <c r="AB309" s="2952"/>
      <c r="AC309" s="2942">
        <f t="shared" si="154"/>
        <v>0</v>
      </c>
      <c r="AD309" s="2962"/>
      <c r="AE309" s="2962"/>
      <c r="AF309" s="2962"/>
      <c r="AG309" s="2962"/>
      <c r="AH309" s="2962"/>
      <c r="AI309" s="2962"/>
      <c r="AJ309" s="2962"/>
      <c r="AK309" s="2962"/>
      <c r="AL309" s="2962"/>
      <c r="AM309" s="2962"/>
      <c r="AN309" s="2962"/>
      <c r="AO309" s="2962"/>
      <c r="AP309" s="2962"/>
      <c r="AQ309" s="2962"/>
      <c r="AR309" s="2962"/>
      <c r="AS309" s="2962"/>
      <c r="AT309" s="2972"/>
      <c r="AU309" s="2973"/>
      <c r="AV309" s="1120">
        <f t="shared" si="178"/>
        <v>0</v>
      </c>
      <c r="AW309" s="1120">
        <f t="shared" si="179"/>
        <v>0</v>
      </c>
      <c r="AX309" s="1120">
        <f t="shared" si="180"/>
        <v>0</v>
      </c>
      <c r="AY309" s="2987">
        <f t="shared" si="155"/>
        <v>0</v>
      </c>
      <c r="AZ309" s="2942">
        <f t="shared" si="156"/>
        <v>0</v>
      </c>
      <c r="BA309" s="2942">
        <f t="shared" si="157"/>
        <v>0</v>
      </c>
      <c r="BB309" s="2942">
        <f t="shared" si="158"/>
        <v>0</v>
      </c>
      <c r="BC309" s="2942">
        <f t="shared" si="159"/>
        <v>0</v>
      </c>
      <c r="BD309" s="2942">
        <f t="shared" si="160"/>
        <v>0</v>
      </c>
      <c r="BE309" s="2942">
        <f t="shared" si="161"/>
        <v>0</v>
      </c>
      <c r="BF309" s="2942">
        <f t="shared" si="162"/>
        <v>0</v>
      </c>
      <c r="BG309" s="2942">
        <f t="shared" si="163"/>
        <v>0</v>
      </c>
      <c r="BH309" s="2942">
        <f t="shared" si="164"/>
        <v>0</v>
      </c>
      <c r="BI309" s="2942">
        <f t="shared" si="165"/>
        <v>0</v>
      </c>
      <c r="BJ309" s="2942">
        <f t="shared" si="166"/>
        <v>0</v>
      </c>
      <c r="BK309" s="2942">
        <f t="shared" si="167"/>
        <v>0</v>
      </c>
      <c r="BL309" s="2942">
        <f t="shared" si="168"/>
        <v>0</v>
      </c>
      <c r="BM309" s="2942">
        <f t="shared" si="169"/>
        <v>0</v>
      </c>
      <c r="BN309" s="2942">
        <f t="shared" si="170"/>
        <v>0</v>
      </c>
      <c r="BO309" s="2942">
        <f t="shared" si="171"/>
        <v>0</v>
      </c>
      <c r="BP309" s="2942">
        <f t="shared" si="172"/>
        <v>0</v>
      </c>
      <c r="BQ309" s="2942">
        <f t="shared" si="173"/>
        <v>0</v>
      </c>
      <c r="BR309" s="2942">
        <f t="shared" si="174"/>
        <v>0</v>
      </c>
      <c r="BS309" s="2942">
        <f t="shared" si="175"/>
        <v>0</v>
      </c>
      <c r="BT309" s="2994">
        <f t="shared" si="176"/>
        <v>0</v>
      </c>
    </row>
    <row r="310" spans="1:72">
      <c r="A310" s="2939"/>
      <c r="B310" s="2940"/>
      <c r="C310" s="2940"/>
      <c r="D310" s="2941"/>
      <c r="E310" s="2942">
        <f t="shared" si="177"/>
        <v>0</v>
      </c>
      <c r="F310" s="2943"/>
      <c r="G310" s="2944">
        <f t="shared" si="152"/>
        <v>0</v>
      </c>
      <c r="H310" s="2945">
        <f t="shared" si="153"/>
        <v>0</v>
      </c>
      <c r="I310" s="2952"/>
      <c r="J310" s="2952"/>
      <c r="K310" s="2952"/>
      <c r="L310" s="2952"/>
      <c r="M310" s="2952"/>
      <c r="N310" s="2952"/>
      <c r="O310" s="2952"/>
      <c r="P310" s="2952"/>
      <c r="Q310" s="2952"/>
      <c r="R310" s="2952"/>
      <c r="S310" s="2952"/>
      <c r="T310" s="2952"/>
      <c r="U310" s="2952"/>
      <c r="V310" s="2952"/>
      <c r="W310" s="2952"/>
      <c r="X310" s="2952"/>
      <c r="Y310" s="2952"/>
      <c r="Z310" s="2952"/>
      <c r="AA310" s="2952"/>
      <c r="AB310" s="2952"/>
      <c r="AC310" s="2942">
        <f t="shared" si="154"/>
        <v>0</v>
      </c>
      <c r="AD310" s="2962"/>
      <c r="AE310" s="2962"/>
      <c r="AF310" s="2962"/>
      <c r="AG310" s="2962"/>
      <c r="AH310" s="2962"/>
      <c r="AI310" s="2962"/>
      <c r="AJ310" s="2962"/>
      <c r="AK310" s="2962"/>
      <c r="AL310" s="2962"/>
      <c r="AM310" s="2962"/>
      <c r="AN310" s="2962"/>
      <c r="AO310" s="2962"/>
      <c r="AP310" s="2962"/>
      <c r="AQ310" s="2962"/>
      <c r="AR310" s="2962"/>
      <c r="AS310" s="2962"/>
      <c r="AT310" s="2972"/>
      <c r="AU310" s="2973"/>
      <c r="AV310" s="1120">
        <f t="shared" si="178"/>
        <v>0</v>
      </c>
      <c r="AW310" s="1120">
        <f t="shared" si="179"/>
        <v>0</v>
      </c>
      <c r="AX310" s="1120">
        <f t="shared" si="180"/>
        <v>0</v>
      </c>
      <c r="AY310" s="2987">
        <f t="shared" si="155"/>
        <v>0</v>
      </c>
      <c r="AZ310" s="2942">
        <f t="shared" si="156"/>
        <v>0</v>
      </c>
      <c r="BA310" s="2942">
        <f t="shared" si="157"/>
        <v>0</v>
      </c>
      <c r="BB310" s="2942">
        <f t="shared" si="158"/>
        <v>0</v>
      </c>
      <c r="BC310" s="2942">
        <f t="shared" si="159"/>
        <v>0</v>
      </c>
      <c r="BD310" s="2942">
        <f t="shared" si="160"/>
        <v>0</v>
      </c>
      <c r="BE310" s="2942">
        <f t="shared" si="161"/>
        <v>0</v>
      </c>
      <c r="BF310" s="2942">
        <f t="shared" si="162"/>
        <v>0</v>
      </c>
      <c r="BG310" s="2942">
        <f t="shared" si="163"/>
        <v>0</v>
      </c>
      <c r="BH310" s="2942">
        <f t="shared" si="164"/>
        <v>0</v>
      </c>
      <c r="BI310" s="2942">
        <f t="shared" si="165"/>
        <v>0</v>
      </c>
      <c r="BJ310" s="2942">
        <f t="shared" si="166"/>
        <v>0</v>
      </c>
      <c r="BK310" s="2942">
        <f t="shared" si="167"/>
        <v>0</v>
      </c>
      <c r="BL310" s="2942">
        <f t="shared" si="168"/>
        <v>0</v>
      </c>
      <c r="BM310" s="2942">
        <f t="shared" si="169"/>
        <v>0</v>
      </c>
      <c r="BN310" s="2942">
        <f t="shared" si="170"/>
        <v>0</v>
      </c>
      <c r="BO310" s="2942">
        <f t="shared" si="171"/>
        <v>0</v>
      </c>
      <c r="BP310" s="2942">
        <f t="shared" si="172"/>
        <v>0</v>
      </c>
      <c r="BQ310" s="2942">
        <f t="shared" si="173"/>
        <v>0</v>
      </c>
      <c r="BR310" s="2942">
        <f t="shared" si="174"/>
        <v>0</v>
      </c>
      <c r="BS310" s="2942">
        <f t="shared" si="175"/>
        <v>0</v>
      </c>
      <c r="BT310" s="2994">
        <f t="shared" si="176"/>
        <v>0</v>
      </c>
    </row>
    <row r="311" spans="1:72">
      <c r="A311" s="2939"/>
      <c r="B311" s="2940"/>
      <c r="C311" s="2940"/>
      <c r="D311" s="2941"/>
      <c r="E311" s="2942">
        <f t="shared" si="177"/>
        <v>0</v>
      </c>
      <c r="F311" s="2943"/>
      <c r="G311" s="2944">
        <f t="shared" si="152"/>
        <v>0</v>
      </c>
      <c r="H311" s="2945">
        <f t="shared" si="153"/>
        <v>0</v>
      </c>
      <c r="I311" s="2952"/>
      <c r="J311" s="2952"/>
      <c r="K311" s="2952"/>
      <c r="L311" s="2952"/>
      <c r="M311" s="2952"/>
      <c r="N311" s="2952"/>
      <c r="O311" s="2952"/>
      <c r="P311" s="2952"/>
      <c r="Q311" s="2952"/>
      <c r="R311" s="2952"/>
      <c r="S311" s="2952"/>
      <c r="T311" s="2952"/>
      <c r="U311" s="2952"/>
      <c r="V311" s="2952"/>
      <c r="W311" s="2952"/>
      <c r="X311" s="2952"/>
      <c r="Y311" s="2952"/>
      <c r="Z311" s="2952"/>
      <c r="AA311" s="2952"/>
      <c r="AB311" s="2952"/>
      <c r="AC311" s="2942">
        <f t="shared" si="154"/>
        <v>0</v>
      </c>
      <c r="AD311" s="2962"/>
      <c r="AE311" s="2962"/>
      <c r="AF311" s="2962"/>
      <c r="AG311" s="2962"/>
      <c r="AH311" s="2962"/>
      <c r="AI311" s="2962"/>
      <c r="AJ311" s="2962"/>
      <c r="AK311" s="2962"/>
      <c r="AL311" s="2962"/>
      <c r="AM311" s="2962"/>
      <c r="AN311" s="2962"/>
      <c r="AO311" s="2962"/>
      <c r="AP311" s="2962"/>
      <c r="AQ311" s="2962"/>
      <c r="AR311" s="2962"/>
      <c r="AS311" s="2962"/>
      <c r="AT311" s="2972"/>
      <c r="AU311" s="2973"/>
      <c r="AV311" s="1120">
        <f t="shared" si="178"/>
        <v>0</v>
      </c>
      <c r="AW311" s="1120">
        <f t="shared" si="179"/>
        <v>0</v>
      </c>
      <c r="AX311" s="1120">
        <f t="shared" si="180"/>
        <v>0</v>
      </c>
      <c r="AY311" s="2987">
        <f t="shared" si="155"/>
        <v>0</v>
      </c>
      <c r="AZ311" s="2942">
        <f t="shared" si="156"/>
        <v>0</v>
      </c>
      <c r="BA311" s="2942">
        <f t="shared" si="157"/>
        <v>0</v>
      </c>
      <c r="BB311" s="2942">
        <f t="shared" si="158"/>
        <v>0</v>
      </c>
      <c r="BC311" s="2942">
        <f t="shared" si="159"/>
        <v>0</v>
      </c>
      <c r="BD311" s="2942">
        <f t="shared" si="160"/>
        <v>0</v>
      </c>
      <c r="BE311" s="2942">
        <f t="shared" si="161"/>
        <v>0</v>
      </c>
      <c r="BF311" s="2942">
        <f t="shared" si="162"/>
        <v>0</v>
      </c>
      <c r="BG311" s="2942">
        <f t="shared" si="163"/>
        <v>0</v>
      </c>
      <c r="BH311" s="2942">
        <f t="shared" si="164"/>
        <v>0</v>
      </c>
      <c r="BI311" s="2942">
        <f t="shared" si="165"/>
        <v>0</v>
      </c>
      <c r="BJ311" s="2942">
        <f t="shared" si="166"/>
        <v>0</v>
      </c>
      <c r="BK311" s="2942">
        <f t="shared" si="167"/>
        <v>0</v>
      </c>
      <c r="BL311" s="2942">
        <f t="shared" si="168"/>
        <v>0</v>
      </c>
      <c r="BM311" s="2942">
        <f t="shared" si="169"/>
        <v>0</v>
      </c>
      <c r="BN311" s="2942">
        <f t="shared" si="170"/>
        <v>0</v>
      </c>
      <c r="BO311" s="2942">
        <f t="shared" si="171"/>
        <v>0</v>
      </c>
      <c r="BP311" s="2942">
        <f t="shared" si="172"/>
        <v>0</v>
      </c>
      <c r="BQ311" s="2942">
        <f t="shared" si="173"/>
        <v>0</v>
      </c>
      <c r="BR311" s="2942">
        <f t="shared" si="174"/>
        <v>0</v>
      </c>
      <c r="BS311" s="2942">
        <f t="shared" si="175"/>
        <v>0</v>
      </c>
      <c r="BT311" s="2994">
        <f t="shared" si="176"/>
        <v>0</v>
      </c>
    </row>
    <row r="312" spans="1:72">
      <c r="A312" s="2939"/>
      <c r="B312" s="2940"/>
      <c r="C312" s="2940"/>
      <c r="D312" s="2941"/>
      <c r="E312" s="2942">
        <f t="shared" si="177"/>
        <v>0</v>
      </c>
      <c r="F312" s="2943"/>
      <c r="G312" s="2944">
        <f t="shared" si="152"/>
        <v>0</v>
      </c>
      <c r="H312" s="2945">
        <f t="shared" si="153"/>
        <v>0</v>
      </c>
      <c r="I312" s="2952"/>
      <c r="J312" s="2952"/>
      <c r="K312" s="2952"/>
      <c r="L312" s="2952"/>
      <c r="M312" s="2952"/>
      <c r="N312" s="2952"/>
      <c r="O312" s="2952"/>
      <c r="P312" s="2952"/>
      <c r="Q312" s="2952"/>
      <c r="R312" s="2952"/>
      <c r="S312" s="2952"/>
      <c r="T312" s="2952"/>
      <c r="U312" s="2952"/>
      <c r="V312" s="2952"/>
      <c r="W312" s="2952"/>
      <c r="X312" s="2952"/>
      <c r="Y312" s="2952"/>
      <c r="Z312" s="2952"/>
      <c r="AA312" s="2952"/>
      <c r="AB312" s="2952"/>
      <c r="AC312" s="2942">
        <f t="shared" si="154"/>
        <v>0</v>
      </c>
      <c r="AD312" s="2962"/>
      <c r="AE312" s="2962"/>
      <c r="AF312" s="2962"/>
      <c r="AG312" s="2962"/>
      <c r="AH312" s="2962"/>
      <c r="AI312" s="2962"/>
      <c r="AJ312" s="2962"/>
      <c r="AK312" s="2962"/>
      <c r="AL312" s="2962"/>
      <c r="AM312" s="2962"/>
      <c r="AN312" s="2962"/>
      <c r="AO312" s="2962"/>
      <c r="AP312" s="2962"/>
      <c r="AQ312" s="2962"/>
      <c r="AR312" s="2962"/>
      <c r="AS312" s="2962"/>
      <c r="AT312" s="2972"/>
      <c r="AU312" s="2973"/>
      <c r="AV312" s="1120">
        <f t="shared" si="178"/>
        <v>0</v>
      </c>
      <c r="AW312" s="1120">
        <f t="shared" si="179"/>
        <v>0</v>
      </c>
      <c r="AX312" s="1120">
        <f t="shared" si="180"/>
        <v>0</v>
      </c>
      <c r="AY312" s="2987">
        <f t="shared" si="155"/>
        <v>0</v>
      </c>
      <c r="AZ312" s="2942">
        <f t="shared" si="156"/>
        <v>0</v>
      </c>
      <c r="BA312" s="2942">
        <f t="shared" si="157"/>
        <v>0</v>
      </c>
      <c r="BB312" s="2942">
        <f t="shared" si="158"/>
        <v>0</v>
      </c>
      <c r="BC312" s="2942">
        <f t="shared" si="159"/>
        <v>0</v>
      </c>
      <c r="BD312" s="2942">
        <f t="shared" si="160"/>
        <v>0</v>
      </c>
      <c r="BE312" s="2942">
        <f t="shared" si="161"/>
        <v>0</v>
      </c>
      <c r="BF312" s="2942">
        <f t="shared" si="162"/>
        <v>0</v>
      </c>
      <c r="BG312" s="2942">
        <f t="shared" si="163"/>
        <v>0</v>
      </c>
      <c r="BH312" s="2942">
        <f t="shared" si="164"/>
        <v>0</v>
      </c>
      <c r="BI312" s="2942">
        <f t="shared" si="165"/>
        <v>0</v>
      </c>
      <c r="BJ312" s="2942">
        <f t="shared" si="166"/>
        <v>0</v>
      </c>
      <c r="BK312" s="2942">
        <f t="shared" si="167"/>
        <v>0</v>
      </c>
      <c r="BL312" s="2942">
        <f t="shared" si="168"/>
        <v>0</v>
      </c>
      <c r="BM312" s="2942">
        <f t="shared" si="169"/>
        <v>0</v>
      </c>
      <c r="BN312" s="2942">
        <f t="shared" si="170"/>
        <v>0</v>
      </c>
      <c r="BO312" s="2942">
        <f t="shared" si="171"/>
        <v>0</v>
      </c>
      <c r="BP312" s="2942">
        <f t="shared" si="172"/>
        <v>0</v>
      </c>
      <c r="BQ312" s="2942">
        <f t="shared" si="173"/>
        <v>0</v>
      </c>
      <c r="BR312" s="2942">
        <f t="shared" si="174"/>
        <v>0</v>
      </c>
      <c r="BS312" s="2942">
        <f t="shared" si="175"/>
        <v>0</v>
      </c>
      <c r="BT312" s="2994">
        <f t="shared" si="176"/>
        <v>0</v>
      </c>
    </row>
    <row r="313" spans="1:72">
      <c r="A313" s="2939"/>
      <c r="B313" s="2940"/>
      <c r="C313" s="2940"/>
      <c r="D313" s="2941"/>
      <c r="E313" s="2942">
        <f t="shared" si="177"/>
        <v>0</v>
      </c>
      <c r="F313" s="2943"/>
      <c r="G313" s="2944">
        <f t="shared" si="152"/>
        <v>0</v>
      </c>
      <c r="H313" s="2945">
        <f t="shared" si="153"/>
        <v>0</v>
      </c>
      <c r="I313" s="2952"/>
      <c r="J313" s="2952"/>
      <c r="K313" s="2952"/>
      <c r="L313" s="2952"/>
      <c r="M313" s="2952"/>
      <c r="N313" s="2952"/>
      <c r="O313" s="2952"/>
      <c r="P313" s="2952"/>
      <c r="Q313" s="2952"/>
      <c r="R313" s="2952"/>
      <c r="S313" s="2952"/>
      <c r="T313" s="2952"/>
      <c r="U313" s="2952"/>
      <c r="V313" s="2952"/>
      <c r="W313" s="2952"/>
      <c r="X313" s="2952"/>
      <c r="Y313" s="2952"/>
      <c r="Z313" s="2952"/>
      <c r="AA313" s="2952"/>
      <c r="AB313" s="2952"/>
      <c r="AC313" s="2942">
        <f t="shared" si="154"/>
        <v>0</v>
      </c>
      <c r="AD313" s="2962"/>
      <c r="AE313" s="2962"/>
      <c r="AF313" s="2962"/>
      <c r="AG313" s="2962"/>
      <c r="AH313" s="2962"/>
      <c r="AI313" s="2962"/>
      <c r="AJ313" s="2962"/>
      <c r="AK313" s="2962"/>
      <c r="AL313" s="2962"/>
      <c r="AM313" s="2962"/>
      <c r="AN313" s="2962"/>
      <c r="AO313" s="2962"/>
      <c r="AP313" s="2962"/>
      <c r="AQ313" s="2962"/>
      <c r="AR313" s="2962"/>
      <c r="AS313" s="2962"/>
      <c r="AT313" s="2972"/>
      <c r="AU313" s="2973"/>
      <c r="AV313" s="1120">
        <f t="shared" si="178"/>
        <v>0</v>
      </c>
      <c r="AW313" s="1120">
        <f t="shared" si="179"/>
        <v>0</v>
      </c>
      <c r="AX313" s="1120">
        <f t="shared" si="180"/>
        <v>0</v>
      </c>
      <c r="AY313" s="2987">
        <f t="shared" si="155"/>
        <v>0</v>
      </c>
      <c r="AZ313" s="2942">
        <f t="shared" si="156"/>
        <v>0</v>
      </c>
      <c r="BA313" s="2942">
        <f t="shared" si="157"/>
        <v>0</v>
      </c>
      <c r="BB313" s="2942">
        <f t="shared" si="158"/>
        <v>0</v>
      </c>
      <c r="BC313" s="2942">
        <f t="shared" si="159"/>
        <v>0</v>
      </c>
      <c r="BD313" s="2942">
        <f t="shared" si="160"/>
        <v>0</v>
      </c>
      <c r="BE313" s="2942">
        <f t="shared" si="161"/>
        <v>0</v>
      </c>
      <c r="BF313" s="2942">
        <f t="shared" si="162"/>
        <v>0</v>
      </c>
      <c r="BG313" s="2942">
        <f t="shared" si="163"/>
        <v>0</v>
      </c>
      <c r="BH313" s="2942">
        <f t="shared" si="164"/>
        <v>0</v>
      </c>
      <c r="BI313" s="2942">
        <f t="shared" si="165"/>
        <v>0</v>
      </c>
      <c r="BJ313" s="2942">
        <f t="shared" si="166"/>
        <v>0</v>
      </c>
      <c r="BK313" s="2942">
        <f t="shared" si="167"/>
        <v>0</v>
      </c>
      <c r="BL313" s="2942">
        <f t="shared" si="168"/>
        <v>0</v>
      </c>
      <c r="BM313" s="2942">
        <f t="shared" si="169"/>
        <v>0</v>
      </c>
      <c r="BN313" s="2942">
        <f t="shared" si="170"/>
        <v>0</v>
      </c>
      <c r="BO313" s="2942">
        <f t="shared" si="171"/>
        <v>0</v>
      </c>
      <c r="BP313" s="2942">
        <f t="shared" si="172"/>
        <v>0</v>
      </c>
      <c r="BQ313" s="2942">
        <f t="shared" si="173"/>
        <v>0</v>
      </c>
      <c r="BR313" s="2942">
        <f t="shared" si="174"/>
        <v>0</v>
      </c>
      <c r="BS313" s="2942">
        <f t="shared" si="175"/>
        <v>0</v>
      </c>
      <c r="BT313" s="2994">
        <f t="shared" si="176"/>
        <v>0</v>
      </c>
    </row>
    <row r="314" spans="1:72">
      <c r="A314" s="2939"/>
      <c r="B314" s="2940"/>
      <c r="C314" s="2940"/>
      <c r="D314" s="2941"/>
      <c r="E314" s="2942">
        <f t="shared" si="177"/>
        <v>0</v>
      </c>
      <c r="F314" s="2943"/>
      <c r="G314" s="2944">
        <f t="shared" si="152"/>
        <v>0</v>
      </c>
      <c r="H314" s="2945">
        <f t="shared" si="153"/>
        <v>0</v>
      </c>
      <c r="I314" s="2952"/>
      <c r="J314" s="2952"/>
      <c r="K314" s="2952"/>
      <c r="L314" s="2952"/>
      <c r="M314" s="2952"/>
      <c r="N314" s="2952"/>
      <c r="O314" s="2952"/>
      <c r="P314" s="2952"/>
      <c r="Q314" s="2952"/>
      <c r="R314" s="2952"/>
      <c r="S314" s="2952"/>
      <c r="T314" s="2952"/>
      <c r="U314" s="2952"/>
      <c r="V314" s="2952"/>
      <c r="W314" s="2952"/>
      <c r="X314" s="2952"/>
      <c r="Y314" s="2952"/>
      <c r="Z314" s="2952"/>
      <c r="AA314" s="2952"/>
      <c r="AB314" s="2952"/>
      <c r="AC314" s="2942">
        <f t="shared" si="154"/>
        <v>0</v>
      </c>
      <c r="AD314" s="2962"/>
      <c r="AE314" s="2962"/>
      <c r="AF314" s="2962"/>
      <c r="AG314" s="2962"/>
      <c r="AH314" s="2962"/>
      <c r="AI314" s="2962"/>
      <c r="AJ314" s="2962"/>
      <c r="AK314" s="2962"/>
      <c r="AL314" s="2962"/>
      <c r="AM314" s="2962"/>
      <c r="AN314" s="2962"/>
      <c r="AO314" s="2962"/>
      <c r="AP314" s="2962"/>
      <c r="AQ314" s="2962"/>
      <c r="AR314" s="2962"/>
      <c r="AS314" s="2962"/>
      <c r="AT314" s="2972"/>
      <c r="AU314" s="2973"/>
      <c r="AV314" s="1120">
        <f t="shared" si="178"/>
        <v>0</v>
      </c>
      <c r="AW314" s="1120">
        <f t="shared" si="179"/>
        <v>0</v>
      </c>
      <c r="AX314" s="1120">
        <f t="shared" si="180"/>
        <v>0</v>
      </c>
      <c r="AY314" s="2987">
        <f t="shared" si="155"/>
        <v>0</v>
      </c>
      <c r="AZ314" s="2942">
        <f t="shared" si="156"/>
        <v>0</v>
      </c>
      <c r="BA314" s="2942">
        <f t="shared" si="157"/>
        <v>0</v>
      </c>
      <c r="BB314" s="2942">
        <f t="shared" si="158"/>
        <v>0</v>
      </c>
      <c r="BC314" s="2942">
        <f t="shared" si="159"/>
        <v>0</v>
      </c>
      <c r="BD314" s="2942">
        <f t="shared" si="160"/>
        <v>0</v>
      </c>
      <c r="BE314" s="2942">
        <f t="shared" si="161"/>
        <v>0</v>
      </c>
      <c r="BF314" s="2942">
        <f t="shared" si="162"/>
        <v>0</v>
      </c>
      <c r="BG314" s="2942">
        <f t="shared" si="163"/>
        <v>0</v>
      </c>
      <c r="BH314" s="2942">
        <f t="shared" si="164"/>
        <v>0</v>
      </c>
      <c r="BI314" s="2942">
        <f t="shared" si="165"/>
        <v>0</v>
      </c>
      <c r="BJ314" s="2942">
        <f t="shared" si="166"/>
        <v>0</v>
      </c>
      <c r="BK314" s="2942">
        <f t="shared" si="167"/>
        <v>0</v>
      </c>
      <c r="BL314" s="2942">
        <f t="shared" si="168"/>
        <v>0</v>
      </c>
      <c r="BM314" s="2942">
        <f t="shared" si="169"/>
        <v>0</v>
      </c>
      <c r="BN314" s="2942">
        <f t="shared" si="170"/>
        <v>0</v>
      </c>
      <c r="BO314" s="2942">
        <f t="shared" si="171"/>
        <v>0</v>
      </c>
      <c r="BP314" s="2942">
        <f t="shared" si="172"/>
        <v>0</v>
      </c>
      <c r="BQ314" s="2942">
        <f t="shared" si="173"/>
        <v>0</v>
      </c>
      <c r="BR314" s="2942">
        <f t="shared" si="174"/>
        <v>0</v>
      </c>
      <c r="BS314" s="2942">
        <f t="shared" si="175"/>
        <v>0</v>
      </c>
      <c r="BT314" s="2994">
        <f t="shared" si="176"/>
        <v>0</v>
      </c>
    </row>
    <row r="315" spans="1:72">
      <c r="A315" s="2939"/>
      <c r="B315" s="2940"/>
      <c r="C315" s="2940"/>
      <c r="D315" s="2941"/>
      <c r="E315" s="2942">
        <f t="shared" si="177"/>
        <v>0</v>
      </c>
      <c r="F315" s="2943"/>
      <c r="G315" s="2944">
        <f t="shared" si="152"/>
        <v>0</v>
      </c>
      <c r="H315" s="2945">
        <f t="shared" si="153"/>
        <v>0</v>
      </c>
      <c r="I315" s="2952"/>
      <c r="J315" s="2952"/>
      <c r="K315" s="2952"/>
      <c r="L315" s="2952"/>
      <c r="M315" s="2952"/>
      <c r="N315" s="2952"/>
      <c r="O315" s="2952"/>
      <c r="P315" s="2952"/>
      <c r="Q315" s="2952"/>
      <c r="R315" s="2952"/>
      <c r="S315" s="2952"/>
      <c r="T315" s="2952"/>
      <c r="U315" s="2952"/>
      <c r="V315" s="2952"/>
      <c r="W315" s="2952"/>
      <c r="X315" s="2952"/>
      <c r="Y315" s="2952"/>
      <c r="Z315" s="2952"/>
      <c r="AA315" s="2952"/>
      <c r="AB315" s="2952"/>
      <c r="AC315" s="2942">
        <f t="shared" si="154"/>
        <v>0</v>
      </c>
      <c r="AD315" s="2962"/>
      <c r="AE315" s="2962"/>
      <c r="AF315" s="2962"/>
      <c r="AG315" s="2962"/>
      <c r="AH315" s="2962"/>
      <c r="AI315" s="2962"/>
      <c r="AJ315" s="2962"/>
      <c r="AK315" s="2962"/>
      <c r="AL315" s="2962"/>
      <c r="AM315" s="2962"/>
      <c r="AN315" s="2962"/>
      <c r="AO315" s="2962"/>
      <c r="AP315" s="2962"/>
      <c r="AQ315" s="2962"/>
      <c r="AR315" s="2962"/>
      <c r="AS315" s="2962"/>
      <c r="AT315" s="2972"/>
      <c r="AU315" s="2973"/>
      <c r="AV315" s="1120">
        <f t="shared" si="178"/>
        <v>0</v>
      </c>
      <c r="AW315" s="1120">
        <f t="shared" si="179"/>
        <v>0</v>
      </c>
      <c r="AX315" s="1120">
        <f t="shared" si="180"/>
        <v>0</v>
      </c>
      <c r="AY315" s="2987">
        <f t="shared" si="155"/>
        <v>0</v>
      </c>
      <c r="AZ315" s="2942">
        <f t="shared" si="156"/>
        <v>0</v>
      </c>
      <c r="BA315" s="2942">
        <f t="shared" si="157"/>
        <v>0</v>
      </c>
      <c r="BB315" s="2942">
        <f t="shared" si="158"/>
        <v>0</v>
      </c>
      <c r="BC315" s="2942">
        <f t="shared" si="159"/>
        <v>0</v>
      </c>
      <c r="BD315" s="2942">
        <f t="shared" si="160"/>
        <v>0</v>
      </c>
      <c r="BE315" s="2942">
        <f t="shared" si="161"/>
        <v>0</v>
      </c>
      <c r="BF315" s="2942">
        <f t="shared" si="162"/>
        <v>0</v>
      </c>
      <c r="BG315" s="2942">
        <f t="shared" si="163"/>
        <v>0</v>
      </c>
      <c r="BH315" s="2942">
        <f t="shared" si="164"/>
        <v>0</v>
      </c>
      <c r="BI315" s="2942">
        <f t="shared" si="165"/>
        <v>0</v>
      </c>
      <c r="BJ315" s="2942">
        <f t="shared" si="166"/>
        <v>0</v>
      </c>
      <c r="BK315" s="2942">
        <f t="shared" si="167"/>
        <v>0</v>
      </c>
      <c r="BL315" s="2942">
        <f t="shared" si="168"/>
        <v>0</v>
      </c>
      <c r="BM315" s="2942">
        <f t="shared" si="169"/>
        <v>0</v>
      </c>
      <c r="BN315" s="2942">
        <f t="shared" si="170"/>
        <v>0</v>
      </c>
      <c r="BO315" s="2942">
        <f t="shared" si="171"/>
        <v>0</v>
      </c>
      <c r="BP315" s="2942">
        <f t="shared" si="172"/>
        <v>0</v>
      </c>
      <c r="BQ315" s="2942">
        <f t="shared" si="173"/>
        <v>0</v>
      </c>
      <c r="BR315" s="2942">
        <f t="shared" si="174"/>
        <v>0</v>
      </c>
      <c r="BS315" s="2942">
        <f t="shared" si="175"/>
        <v>0</v>
      </c>
      <c r="BT315" s="2994">
        <f t="shared" si="176"/>
        <v>0</v>
      </c>
    </row>
    <row r="316" spans="1:72">
      <c r="A316" s="2939"/>
      <c r="B316" s="2940"/>
      <c r="C316" s="2940"/>
      <c r="D316" s="2941"/>
      <c r="E316" s="2942">
        <f t="shared" si="177"/>
        <v>0</v>
      </c>
      <c r="F316" s="2943"/>
      <c r="G316" s="2944">
        <f t="shared" si="152"/>
        <v>0</v>
      </c>
      <c r="H316" s="2945">
        <f t="shared" si="153"/>
        <v>0</v>
      </c>
      <c r="I316" s="2952"/>
      <c r="J316" s="2952"/>
      <c r="K316" s="2952"/>
      <c r="L316" s="2952"/>
      <c r="M316" s="2952"/>
      <c r="N316" s="2952"/>
      <c r="O316" s="2952"/>
      <c r="P316" s="2952"/>
      <c r="Q316" s="2952"/>
      <c r="R316" s="2952"/>
      <c r="S316" s="2952"/>
      <c r="T316" s="2952"/>
      <c r="U316" s="2952"/>
      <c r="V316" s="2952"/>
      <c r="W316" s="2952"/>
      <c r="X316" s="2952"/>
      <c r="Y316" s="2952"/>
      <c r="Z316" s="2952"/>
      <c r="AA316" s="2952"/>
      <c r="AB316" s="2952"/>
      <c r="AC316" s="2942">
        <f t="shared" si="154"/>
        <v>0</v>
      </c>
      <c r="AD316" s="2962"/>
      <c r="AE316" s="2962"/>
      <c r="AF316" s="2962"/>
      <c r="AG316" s="2962"/>
      <c r="AH316" s="2962"/>
      <c r="AI316" s="2962"/>
      <c r="AJ316" s="2962"/>
      <c r="AK316" s="2962"/>
      <c r="AL316" s="2962"/>
      <c r="AM316" s="2962"/>
      <c r="AN316" s="2962"/>
      <c r="AO316" s="2962"/>
      <c r="AP316" s="2962"/>
      <c r="AQ316" s="2962"/>
      <c r="AR316" s="2962"/>
      <c r="AS316" s="2962"/>
      <c r="AT316" s="2972"/>
      <c r="AU316" s="2973"/>
      <c r="AV316" s="1120">
        <f t="shared" si="178"/>
        <v>0</v>
      </c>
      <c r="AW316" s="1120">
        <f t="shared" si="179"/>
        <v>0</v>
      </c>
      <c r="AX316" s="1120">
        <f t="shared" si="180"/>
        <v>0</v>
      </c>
      <c r="AY316" s="2987">
        <f t="shared" si="155"/>
        <v>0</v>
      </c>
      <c r="AZ316" s="2942">
        <f t="shared" si="156"/>
        <v>0</v>
      </c>
      <c r="BA316" s="2942">
        <f t="shared" si="157"/>
        <v>0</v>
      </c>
      <c r="BB316" s="2942">
        <f t="shared" si="158"/>
        <v>0</v>
      </c>
      <c r="BC316" s="2942">
        <f t="shared" si="159"/>
        <v>0</v>
      </c>
      <c r="BD316" s="2942">
        <f t="shared" si="160"/>
        <v>0</v>
      </c>
      <c r="BE316" s="2942">
        <f t="shared" si="161"/>
        <v>0</v>
      </c>
      <c r="BF316" s="2942">
        <f t="shared" si="162"/>
        <v>0</v>
      </c>
      <c r="BG316" s="2942">
        <f t="shared" si="163"/>
        <v>0</v>
      </c>
      <c r="BH316" s="2942">
        <f t="shared" si="164"/>
        <v>0</v>
      </c>
      <c r="BI316" s="2942">
        <f t="shared" si="165"/>
        <v>0</v>
      </c>
      <c r="BJ316" s="2942">
        <f t="shared" si="166"/>
        <v>0</v>
      </c>
      <c r="BK316" s="2942">
        <f t="shared" si="167"/>
        <v>0</v>
      </c>
      <c r="BL316" s="2942">
        <f t="shared" si="168"/>
        <v>0</v>
      </c>
      <c r="BM316" s="2942">
        <f t="shared" si="169"/>
        <v>0</v>
      </c>
      <c r="BN316" s="2942">
        <f t="shared" si="170"/>
        <v>0</v>
      </c>
      <c r="BO316" s="2942">
        <f t="shared" si="171"/>
        <v>0</v>
      </c>
      <c r="BP316" s="2942">
        <f t="shared" si="172"/>
        <v>0</v>
      </c>
      <c r="BQ316" s="2942">
        <f t="shared" si="173"/>
        <v>0</v>
      </c>
      <c r="BR316" s="2942">
        <f t="shared" si="174"/>
        <v>0</v>
      </c>
      <c r="BS316" s="2942">
        <f t="shared" si="175"/>
        <v>0</v>
      </c>
      <c r="BT316" s="2994">
        <f t="shared" si="176"/>
        <v>0</v>
      </c>
    </row>
    <row r="317" spans="1:72">
      <c r="A317" s="2939"/>
      <c r="B317" s="2940"/>
      <c r="C317" s="2940"/>
      <c r="D317" s="2941"/>
      <c r="E317" s="2942">
        <f t="shared" si="177"/>
        <v>0</v>
      </c>
      <c r="F317" s="2943"/>
      <c r="G317" s="2944">
        <f t="shared" si="152"/>
        <v>0</v>
      </c>
      <c r="H317" s="2945">
        <f t="shared" si="153"/>
        <v>0</v>
      </c>
      <c r="I317" s="2952"/>
      <c r="J317" s="2952"/>
      <c r="K317" s="2952"/>
      <c r="L317" s="2952"/>
      <c r="M317" s="2952"/>
      <c r="N317" s="2952"/>
      <c r="O317" s="2952"/>
      <c r="P317" s="2952"/>
      <c r="Q317" s="2952"/>
      <c r="R317" s="2952"/>
      <c r="S317" s="2952"/>
      <c r="T317" s="2952"/>
      <c r="U317" s="2952"/>
      <c r="V317" s="2952"/>
      <c r="W317" s="2952"/>
      <c r="X317" s="2952"/>
      <c r="Y317" s="2952"/>
      <c r="Z317" s="2952"/>
      <c r="AA317" s="2952"/>
      <c r="AB317" s="2952"/>
      <c r="AC317" s="2942">
        <f t="shared" si="154"/>
        <v>0</v>
      </c>
      <c r="AD317" s="2962"/>
      <c r="AE317" s="2962"/>
      <c r="AF317" s="2962"/>
      <c r="AG317" s="2962"/>
      <c r="AH317" s="2962"/>
      <c r="AI317" s="2962"/>
      <c r="AJ317" s="2962"/>
      <c r="AK317" s="2962"/>
      <c r="AL317" s="2962"/>
      <c r="AM317" s="2962"/>
      <c r="AN317" s="2962"/>
      <c r="AO317" s="2962"/>
      <c r="AP317" s="2962"/>
      <c r="AQ317" s="2962"/>
      <c r="AR317" s="2962"/>
      <c r="AS317" s="2962"/>
      <c r="AT317" s="2972"/>
      <c r="AU317" s="2973"/>
      <c r="AV317" s="1120">
        <f t="shared" si="178"/>
        <v>0</v>
      </c>
      <c r="AW317" s="1120">
        <f t="shared" si="179"/>
        <v>0</v>
      </c>
      <c r="AX317" s="1120">
        <f t="shared" si="180"/>
        <v>0</v>
      </c>
      <c r="AY317" s="2987">
        <f t="shared" si="155"/>
        <v>0</v>
      </c>
      <c r="AZ317" s="2942">
        <f t="shared" si="156"/>
        <v>0</v>
      </c>
      <c r="BA317" s="2942">
        <f t="shared" si="157"/>
        <v>0</v>
      </c>
      <c r="BB317" s="2942">
        <f t="shared" si="158"/>
        <v>0</v>
      </c>
      <c r="BC317" s="2942">
        <f t="shared" si="159"/>
        <v>0</v>
      </c>
      <c r="BD317" s="2942">
        <f t="shared" si="160"/>
        <v>0</v>
      </c>
      <c r="BE317" s="2942">
        <f t="shared" si="161"/>
        <v>0</v>
      </c>
      <c r="BF317" s="2942">
        <f t="shared" si="162"/>
        <v>0</v>
      </c>
      <c r="BG317" s="2942">
        <f t="shared" si="163"/>
        <v>0</v>
      </c>
      <c r="BH317" s="2942">
        <f t="shared" si="164"/>
        <v>0</v>
      </c>
      <c r="BI317" s="2942">
        <f t="shared" si="165"/>
        <v>0</v>
      </c>
      <c r="BJ317" s="2942">
        <f t="shared" si="166"/>
        <v>0</v>
      </c>
      <c r="BK317" s="2942">
        <f t="shared" si="167"/>
        <v>0</v>
      </c>
      <c r="BL317" s="2942">
        <f t="shared" si="168"/>
        <v>0</v>
      </c>
      <c r="BM317" s="2942">
        <f t="shared" si="169"/>
        <v>0</v>
      </c>
      <c r="BN317" s="2942">
        <f t="shared" si="170"/>
        <v>0</v>
      </c>
      <c r="BO317" s="2942">
        <f t="shared" si="171"/>
        <v>0</v>
      </c>
      <c r="BP317" s="2942">
        <f t="shared" si="172"/>
        <v>0</v>
      </c>
      <c r="BQ317" s="2942">
        <f t="shared" si="173"/>
        <v>0</v>
      </c>
      <c r="BR317" s="2942">
        <f t="shared" si="174"/>
        <v>0</v>
      </c>
      <c r="BS317" s="2942">
        <f t="shared" si="175"/>
        <v>0</v>
      </c>
      <c r="BT317" s="2994">
        <f t="shared" si="176"/>
        <v>0</v>
      </c>
    </row>
    <row r="318" spans="1:72">
      <c r="A318" s="2939"/>
      <c r="B318" s="2940"/>
      <c r="C318" s="2940"/>
      <c r="D318" s="2941"/>
      <c r="E318" s="2942">
        <f t="shared" si="177"/>
        <v>0</v>
      </c>
      <c r="F318" s="2943"/>
      <c r="G318" s="2944">
        <f t="shared" si="152"/>
        <v>0</v>
      </c>
      <c r="H318" s="2945">
        <f t="shared" si="153"/>
        <v>0</v>
      </c>
      <c r="I318" s="2952"/>
      <c r="J318" s="2952"/>
      <c r="K318" s="2952"/>
      <c r="L318" s="2952"/>
      <c r="M318" s="2952"/>
      <c r="N318" s="2952"/>
      <c r="O318" s="2952"/>
      <c r="P318" s="2952"/>
      <c r="Q318" s="2952"/>
      <c r="R318" s="2952"/>
      <c r="S318" s="2952"/>
      <c r="T318" s="2952"/>
      <c r="U318" s="2952"/>
      <c r="V318" s="2952"/>
      <c r="W318" s="2952"/>
      <c r="X318" s="2952"/>
      <c r="Y318" s="2952"/>
      <c r="Z318" s="2952"/>
      <c r="AA318" s="2952"/>
      <c r="AB318" s="2952"/>
      <c r="AC318" s="2942">
        <f t="shared" si="154"/>
        <v>0</v>
      </c>
      <c r="AD318" s="2962"/>
      <c r="AE318" s="2962"/>
      <c r="AF318" s="2962"/>
      <c r="AG318" s="2962"/>
      <c r="AH318" s="2962"/>
      <c r="AI318" s="2962"/>
      <c r="AJ318" s="2962"/>
      <c r="AK318" s="2962"/>
      <c r="AL318" s="2962"/>
      <c r="AM318" s="2962"/>
      <c r="AN318" s="2962"/>
      <c r="AO318" s="2962"/>
      <c r="AP318" s="2962"/>
      <c r="AQ318" s="2962"/>
      <c r="AR318" s="2962"/>
      <c r="AS318" s="2962"/>
      <c r="AT318" s="2972"/>
      <c r="AU318" s="2973"/>
      <c r="AV318" s="1120">
        <f t="shared" si="178"/>
        <v>0</v>
      </c>
      <c r="AW318" s="1120">
        <f t="shared" si="179"/>
        <v>0</v>
      </c>
      <c r="AX318" s="1120">
        <f t="shared" si="180"/>
        <v>0</v>
      </c>
      <c r="AY318" s="2987">
        <f t="shared" si="155"/>
        <v>0</v>
      </c>
      <c r="AZ318" s="2942">
        <f t="shared" si="156"/>
        <v>0</v>
      </c>
      <c r="BA318" s="2942">
        <f t="shared" si="157"/>
        <v>0</v>
      </c>
      <c r="BB318" s="2942">
        <f t="shared" si="158"/>
        <v>0</v>
      </c>
      <c r="BC318" s="2942">
        <f t="shared" si="159"/>
        <v>0</v>
      </c>
      <c r="BD318" s="2942">
        <f t="shared" si="160"/>
        <v>0</v>
      </c>
      <c r="BE318" s="2942">
        <f t="shared" si="161"/>
        <v>0</v>
      </c>
      <c r="BF318" s="2942">
        <f t="shared" si="162"/>
        <v>0</v>
      </c>
      <c r="BG318" s="2942">
        <f t="shared" si="163"/>
        <v>0</v>
      </c>
      <c r="BH318" s="2942">
        <f t="shared" si="164"/>
        <v>0</v>
      </c>
      <c r="BI318" s="2942">
        <f t="shared" si="165"/>
        <v>0</v>
      </c>
      <c r="BJ318" s="2942">
        <f t="shared" si="166"/>
        <v>0</v>
      </c>
      <c r="BK318" s="2942">
        <f t="shared" si="167"/>
        <v>0</v>
      </c>
      <c r="BL318" s="2942">
        <f t="shared" si="168"/>
        <v>0</v>
      </c>
      <c r="BM318" s="2942">
        <f t="shared" si="169"/>
        <v>0</v>
      </c>
      <c r="BN318" s="2942">
        <f t="shared" si="170"/>
        <v>0</v>
      </c>
      <c r="BO318" s="2942">
        <f t="shared" si="171"/>
        <v>0</v>
      </c>
      <c r="BP318" s="2942">
        <f t="shared" si="172"/>
        <v>0</v>
      </c>
      <c r="BQ318" s="2942">
        <f t="shared" si="173"/>
        <v>0</v>
      </c>
      <c r="BR318" s="2942">
        <f t="shared" si="174"/>
        <v>0</v>
      </c>
      <c r="BS318" s="2942">
        <f t="shared" si="175"/>
        <v>0</v>
      </c>
      <c r="BT318" s="2994">
        <f t="shared" si="176"/>
        <v>0</v>
      </c>
    </row>
    <row r="319" spans="1:72">
      <c r="A319" s="2939"/>
      <c r="B319" s="2940"/>
      <c r="C319" s="2940"/>
      <c r="D319" s="2941"/>
      <c r="E319" s="2942">
        <f t="shared" si="177"/>
        <v>0</v>
      </c>
      <c r="F319" s="2943"/>
      <c r="G319" s="2944">
        <f t="shared" si="152"/>
        <v>0</v>
      </c>
      <c r="H319" s="2945">
        <f t="shared" si="153"/>
        <v>0</v>
      </c>
      <c r="I319" s="2952"/>
      <c r="J319" s="2952"/>
      <c r="K319" s="2952"/>
      <c r="L319" s="2952"/>
      <c r="M319" s="2952"/>
      <c r="N319" s="2952"/>
      <c r="O319" s="2952"/>
      <c r="P319" s="2952"/>
      <c r="Q319" s="2952"/>
      <c r="R319" s="2952"/>
      <c r="S319" s="2952"/>
      <c r="T319" s="2952"/>
      <c r="U319" s="2952"/>
      <c r="V319" s="2952"/>
      <c r="W319" s="2952"/>
      <c r="X319" s="2952"/>
      <c r="Y319" s="2952"/>
      <c r="Z319" s="2952"/>
      <c r="AA319" s="2952"/>
      <c r="AB319" s="2952"/>
      <c r="AC319" s="2942">
        <f t="shared" si="154"/>
        <v>0</v>
      </c>
      <c r="AD319" s="2962"/>
      <c r="AE319" s="2962"/>
      <c r="AF319" s="2962"/>
      <c r="AG319" s="2962"/>
      <c r="AH319" s="2962"/>
      <c r="AI319" s="2962"/>
      <c r="AJ319" s="2962"/>
      <c r="AK319" s="2962"/>
      <c r="AL319" s="2962"/>
      <c r="AM319" s="2962"/>
      <c r="AN319" s="2962"/>
      <c r="AO319" s="2962"/>
      <c r="AP319" s="2962"/>
      <c r="AQ319" s="2962"/>
      <c r="AR319" s="2962"/>
      <c r="AS319" s="2962"/>
      <c r="AT319" s="2972"/>
      <c r="AU319" s="2973"/>
      <c r="AV319" s="1120">
        <f t="shared" si="178"/>
        <v>0</v>
      </c>
      <c r="AW319" s="1120">
        <f t="shared" si="179"/>
        <v>0</v>
      </c>
      <c r="AX319" s="1120">
        <f t="shared" si="180"/>
        <v>0</v>
      </c>
      <c r="AY319" s="2987">
        <f t="shared" si="155"/>
        <v>0</v>
      </c>
      <c r="AZ319" s="2942">
        <f t="shared" si="156"/>
        <v>0</v>
      </c>
      <c r="BA319" s="2942">
        <f t="shared" si="157"/>
        <v>0</v>
      </c>
      <c r="BB319" s="2942">
        <f t="shared" si="158"/>
        <v>0</v>
      </c>
      <c r="BC319" s="2942">
        <f t="shared" si="159"/>
        <v>0</v>
      </c>
      <c r="BD319" s="2942">
        <f t="shared" si="160"/>
        <v>0</v>
      </c>
      <c r="BE319" s="2942">
        <f t="shared" si="161"/>
        <v>0</v>
      </c>
      <c r="BF319" s="2942">
        <f t="shared" si="162"/>
        <v>0</v>
      </c>
      <c r="BG319" s="2942">
        <f t="shared" si="163"/>
        <v>0</v>
      </c>
      <c r="BH319" s="2942">
        <f t="shared" si="164"/>
        <v>0</v>
      </c>
      <c r="BI319" s="2942">
        <f t="shared" si="165"/>
        <v>0</v>
      </c>
      <c r="BJ319" s="2942">
        <f t="shared" si="166"/>
        <v>0</v>
      </c>
      <c r="BK319" s="2942">
        <f t="shared" si="167"/>
        <v>0</v>
      </c>
      <c r="BL319" s="2942">
        <f t="shared" si="168"/>
        <v>0</v>
      </c>
      <c r="BM319" s="2942">
        <f t="shared" si="169"/>
        <v>0</v>
      </c>
      <c r="BN319" s="2942">
        <f t="shared" si="170"/>
        <v>0</v>
      </c>
      <c r="BO319" s="2942">
        <f t="shared" si="171"/>
        <v>0</v>
      </c>
      <c r="BP319" s="2942">
        <f t="shared" si="172"/>
        <v>0</v>
      </c>
      <c r="BQ319" s="2942">
        <f t="shared" si="173"/>
        <v>0</v>
      </c>
      <c r="BR319" s="2942">
        <f t="shared" si="174"/>
        <v>0</v>
      </c>
      <c r="BS319" s="2942">
        <f t="shared" si="175"/>
        <v>0</v>
      </c>
      <c r="BT319" s="2994">
        <f t="shared" si="176"/>
        <v>0</v>
      </c>
    </row>
    <row r="320" spans="1:72">
      <c r="A320" s="2939"/>
      <c r="B320" s="2940"/>
      <c r="C320" s="2940"/>
      <c r="D320" s="2941"/>
      <c r="E320" s="2942">
        <f t="shared" si="177"/>
        <v>0</v>
      </c>
      <c r="F320" s="2943"/>
      <c r="G320" s="2944">
        <f t="shared" si="152"/>
        <v>0</v>
      </c>
      <c r="H320" s="2945">
        <f t="shared" si="153"/>
        <v>0</v>
      </c>
      <c r="I320" s="2952"/>
      <c r="J320" s="2952"/>
      <c r="K320" s="2952"/>
      <c r="L320" s="2952"/>
      <c r="M320" s="2952"/>
      <c r="N320" s="2952"/>
      <c r="O320" s="2952"/>
      <c r="P320" s="2952"/>
      <c r="Q320" s="2952"/>
      <c r="R320" s="2952"/>
      <c r="S320" s="2952"/>
      <c r="T320" s="2952"/>
      <c r="U320" s="2952"/>
      <c r="V320" s="2952"/>
      <c r="W320" s="2952"/>
      <c r="X320" s="2952"/>
      <c r="Y320" s="2952"/>
      <c r="Z320" s="2952"/>
      <c r="AA320" s="2952"/>
      <c r="AB320" s="2952"/>
      <c r="AC320" s="2942">
        <f t="shared" si="154"/>
        <v>0</v>
      </c>
      <c r="AD320" s="2962"/>
      <c r="AE320" s="2962"/>
      <c r="AF320" s="2962"/>
      <c r="AG320" s="2962"/>
      <c r="AH320" s="2962"/>
      <c r="AI320" s="2962"/>
      <c r="AJ320" s="2962"/>
      <c r="AK320" s="2962"/>
      <c r="AL320" s="2962"/>
      <c r="AM320" s="2962"/>
      <c r="AN320" s="2962"/>
      <c r="AO320" s="2962"/>
      <c r="AP320" s="2962"/>
      <c r="AQ320" s="2962"/>
      <c r="AR320" s="2962"/>
      <c r="AS320" s="2962"/>
      <c r="AT320" s="2972"/>
      <c r="AU320" s="2973"/>
      <c r="AV320" s="1120">
        <f t="shared" si="178"/>
        <v>0</v>
      </c>
      <c r="AW320" s="1120">
        <f t="shared" si="179"/>
        <v>0</v>
      </c>
      <c r="AX320" s="1120">
        <f t="shared" si="180"/>
        <v>0</v>
      </c>
      <c r="AY320" s="2987">
        <f t="shared" si="155"/>
        <v>0</v>
      </c>
      <c r="AZ320" s="2942">
        <f t="shared" si="156"/>
        <v>0</v>
      </c>
      <c r="BA320" s="2942">
        <f t="shared" si="157"/>
        <v>0</v>
      </c>
      <c r="BB320" s="2942">
        <f t="shared" si="158"/>
        <v>0</v>
      </c>
      <c r="BC320" s="2942">
        <f t="shared" si="159"/>
        <v>0</v>
      </c>
      <c r="BD320" s="2942">
        <f t="shared" si="160"/>
        <v>0</v>
      </c>
      <c r="BE320" s="2942">
        <f t="shared" si="161"/>
        <v>0</v>
      </c>
      <c r="BF320" s="2942">
        <f t="shared" si="162"/>
        <v>0</v>
      </c>
      <c r="BG320" s="2942">
        <f t="shared" si="163"/>
        <v>0</v>
      </c>
      <c r="BH320" s="2942">
        <f t="shared" si="164"/>
        <v>0</v>
      </c>
      <c r="BI320" s="2942">
        <f t="shared" si="165"/>
        <v>0</v>
      </c>
      <c r="BJ320" s="2942">
        <f t="shared" si="166"/>
        <v>0</v>
      </c>
      <c r="BK320" s="2942">
        <f t="shared" si="167"/>
        <v>0</v>
      </c>
      <c r="BL320" s="2942">
        <f t="shared" si="168"/>
        <v>0</v>
      </c>
      <c r="BM320" s="2942">
        <f t="shared" si="169"/>
        <v>0</v>
      </c>
      <c r="BN320" s="2942">
        <f t="shared" si="170"/>
        <v>0</v>
      </c>
      <c r="BO320" s="2942">
        <f t="shared" si="171"/>
        <v>0</v>
      </c>
      <c r="BP320" s="2942">
        <f t="shared" si="172"/>
        <v>0</v>
      </c>
      <c r="BQ320" s="2942">
        <f t="shared" si="173"/>
        <v>0</v>
      </c>
      <c r="BR320" s="2942">
        <f t="shared" si="174"/>
        <v>0</v>
      </c>
      <c r="BS320" s="2942">
        <f t="shared" si="175"/>
        <v>0</v>
      </c>
      <c r="BT320" s="2994">
        <f t="shared" si="176"/>
        <v>0</v>
      </c>
    </row>
    <row r="321" spans="1:72">
      <c r="A321" s="2939"/>
      <c r="B321" s="2940"/>
      <c r="C321" s="2940"/>
      <c r="D321" s="2941"/>
      <c r="E321" s="2942">
        <f t="shared" si="177"/>
        <v>0</v>
      </c>
      <c r="F321" s="2943"/>
      <c r="G321" s="2944">
        <f t="shared" si="152"/>
        <v>0</v>
      </c>
      <c r="H321" s="2945">
        <f t="shared" si="153"/>
        <v>0</v>
      </c>
      <c r="I321" s="2952"/>
      <c r="J321" s="2952"/>
      <c r="K321" s="2952"/>
      <c r="L321" s="2952"/>
      <c r="M321" s="2952"/>
      <c r="N321" s="2952"/>
      <c r="O321" s="2952"/>
      <c r="P321" s="2952"/>
      <c r="Q321" s="2952"/>
      <c r="R321" s="2952"/>
      <c r="S321" s="2952"/>
      <c r="T321" s="2952"/>
      <c r="U321" s="2952"/>
      <c r="V321" s="2952"/>
      <c r="W321" s="2952"/>
      <c r="X321" s="2952"/>
      <c r="Y321" s="2952"/>
      <c r="Z321" s="2952"/>
      <c r="AA321" s="2952"/>
      <c r="AB321" s="2952"/>
      <c r="AC321" s="2942">
        <f t="shared" si="154"/>
        <v>0</v>
      </c>
      <c r="AD321" s="2962"/>
      <c r="AE321" s="2962"/>
      <c r="AF321" s="2962"/>
      <c r="AG321" s="2962"/>
      <c r="AH321" s="2962"/>
      <c r="AI321" s="2962"/>
      <c r="AJ321" s="2962"/>
      <c r="AK321" s="2962"/>
      <c r="AL321" s="2962"/>
      <c r="AM321" s="2962"/>
      <c r="AN321" s="2962"/>
      <c r="AO321" s="2962"/>
      <c r="AP321" s="2962"/>
      <c r="AQ321" s="2962"/>
      <c r="AR321" s="2962"/>
      <c r="AS321" s="2962"/>
      <c r="AT321" s="2972"/>
      <c r="AU321" s="2973"/>
      <c r="AV321" s="1120">
        <f t="shared" si="178"/>
        <v>0</v>
      </c>
      <c r="AW321" s="1120">
        <f t="shared" si="179"/>
        <v>0</v>
      </c>
      <c r="AX321" s="1120">
        <f t="shared" si="180"/>
        <v>0</v>
      </c>
      <c r="AY321" s="2987">
        <f t="shared" si="155"/>
        <v>0</v>
      </c>
      <c r="AZ321" s="2942">
        <f t="shared" si="156"/>
        <v>0</v>
      </c>
      <c r="BA321" s="2942">
        <f t="shared" si="157"/>
        <v>0</v>
      </c>
      <c r="BB321" s="2942">
        <f t="shared" si="158"/>
        <v>0</v>
      </c>
      <c r="BC321" s="2942">
        <f t="shared" si="159"/>
        <v>0</v>
      </c>
      <c r="BD321" s="2942">
        <f t="shared" si="160"/>
        <v>0</v>
      </c>
      <c r="BE321" s="2942">
        <f t="shared" si="161"/>
        <v>0</v>
      </c>
      <c r="BF321" s="2942">
        <f t="shared" si="162"/>
        <v>0</v>
      </c>
      <c r="BG321" s="2942">
        <f t="shared" si="163"/>
        <v>0</v>
      </c>
      <c r="BH321" s="2942">
        <f t="shared" si="164"/>
        <v>0</v>
      </c>
      <c r="BI321" s="2942">
        <f t="shared" si="165"/>
        <v>0</v>
      </c>
      <c r="BJ321" s="2942">
        <f t="shared" si="166"/>
        <v>0</v>
      </c>
      <c r="BK321" s="2942">
        <f t="shared" si="167"/>
        <v>0</v>
      </c>
      <c r="BL321" s="2942">
        <f t="shared" si="168"/>
        <v>0</v>
      </c>
      <c r="BM321" s="2942">
        <f t="shared" si="169"/>
        <v>0</v>
      </c>
      <c r="BN321" s="2942">
        <f t="shared" si="170"/>
        <v>0</v>
      </c>
      <c r="BO321" s="2942">
        <f t="shared" si="171"/>
        <v>0</v>
      </c>
      <c r="BP321" s="2942">
        <f t="shared" si="172"/>
        <v>0</v>
      </c>
      <c r="BQ321" s="2942">
        <f t="shared" si="173"/>
        <v>0</v>
      </c>
      <c r="BR321" s="2942">
        <f t="shared" si="174"/>
        <v>0</v>
      </c>
      <c r="BS321" s="2942">
        <f t="shared" si="175"/>
        <v>0</v>
      </c>
      <c r="BT321" s="2994">
        <f t="shared" si="176"/>
        <v>0</v>
      </c>
    </row>
    <row r="322" spans="1:72">
      <c r="A322" s="2939"/>
      <c r="B322" s="2940"/>
      <c r="C322" s="2940"/>
      <c r="D322" s="2941"/>
      <c r="E322" s="2942">
        <f t="shared" si="177"/>
        <v>0</v>
      </c>
      <c r="F322" s="2943"/>
      <c r="G322" s="2944">
        <f t="shared" si="152"/>
        <v>0</v>
      </c>
      <c r="H322" s="2945">
        <f t="shared" si="153"/>
        <v>0</v>
      </c>
      <c r="I322" s="2952"/>
      <c r="J322" s="2952"/>
      <c r="K322" s="2952"/>
      <c r="L322" s="2952"/>
      <c r="M322" s="2952"/>
      <c r="N322" s="2952"/>
      <c r="O322" s="2952"/>
      <c r="P322" s="2952"/>
      <c r="Q322" s="2952"/>
      <c r="R322" s="2952"/>
      <c r="S322" s="2952"/>
      <c r="T322" s="2952"/>
      <c r="U322" s="2952"/>
      <c r="V322" s="2952"/>
      <c r="W322" s="2952"/>
      <c r="X322" s="2952"/>
      <c r="Y322" s="2952"/>
      <c r="Z322" s="2952"/>
      <c r="AA322" s="2952"/>
      <c r="AB322" s="2952"/>
      <c r="AC322" s="2942">
        <f t="shared" si="154"/>
        <v>0</v>
      </c>
      <c r="AD322" s="2962"/>
      <c r="AE322" s="2962"/>
      <c r="AF322" s="2962"/>
      <c r="AG322" s="2962"/>
      <c r="AH322" s="2962"/>
      <c r="AI322" s="2962"/>
      <c r="AJ322" s="2962"/>
      <c r="AK322" s="2962"/>
      <c r="AL322" s="2962"/>
      <c r="AM322" s="2962"/>
      <c r="AN322" s="2962"/>
      <c r="AO322" s="2962"/>
      <c r="AP322" s="2962"/>
      <c r="AQ322" s="2962"/>
      <c r="AR322" s="2962"/>
      <c r="AS322" s="2962"/>
      <c r="AT322" s="2972"/>
      <c r="AU322" s="2973"/>
      <c r="AV322" s="1120">
        <f t="shared" si="178"/>
        <v>0</v>
      </c>
      <c r="AW322" s="1120">
        <f t="shared" si="179"/>
        <v>0</v>
      </c>
      <c r="AX322" s="1120">
        <f t="shared" si="180"/>
        <v>0</v>
      </c>
      <c r="AY322" s="2987">
        <f t="shared" si="155"/>
        <v>0</v>
      </c>
      <c r="AZ322" s="2942">
        <f t="shared" si="156"/>
        <v>0</v>
      </c>
      <c r="BA322" s="2942">
        <f t="shared" si="157"/>
        <v>0</v>
      </c>
      <c r="BB322" s="2942">
        <f t="shared" si="158"/>
        <v>0</v>
      </c>
      <c r="BC322" s="2942">
        <f t="shared" si="159"/>
        <v>0</v>
      </c>
      <c r="BD322" s="2942">
        <f t="shared" si="160"/>
        <v>0</v>
      </c>
      <c r="BE322" s="2942">
        <f t="shared" si="161"/>
        <v>0</v>
      </c>
      <c r="BF322" s="2942">
        <f t="shared" si="162"/>
        <v>0</v>
      </c>
      <c r="BG322" s="2942">
        <f t="shared" si="163"/>
        <v>0</v>
      </c>
      <c r="BH322" s="2942">
        <f t="shared" si="164"/>
        <v>0</v>
      </c>
      <c r="BI322" s="2942">
        <f t="shared" si="165"/>
        <v>0</v>
      </c>
      <c r="BJ322" s="2942">
        <f t="shared" si="166"/>
        <v>0</v>
      </c>
      <c r="BK322" s="2942">
        <f t="shared" si="167"/>
        <v>0</v>
      </c>
      <c r="BL322" s="2942">
        <f t="shared" si="168"/>
        <v>0</v>
      </c>
      <c r="BM322" s="2942">
        <f t="shared" si="169"/>
        <v>0</v>
      </c>
      <c r="BN322" s="2942">
        <f t="shared" si="170"/>
        <v>0</v>
      </c>
      <c r="BO322" s="2942">
        <f t="shared" si="171"/>
        <v>0</v>
      </c>
      <c r="BP322" s="2942">
        <f t="shared" si="172"/>
        <v>0</v>
      </c>
      <c r="BQ322" s="2942">
        <f t="shared" si="173"/>
        <v>0</v>
      </c>
      <c r="BR322" s="2942">
        <f t="shared" si="174"/>
        <v>0</v>
      </c>
      <c r="BS322" s="2942">
        <f t="shared" si="175"/>
        <v>0</v>
      </c>
      <c r="BT322" s="2994">
        <f t="shared" si="176"/>
        <v>0</v>
      </c>
    </row>
    <row r="323" spans="1:72">
      <c r="A323" s="2939"/>
      <c r="B323" s="2940"/>
      <c r="C323" s="2940"/>
      <c r="D323" s="2941"/>
      <c r="E323" s="2942">
        <f t="shared" si="177"/>
        <v>0</v>
      </c>
      <c r="F323" s="2943"/>
      <c r="G323" s="2944">
        <f t="shared" si="152"/>
        <v>0</v>
      </c>
      <c r="H323" s="2945">
        <f t="shared" si="153"/>
        <v>0</v>
      </c>
      <c r="I323" s="2952"/>
      <c r="J323" s="2952"/>
      <c r="K323" s="2952"/>
      <c r="L323" s="2952"/>
      <c r="M323" s="2952"/>
      <c r="N323" s="2952"/>
      <c r="O323" s="2952"/>
      <c r="P323" s="2952"/>
      <c r="Q323" s="2952"/>
      <c r="R323" s="2952"/>
      <c r="S323" s="2952"/>
      <c r="T323" s="2952"/>
      <c r="U323" s="2952"/>
      <c r="V323" s="2952"/>
      <c r="W323" s="2952"/>
      <c r="X323" s="2952"/>
      <c r="Y323" s="2952"/>
      <c r="Z323" s="2952"/>
      <c r="AA323" s="2952"/>
      <c r="AB323" s="2952"/>
      <c r="AC323" s="2942">
        <f t="shared" si="154"/>
        <v>0</v>
      </c>
      <c r="AD323" s="2962"/>
      <c r="AE323" s="2962"/>
      <c r="AF323" s="2962"/>
      <c r="AG323" s="2962"/>
      <c r="AH323" s="2962"/>
      <c r="AI323" s="2962"/>
      <c r="AJ323" s="2962"/>
      <c r="AK323" s="2962"/>
      <c r="AL323" s="2962"/>
      <c r="AM323" s="2962"/>
      <c r="AN323" s="2962"/>
      <c r="AO323" s="2962"/>
      <c r="AP323" s="2962"/>
      <c r="AQ323" s="2962"/>
      <c r="AR323" s="2962"/>
      <c r="AS323" s="2962"/>
      <c r="AT323" s="2972"/>
      <c r="AU323" s="2973"/>
      <c r="AV323" s="1120">
        <f t="shared" si="178"/>
        <v>0</v>
      </c>
      <c r="AW323" s="1120">
        <f t="shared" si="179"/>
        <v>0</v>
      </c>
      <c r="AX323" s="1120">
        <f t="shared" si="180"/>
        <v>0</v>
      </c>
      <c r="AY323" s="2987">
        <f t="shared" si="155"/>
        <v>0</v>
      </c>
      <c r="AZ323" s="2942">
        <f t="shared" si="156"/>
        <v>0</v>
      </c>
      <c r="BA323" s="2942">
        <f t="shared" si="157"/>
        <v>0</v>
      </c>
      <c r="BB323" s="2942">
        <f t="shared" si="158"/>
        <v>0</v>
      </c>
      <c r="BC323" s="2942">
        <f t="shared" si="159"/>
        <v>0</v>
      </c>
      <c r="BD323" s="2942">
        <f t="shared" si="160"/>
        <v>0</v>
      </c>
      <c r="BE323" s="2942">
        <f t="shared" si="161"/>
        <v>0</v>
      </c>
      <c r="BF323" s="2942">
        <f t="shared" si="162"/>
        <v>0</v>
      </c>
      <c r="BG323" s="2942">
        <f t="shared" si="163"/>
        <v>0</v>
      </c>
      <c r="BH323" s="2942">
        <f t="shared" si="164"/>
        <v>0</v>
      </c>
      <c r="BI323" s="2942">
        <f t="shared" si="165"/>
        <v>0</v>
      </c>
      <c r="BJ323" s="2942">
        <f t="shared" si="166"/>
        <v>0</v>
      </c>
      <c r="BK323" s="2942">
        <f t="shared" si="167"/>
        <v>0</v>
      </c>
      <c r="BL323" s="2942">
        <f t="shared" si="168"/>
        <v>0</v>
      </c>
      <c r="BM323" s="2942">
        <f t="shared" si="169"/>
        <v>0</v>
      </c>
      <c r="BN323" s="2942">
        <f t="shared" si="170"/>
        <v>0</v>
      </c>
      <c r="BO323" s="2942">
        <f t="shared" si="171"/>
        <v>0</v>
      </c>
      <c r="BP323" s="2942">
        <f t="shared" si="172"/>
        <v>0</v>
      </c>
      <c r="BQ323" s="2942">
        <f t="shared" si="173"/>
        <v>0</v>
      </c>
      <c r="BR323" s="2942">
        <f t="shared" si="174"/>
        <v>0</v>
      </c>
      <c r="BS323" s="2942">
        <f t="shared" si="175"/>
        <v>0</v>
      </c>
      <c r="BT323" s="2994">
        <f t="shared" si="176"/>
        <v>0</v>
      </c>
    </row>
    <row r="324" spans="1:72">
      <c r="A324" s="2939"/>
      <c r="B324" s="2940"/>
      <c r="C324" s="2940"/>
      <c r="D324" s="2941"/>
      <c r="E324" s="2942">
        <f t="shared" si="177"/>
        <v>0</v>
      </c>
      <c r="F324" s="2943"/>
      <c r="G324" s="2944">
        <f t="shared" si="152"/>
        <v>0</v>
      </c>
      <c r="H324" s="2945">
        <f t="shared" si="153"/>
        <v>0</v>
      </c>
      <c r="I324" s="2952"/>
      <c r="J324" s="2952"/>
      <c r="K324" s="2952"/>
      <c r="L324" s="2952"/>
      <c r="M324" s="2952"/>
      <c r="N324" s="2952"/>
      <c r="O324" s="2952"/>
      <c r="P324" s="2952"/>
      <c r="Q324" s="2952"/>
      <c r="R324" s="2952"/>
      <c r="S324" s="2952"/>
      <c r="T324" s="2952"/>
      <c r="U324" s="2952"/>
      <c r="V324" s="2952"/>
      <c r="W324" s="2952"/>
      <c r="X324" s="2952"/>
      <c r="Y324" s="2952"/>
      <c r="Z324" s="2952"/>
      <c r="AA324" s="2952"/>
      <c r="AB324" s="2952"/>
      <c r="AC324" s="2942">
        <f t="shared" si="154"/>
        <v>0</v>
      </c>
      <c r="AD324" s="2962"/>
      <c r="AE324" s="2962"/>
      <c r="AF324" s="2962"/>
      <c r="AG324" s="2962"/>
      <c r="AH324" s="2962"/>
      <c r="AI324" s="2962"/>
      <c r="AJ324" s="2962"/>
      <c r="AK324" s="2962"/>
      <c r="AL324" s="2962"/>
      <c r="AM324" s="2962"/>
      <c r="AN324" s="2962"/>
      <c r="AO324" s="2962"/>
      <c r="AP324" s="2962"/>
      <c r="AQ324" s="2962"/>
      <c r="AR324" s="2962"/>
      <c r="AS324" s="2962"/>
      <c r="AT324" s="2972"/>
      <c r="AU324" s="2973"/>
      <c r="AV324" s="1120">
        <f t="shared" si="178"/>
        <v>0</v>
      </c>
      <c r="AW324" s="1120">
        <f t="shared" si="179"/>
        <v>0</v>
      </c>
      <c r="AX324" s="1120">
        <f t="shared" si="180"/>
        <v>0</v>
      </c>
      <c r="AY324" s="2987">
        <f t="shared" si="155"/>
        <v>0</v>
      </c>
      <c r="AZ324" s="2942">
        <f t="shared" si="156"/>
        <v>0</v>
      </c>
      <c r="BA324" s="2942">
        <f t="shared" si="157"/>
        <v>0</v>
      </c>
      <c r="BB324" s="2942">
        <f t="shared" si="158"/>
        <v>0</v>
      </c>
      <c r="BC324" s="2942">
        <f t="shared" si="159"/>
        <v>0</v>
      </c>
      <c r="BD324" s="2942">
        <f t="shared" si="160"/>
        <v>0</v>
      </c>
      <c r="BE324" s="2942">
        <f t="shared" si="161"/>
        <v>0</v>
      </c>
      <c r="BF324" s="2942">
        <f t="shared" si="162"/>
        <v>0</v>
      </c>
      <c r="BG324" s="2942">
        <f t="shared" si="163"/>
        <v>0</v>
      </c>
      <c r="BH324" s="2942">
        <f t="shared" si="164"/>
        <v>0</v>
      </c>
      <c r="BI324" s="2942">
        <f t="shared" si="165"/>
        <v>0</v>
      </c>
      <c r="BJ324" s="2942">
        <f t="shared" si="166"/>
        <v>0</v>
      </c>
      <c r="BK324" s="2942">
        <f t="shared" si="167"/>
        <v>0</v>
      </c>
      <c r="BL324" s="2942">
        <f t="shared" si="168"/>
        <v>0</v>
      </c>
      <c r="BM324" s="2942">
        <f t="shared" si="169"/>
        <v>0</v>
      </c>
      <c r="BN324" s="2942">
        <f t="shared" si="170"/>
        <v>0</v>
      </c>
      <c r="BO324" s="2942">
        <f t="shared" si="171"/>
        <v>0</v>
      </c>
      <c r="BP324" s="2942">
        <f t="shared" si="172"/>
        <v>0</v>
      </c>
      <c r="BQ324" s="2942">
        <f t="shared" si="173"/>
        <v>0</v>
      </c>
      <c r="BR324" s="2942">
        <f t="shared" si="174"/>
        <v>0</v>
      </c>
      <c r="BS324" s="2942">
        <f t="shared" si="175"/>
        <v>0</v>
      </c>
      <c r="BT324" s="2994">
        <f t="shared" si="176"/>
        <v>0</v>
      </c>
    </row>
    <row r="325" spans="1:72">
      <c r="A325" s="2939"/>
      <c r="B325" s="2940"/>
      <c r="C325" s="2940"/>
      <c r="D325" s="2941"/>
      <c r="E325" s="2942">
        <f t="shared" si="177"/>
        <v>0</v>
      </c>
      <c r="F325" s="2943"/>
      <c r="G325" s="2944">
        <f t="shared" si="152"/>
        <v>0</v>
      </c>
      <c r="H325" s="2945">
        <f t="shared" si="153"/>
        <v>0</v>
      </c>
      <c r="I325" s="2952"/>
      <c r="J325" s="2952"/>
      <c r="K325" s="2952"/>
      <c r="L325" s="2952"/>
      <c r="M325" s="2952"/>
      <c r="N325" s="2952"/>
      <c r="O325" s="2952"/>
      <c r="P325" s="2952"/>
      <c r="Q325" s="2952"/>
      <c r="R325" s="2952"/>
      <c r="S325" s="2952"/>
      <c r="T325" s="2952"/>
      <c r="U325" s="2952"/>
      <c r="V325" s="2952"/>
      <c r="W325" s="2952"/>
      <c r="X325" s="2952"/>
      <c r="Y325" s="2952"/>
      <c r="Z325" s="2952"/>
      <c r="AA325" s="2952"/>
      <c r="AB325" s="2952"/>
      <c r="AC325" s="2942">
        <f t="shared" si="154"/>
        <v>0</v>
      </c>
      <c r="AD325" s="2962"/>
      <c r="AE325" s="2962"/>
      <c r="AF325" s="2962"/>
      <c r="AG325" s="2962"/>
      <c r="AH325" s="2962"/>
      <c r="AI325" s="2962"/>
      <c r="AJ325" s="2962"/>
      <c r="AK325" s="2962"/>
      <c r="AL325" s="2962"/>
      <c r="AM325" s="2962"/>
      <c r="AN325" s="2962"/>
      <c r="AO325" s="2962"/>
      <c r="AP325" s="2962"/>
      <c r="AQ325" s="2962"/>
      <c r="AR325" s="2962"/>
      <c r="AS325" s="2962"/>
      <c r="AT325" s="2972"/>
      <c r="AU325" s="2973"/>
      <c r="AV325" s="1120">
        <f t="shared" si="178"/>
        <v>0</v>
      </c>
      <c r="AW325" s="1120">
        <f t="shared" si="179"/>
        <v>0</v>
      </c>
      <c r="AX325" s="1120">
        <f t="shared" si="180"/>
        <v>0</v>
      </c>
      <c r="AY325" s="2987">
        <f t="shared" si="155"/>
        <v>0</v>
      </c>
      <c r="AZ325" s="2942">
        <f t="shared" si="156"/>
        <v>0</v>
      </c>
      <c r="BA325" s="2942">
        <f t="shared" si="157"/>
        <v>0</v>
      </c>
      <c r="BB325" s="2942">
        <f t="shared" si="158"/>
        <v>0</v>
      </c>
      <c r="BC325" s="2942">
        <f t="shared" si="159"/>
        <v>0</v>
      </c>
      <c r="BD325" s="2942">
        <f t="shared" si="160"/>
        <v>0</v>
      </c>
      <c r="BE325" s="2942">
        <f t="shared" si="161"/>
        <v>0</v>
      </c>
      <c r="BF325" s="2942">
        <f t="shared" si="162"/>
        <v>0</v>
      </c>
      <c r="BG325" s="2942">
        <f t="shared" si="163"/>
        <v>0</v>
      </c>
      <c r="BH325" s="2942">
        <f t="shared" si="164"/>
        <v>0</v>
      </c>
      <c r="BI325" s="2942">
        <f t="shared" si="165"/>
        <v>0</v>
      </c>
      <c r="BJ325" s="2942">
        <f t="shared" si="166"/>
        <v>0</v>
      </c>
      <c r="BK325" s="2942">
        <f t="shared" si="167"/>
        <v>0</v>
      </c>
      <c r="BL325" s="2942">
        <f t="shared" si="168"/>
        <v>0</v>
      </c>
      <c r="BM325" s="2942">
        <f t="shared" si="169"/>
        <v>0</v>
      </c>
      <c r="BN325" s="2942">
        <f t="shared" si="170"/>
        <v>0</v>
      </c>
      <c r="BO325" s="2942">
        <f t="shared" si="171"/>
        <v>0</v>
      </c>
      <c r="BP325" s="2942">
        <f t="shared" si="172"/>
        <v>0</v>
      </c>
      <c r="BQ325" s="2942">
        <f t="shared" si="173"/>
        <v>0</v>
      </c>
      <c r="BR325" s="2942">
        <f t="shared" si="174"/>
        <v>0</v>
      </c>
      <c r="BS325" s="2942">
        <f t="shared" si="175"/>
        <v>0</v>
      </c>
      <c r="BT325" s="2994">
        <f t="shared" si="176"/>
        <v>0</v>
      </c>
    </row>
    <row r="326" spans="1:72">
      <c r="A326" s="2939"/>
      <c r="B326" s="2940"/>
      <c r="C326" s="2940"/>
      <c r="D326" s="2941"/>
      <c r="E326" s="2942">
        <f t="shared" si="177"/>
        <v>0</v>
      </c>
      <c r="F326" s="2943"/>
      <c r="G326" s="2944">
        <f t="shared" si="152"/>
        <v>0</v>
      </c>
      <c r="H326" s="2945">
        <f t="shared" si="153"/>
        <v>0</v>
      </c>
      <c r="I326" s="2952"/>
      <c r="J326" s="2952"/>
      <c r="K326" s="2952"/>
      <c r="L326" s="2952"/>
      <c r="M326" s="2952"/>
      <c r="N326" s="2952"/>
      <c r="O326" s="2952"/>
      <c r="P326" s="2952"/>
      <c r="Q326" s="2952"/>
      <c r="R326" s="2952"/>
      <c r="S326" s="2952"/>
      <c r="T326" s="2952"/>
      <c r="U326" s="2952"/>
      <c r="V326" s="2952"/>
      <c r="W326" s="2952"/>
      <c r="X326" s="2952"/>
      <c r="Y326" s="2952"/>
      <c r="Z326" s="2952"/>
      <c r="AA326" s="2952"/>
      <c r="AB326" s="2952"/>
      <c r="AC326" s="2942">
        <f t="shared" si="154"/>
        <v>0</v>
      </c>
      <c r="AD326" s="2962"/>
      <c r="AE326" s="2962"/>
      <c r="AF326" s="2962"/>
      <c r="AG326" s="2962"/>
      <c r="AH326" s="2962"/>
      <c r="AI326" s="2962"/>
      <c r="AJ326" s="2962"/>
      <c r="AK326" s="2962"/>
      <c r="AL326" s="2962"/>
      <c r="AM326" s="2962"/>
      <c r="AN326" s="2962"/>
      <c r="AO326" s="2962"/>
      <c r="AP326" s="2962"/>
      <c r="AQ326" s="2962"/>
      <c r="AR326" s="2962"/>
      <c r="AS326" s="2962"/>
      <c r="AT326" s="2972"/>
      <c r="AU326" s="2973"/>
      <c r="AV326" s="1120">
        <f t="shared" si="178"/>
        <v>0</v>
      </c>
      <c r="AW326" s="1120">
        <f t="shared" si="179"/>
        <v>0</v>
      </c>
      <c r="AX326" s="1120">
        <f t="shared" si="180"/>
        <v>0</v>
      </c>
      <c r="AY326" s="2987">
        <f t="shared" si="155"/>
        <v>0</v>
      </c>
      <c r="AZ326" s="2942">
        <f t="shared" si="156"/>
        <v>0</v>
      </c>
      <c r="BA326" s="2942">
        <f t="shared" si="157"/>
        <v>0</v>
      </c>
      <c r="BB326" s="2942">
        <f t="shared" si="158"/>
        <v>0</v>
      </c>
      <c r="BC326" s="2942">
        <f t="shared" si="159"/>
        <v>0</v>
      </c>
      <c r="BD326" s="2942">
        <f t="shared" si="160"/>
        <v>0</v>
      </c>
      <c r="BE326" s="2942">
        <f t="shared" si="161"/>
        <v>0</v>
      </c>
      <c r="BF326" s="2942">
        <f t="shared" si="162"/>
        <v>0</v>
      </c>
      <c r="BG326" s="2942">
        <f t="shared" si="163"/>
        <v>0</v>
      </c>
      <c r="BH326" s="2942">
        <f t="shared" si="164"/>
        <v>0</v>
      </c>
      <c r="BI326" s="2942">
        <f t="shared" si="165"/>
        <v>0</v>
      </c>
      <c r="BJ326" s="2942">
        <f t="shared" si="166"/>
        <v>0</v>
      </c>
      <c r="BK326" s="2942">
        <f t="shared" si="167"/>
        <v>0</v>
      </c>
      <c r="BL326" s="2942">
        <f t="shared" si="168"/>
        <v>0</v>
      </c>
      <c r="BM326" s="2942">
        <f t="shared" si="169"/>
        <v>0</v>
      </c>
      <c r="BN326" s="2942">
        <f t="shared" si="170"/>
        <v>0</v>
      </c>
      <c r="BO326" s="2942">
        <f t="shared" si="171"/>
        <v>0</v>
      </c>
      <c r="BP326" s="2942">
        <f t="shared" si="172"/>
        <v>0</v>
      </c>
      <c r="BQ326" s="2942">
        <f t="shared" si="173"/>
        <v>0</v>
      </c>
      <c r="BR326" s="2942">
        <f t="shared" si="174"/>
        <v>0</v>
      </c>
      <c r="BS326" s="2942">
        <f t="shared" si="175"/>
        <v>0</v>
      </c>
      <c r="BT326" s="2994">
        <f t="shared" si="176"/>
        <v>0</v>
      </c>
    </row>
    <row r="327" spans="1:72">
      <c r="A327" s="2939"/>
      <c r="B327" s="2940"/>
      <c r="C327" s="2940"/>
      <c r="D327" s="2941"/>
      <c r="E327" s="2942">
        <f t="shared" si="177"/>
        <v>0</v>
      </c>
      <c r="F327" s="2943"/>
      <c r="G327" s="2944">
        <f t="shared" si="152"/>
        <v>0</v>
      </c>
      <c r="H327" s="2945">
        <f t="shared" si="153"/>
        <v>0</v>
      </c>
      <c r="I327" s="2952"/>
      <c r="J327" s="2952"/>
      <c r="K327" s="2952"/>
      <c r="L327" s="2952"/>
      <c r="M327" s="2952"/>
      <c r="N327" s="2952"/>
      <c r="O327" s="2952"/>
      <c r="P327" s="2952"/>
      <c r="Q327" s="2952"/>
      <c r="R327" s="2952"/>
      <c r="S327" s="2952"/>
      <c r="T327" s="2952"/>
      <c r="U327" s="2952"/>
      <c r="V327" s="2952"/>
      <c r="W327" s="2952"/>
      <c r="X327" s="2952"/>
      <c r="Y327" s="2952"/>
      <c r="Z327" s="2952"/>
      <c r="AA327" s="2952"/>
      <c r="AB327" s="2952"/>
      <c r="AC327" s="2942">
        <f t="shared" si="154"/>
        <v>0</v>
      </c>
      <c r="AD327" s="2962"/>
      <c r="AE327" s="2962"/>
      <c r="AF327" s="2962"/>
      <c r="AG327" s="2962"/>
      <c r="AH327" s="2962"/>
      <c r="AI327" s="2962"/>
      <c r="AJ327" s="2962"/>
      <c r="AK327" s="2962"/>
      <c r="AL327" s="2962"/>
      <c r="AM327" s="2962"/>
      <c r="AN327" s="2962"/>
      <c r="AO327" s="2962"/>
      <c r="AP327" s="2962"/>
      <c r="AQ327" s="2962"/>
      <c r="AR327" s="2962"/>
      <c r="AS327" s="2962"/>
      <c r="AT327" s="2972"/>
      <c r="AU327" s="2973"/>
      <c r="AV327" s="1120">
        <f t="shared" si="178"/>
        <v>0</v>
      </c>
      <c r="AW327" s="1120">
        <f t="shared" si="179"/>
        <v>0</v>
      </c>
      <c r="AX327" s="1120">
        <f t="shared" si="180"/>
        <v>0</v>
      </c>
      <c r="AY327" s="2987">
        <f t="shared" si="155"/>
        <v>0</v>
      </c>
      <c r="AZ327" s="2942">
        <f t="shared" si="156"/>
        <v>0</v>
      </c>
      <c r="BA327" s="2942">
        <f t="shared" si="157"/>
        <v>0</v>
      </c>
      <c r="BB327" s="2942">
        <f t="shared" si="158"/>
        <v>0</v>
      </c>
      <c r="BC327" s="2942">
        <f t="shared" si="159"/>
        <v>0</v>
      </c>
      <c r="BD327" s="2942">
        <f t="shared" si="160"/>
        <v>0</v>
      </c>
      <c r="BE327" s="2942">
        <f t="shared" si="161"/>
        <v>0</v>
      </c>
      <c r="BF327" s="2942">
        <f t="shared" si="162"/>
        <v>0</v>
      </c>
      <c r="BG327" s="2942">
        <f t="shared" si="163"/>
        <v>0</v>
      </c>
      <c r="BH327" s="2942">
        <f t="shared" si="164"/>
        <v>0</v>
      </c>
      <c r="BI327" s="2942">
        <f t="shared" si="165"/>
        <v>0</v>
      </c>
      <c r="BJ327" s="2942">
        <f t="shared" si="166"/>
        <v>0</v>
      </c>
      <c r="BK327" s="2942">
        <f t="shared" si="167"/>
        <v>0</v>
      </c>
      <c r="BL327" s="2942">
        <f t="shared" si="168"/>
        <v>0</v>
      </c>
      <c r="BM327" s="2942">
        <f t="shared" si="169"/>
        <v>0</v>
      </c>
      <c r="BN327" s="2942">
        <f t="shared" si="170"/>
        <v>0</v>
      </c>
      <c r="BO327" s="2942">
        <f t="shared" si="171"/>
        <v>0</v>
      </c>
      <c r="BP327" s="2942">
        <f t="shared" si="172"/>
        <v>0</v>
      </c>
      <c r="BQ327" s="2942">
        <f t="shared" si="173"/>
        <v>0</v>
      </c>
      <c r="BR327" s="2942">
        <f t="shared" si="174"/>
        <v>0</v>
      </c>
      <c r="BS327" s="2942">
        <f t="shared" si="175"/>
        <v>0</v>
      </c>
      <c r="BT327" s="2994">
        <f t="shared" si="176"/>
        <v>0</v>
      </c>
    </row>
    <row r="328" spans="1:72">
      <c r="A328" s="2939"/>
      <c r="B328" s="2940"/>
      <c r="C328" s="2940"/>
      <c r="D328" s="2941"/>
      <c r="E328" s="2942">
        <f t="shared" si="177"/>
        <v>0</v>
      </c>
      <c r="F328" s="2943"/>
      <c r="G328" s="2944">
        <f t="shared" si="152"/>
        <v>0</v>
      </c>
      <c r="H328" s="2945">
        <f t="shared" si="153"/>
        <v>0</v>
      </c>
      <c r="I328" s="2952"/>
      <c r="J328" s="2952"/>
      <c r="K328" s="2952"/>
      <c r="L328" s="2952"/>
      <c r="M328" s="2952"/>
      <c r="N328" s="2952"/>
      <c r="O328" s="2952"/>
      <c r="P328" s="2952"/>
      <c r="Q328" s="2952"/>
      <c r="R328" s="2952"/>
      <c r="S328" s="2952"/>
      <c r="T328" s="2952"/>
      <c r="U328" s="2952"/>
      <c r="V328" s="2952"/>
      <c r="W328" s="2952"/>
      <c r="X328" s="2952"/>
      <c r="Y328" s="2952"/>
      <c r="Z328" s="2952"/>
      <c r="AA328" s="2952"/>
      <c r="AB328" s="2952"/>
      <c r="AC328" s="2942">
        <f t="shared" si="154"/>
        <v>0</v>
      </c>
      <c r="AD328" s="2962"/>
      <c r="AE328" s="2962"/>
      <c r="AF328" s="2962"/>
      <c r="AG328" s="2962"/>
      <c r="AH328" s="2962"/>
      <c r="AI328" s="2962"/>
      <c r="AJ328" s="2962"/>
      <c r="AK328" s="2962"/>
      <c r="AL328" s="2962"/>
      <c r="AM328" s="2962"/>
      <c r="AN328" s="2962"/>
      <c r="AO328" s="2962"/>
      <c r="AP328" s="2962"/>
      <c r="AQ328" s="2962"/>
      <c r="AR328" s="2962"/>
      <c r="AS328" s="2962"/>
      <c r="AT328" s="2972"/>
      <c r="AU328" s="2973"/>
      <c r="AV328" s="1120">
        <f t="shared" si="178"/>
        <v>0</v>
      </c>
      <c r="AW328" s="1120">
        <f t="shared" si="179"/>
        <v>0</v>
      </c>
      <c r="AX328" s="1120">
        <f t="shared" si="180"/>
        <v>0</v>
      </c>
      <c r="AY328" s="2987">
        <f t="shared" si="155"/>
        <v>0</v>
      </c>
      <c r="AZ328" s="2942">
        <f t="shared" si="156"/>
        <v>0</v>
      </c>
      <c r="BA328" s="2942">
        <f t="shared" si="157"/>
        <v>0</v>
      </c>
      <c r="BB328" s="2942">
        <f t="shared" si="158"/>
        <v>0</v>
      </c>
      <c r="BC328" s="2942">
        <f t="shared" si="159"/>
        <v>0</v>
      </c>
      <c r="BD328" s="2942">
        <f t="shared" si="160"/>
        <v>0</v>
      </c>
      <c r="BE328" s="2942">
        <f t="shared" si="161"/>
        <v>0</v>
      </c>
      <c r="BF328" s="2942">
        <f t="shared" si="162"/>
        <v>0</v>
      </c>
      <c r="BG328" s="2942">
        <f t="shared" si="163"/>
        <v>0</v>
      </c>
      <c r="BH328" s="2942">
        <f t="shared" si="164"/>
        <v>0</v>
      </c>
      <c r="BI328" s="2942">
        <f t="shared" si="165"/>
        <v>0</v>
      </c>
      <c r="BJ328" s="2942">
        <f t="shared" si="166"/>
        <v>0</v>
      </c>
      <c r="BK328" s="2942">
        <f t="shared" si="167"/>
        <v>0</v>
      </c>
      <c r="BL328" s="2942">
        <f t="shared" si="168"/>
        <v>0</v>
      </c>
      <c r="BM328" s="2942">
        <f t="shared" si="169"/>
        <v>0</v>
      </c>
      <c r="BN328" s="2942">
        <f t="shared" si="170"/>
        <v>0</v>
      </c>
      <c r="BO328" s="2942">
        <f t="shared" si="171"/>
        <v>0</v>
      </c>
      <c r="BP328" s="2942">
        <f t="shared" si="172"/>
        <v>0</v>
      </c>
      <c r="BQ328" s="2942">
        <f t="shared" si="173"/>
        <v>0</v>
      </c>
      <c r="BR328" s="2942">
        <f t="shared" si="174"/>
        <v>0</v>
      </c>
      <c r="BS328" s="2942">
        <f t="shared" si="175"/>
        <v>0</v>
      </c>
      <c r="BT328" s="2994">
        <f t="shared" si="176"/>
        <v>0</v>
      </c>
    </row>
    <row r="329" spans="1:72">
      <c r="A329" s="2939"/>
      <c r="B329" s="2940"/>
      <c r="C329" s="2940"/>
      <c r="D329" s="2941"/>
      <c r="E329" s="2942">
        <f t="shared" si="177"/>
        <v>0</v>
      </c>
      <c r="F329" s="2943"/>
      <c r="G329" s="2944">
        <f t="shared" si="152"/>
        <v>0</v>
      </c>
      <c r="H329" s="2945">
        <f t="shared" si="153"/>
        <v>0</v>
      </c>
      <c r="I329" s="2952"/>
      <c r="J329" s="2952"/>
      <c r="K329" s="2952"/>
      <c r="L329" s="2952"/>
      <c r="M329" s="2952"/>
      <c r="N329" s="2952"/>
      <c r="O329" s="2952"/>
      <c r="P329" s="2952"/>
      <c r="Q329" s="2952"/>
      <c r="R329" s="2952"/>
      <c r="S329" s="2952"/>
      <c r="T329" s="2952"/>
      <c r="U329" s="2952"/>
      <c r="V329" s="2952"/>
      <c r="W329" s="2952"/>
      <c r="X329" s="2952"/>
      <c r="Y329" s="2952"/>
      <c r="Z329" s="2952"/>
      <c r="AA329" s="2952"/>
      <c r="AB329" s="2952"/>
      <c r="AC329" s="2942">
        <f t="shared" si="154"/>
        <v>0</v>
      </c>
      <c r="AD329" s="2962"/>
      <c r="AE329" s="2962"/>
      <c r="AF329" s="2962"/>
      <c r="AG329" s="2962"/>
      <c r="AH329" s="2962"/>
      <c r="AI329" s="2962"/>
      <c r="AJ329" s="2962"/>
      <c r="AK329" s="2962"/>
      <c r="AL329" s="2962"/>
      <c r="AM329" s="2962"/>
      <c r="AN329" s="2962"/>
      <c r="AO329" s="2962"/>
      <c r="AP329" s="2962"/>
      <c r="AQ329" s="2962"/>
      <c r="AR329" s="2962"/>
      <c r="AS329" s="2962"/>
      <c r="AT329" s="2972"/>
      <c r="AU329" s="2973"/>
      <c r="AV329" s="1120">
        <f t="shared" si="178"/>
        <v>0</v>
      </c>
      <c r="AW329" s="1120">
        <f t="shared" si="179"/>
        <v>0</v>
      </c>
      <c r="AX329" s="1120">
        <f t="shared" si="180"/>
        <v>0</v>
      </c>
      <c r="AY329" s="2987">
        <f t="shared" si="155"/>
        <v>0</v>
      </c>
      <c r="AZ329" s="2942">
        <f t="shared" si="156"/>
        <v>0</v>
      </c>
      <c r="BA329" s="2942">
        <f t="shared" si="157"/>
        <v>0</v>
      </c>
      <c r="BB329" s="2942">
        <f t="shared" si="158"/>
        <v>0</v>
      </c>
      <c r="BC329" s="2942">
        <f t="shared" si="159"/>
        <v>0</v>
      </c>
      <c r="BD329" s="2942">
        <f t="shared" si="160"/>
        <v>0</v>
      </c>
      <c r="BE329" s="2942">
        <f t="shared" si="161"/>
        <v>0</v>
      </c>
      <c r="BF329" s="2942">
        <f t="shared" si="162"/>
        <v>0</v>
      </c>
      <c r="BG329" s="2942">
        <f t="shared" si="163"/>
        <v>0</v>
      </c>
      <c r="BH329" s="2942">
        <f t="shared" si="164"/>
        <v>0</v>
      </c>
      <c r="BI329" s="2942">
        <f t="shared" si="165"/>
        <v>0</v>
      </c>
      <c r="BJ329" s="2942">
        <f t="shared" si="166"/>
        <v>0</v>
      </c>
      <c r="BK329" s="2942">
        <f t="shared" si="167"/>
        <v>0</v>
      </c>
      <c r="BL329" s="2942">
        <f t="shared" si="168"/>
        <v>0</v>
      </c>
      <c r="BM329" s="2942">
        <f t="shared" si="169"/>
        <v>0</v>
      </c>
      <c r="BN329" s="2942">
        <f t="shared" si="170"/>
        <v>0</v>
      </c>
      <c r="BO329" s="2942">
        <f t="shared" si="171"/>
        <v>0</v>
      </c>
      <c r="BP329" s="2942">
        <f t="shared" si="172"/>
        <v>0</v>
      </c>
      <c r="BQ329" s="2942">
        <f t="shared" si="173"/>
        <v>0</v>
      </c>
      <c r="BR329" s="2942">
        <f t="shared" si="174"/>
        <v>0</v>
      </c>
      <c r="BS329" s="2942">
        <f t="shared" si="175"/>
        <v>0</v>
      </c>
      <c r="BT329" s="2994">
        <f t="shared" si="176"/>
        <v>0</v>
      </c>
    </row>
    <row r="330" spans="1:72">
      <c r="A330" s="2939"/>
      <c r="B330" s="2940"/>
      <c r="C330" s="2940"/>
      <c r="D330" s="2941"/>
      <c r="E330" s="2942">
        <f t="shared" si="177"/>
        <v>0</v>
      </c>
      <c r="F330" s="2943"/>
      <c r="G330" s="2944">
        <f t="shared" si="152"/>
        <v>0</v>
      </c>
      <c r="H330" s="2945">
        <f t="shared" si="153"/>
        <v>0</v>
      </c>
      <c r="I330" s="2952"/>
      <c r="J330" s="2952"/>
      <c r="K330" s="2952"/>
      <c r="L330" s="2952"/>
      <c r="M330" s="2952"/>
      <c r="N330" s="2952"/>
      <c r="O330" s="2952"/>
      <c r="P330" s="2952"/>
      <c r="Q330" s="2952"/>
      <c r="R330" s="2952"/>
      <c r="S330" s="2952"/>
      <c r="T330" s="2952"/>
      <c r="U330" s="2952"/>
      <c r="V330" s="2952"/>
      <c r="W330" s="2952"/>
      <c r="X330" s="2952"/>
      <c r="Y330" s="2952"/>
      <c r="Z330" s="2952"/>
      <c r="AA330" s="2952"/>
      <c r="AB330" s="2952"/>
      <c r="AC330" s="2942">
        <f t="shared" si="154"/>
        <v>0</v>
      </c>
      <c r="AD330" s="2962"/>
      <c r="AE330" s="2962"/>
      <c r="AF330" s="2962"/>
      <c r="AG330" s="2962"/>
      <c r="AH330" s="2962"/>
      <c r="AI330" s="2962"/>
      <c r="AJ330" s="2962"/>
      <c r="AK330" s="2962"/>
      <c r="AL330" s="2962"/>
      <c r="AM330" s="2962"/>
      <c r="AN330" s="2962"/>
      <c r="AO330" s="2962"/>
      <c r="AP330" s="2962"/>
      <c r="AQ330" s="2962"/>
      <c r="AR330" s="2962"/>
      <c r="AS330" s="2962"/>
      <c r="AT330" s="2972"/>
      <c r="AU330" s="2973"/>
      <c r="AV330" s="1120">
        <f t="shared" si="178"/>
        <v>0</v>
      </c>
      <c r="AW330" s="1120">
        <f t="shared" si="179"/>
        <v>0</v>
      </c>
      <c r="AX330" s="1120">
        <f t="shared" si="180"/>
        <v>0</v>
      </c>
      <c r="AY330" s="2987">
        <f t="shared" si="155"/>
        <v>0</v>
      </c>
      <c r="AZ330" s="2942">
        <f t="shared" si="156"/>
        <v>0</v>
      </c>
      <c r="BA330" s="2942">
        <f t="shared" si="157"/>
        <v>0</v>
      </c>
      <c r="BB330" s="2942">
        <f t="shared" si="158"/>
        <v>0</v>
      </c>
      <c r="BC330" s="2942">
        <f t="shared" si="159"/>
        <v>0</v>
      </c>
      <c r="BD330" s="2942">
        <f t="shared" si="160"/>
        <v>0</v>
      </c>
      <c r="BE330" s="2942">
        <f t="shared" si="161"/>
        <v>0</v>
      </c>
      <c r="BF330" s="2942">
        <f t="shared" si="162"/>
        <v>0</v>
      </c>
      <c r="BG330" s="2942">
        <f t="shared" si="163"/>
        <v>0</v>
      </c>
      <c r="BH330" s="2942">
        <f t="shared" si="164"/>
        <v>0</v>
      </c>
      <c r="BI330" s="2942">
        <f t="shared" si="165"/>
        <v>0</v>
      </c>
      <c r="BJ330" s="2942">
        <f t="shared" si="166"/>
        <v>0</v>
      </c>
      <c r="BK330" s="2942">
        <f t="shared" si="167"/>
        <v>0</v>
      </c>
      <c r="BL330" s="2942">
        <f t="shared" si="168"/>
        <v>0</v>
      </c>
      <c r="BM330" s="2942">
        <f t="shared" si="169"/>
        <v>0</v>
      </c>
      <c r="BN330" s="2942">
        <f t="shared" si="170"/>
        <v>0</v>
      </c>
      <c r="BO330" s="2942">
        <f t="shared" si="171"/>
        <v>0</v>
      </c>
      <c r="BP330" s="2942">
        <f t="shared" si="172"/>
        <v>0</v>
      </c>
      <c r="BQ330" s="2942">
        <f t="shared" si="173"/>
        <v>0</v>
      </c>
      <c r="BR330" s="2942">
        <f t="shared" si="174"/>
        <v>0</v>
      </c>
      <c r="BS330" s="2942">
        <f t="shared" si="175"/>
        <v>0</v>
      </c>
      <c r="BT330" s="2994">
        <f t="shared" si="176"/>
        <v>0</v>
      </c>
    </row>
    <row r="331" spans="1:72">
      <c r="A331" s="2939"/>
      <c r="B331" s="2940"/>
      <c r="C331" s="2940"/>
      <c r="D331" s="2941"/>
      <c r="E331" s="2942">
        <f t="shared" si="177"/>
        <v>0</v>
      </c>
      <c r="F331" s="2943"/>
      <c r="G331" s="2944">
        <f t="shared" si="152"/>
        <v>0</v>
      </c>
      <c r="H331" s="2945">
        <f t="shared" si="153"/>
        <v>0</v>
      </c>
      <c r="I331" s="2952"/>
      <c r="J331" s="2952"/>
      <c r="K331" s="2952"/>
      <c r="L331" s="2952"/>
      <c r="M331" s="2952"/>
      <c r="N331" s="2952"/>
      <c r="O331" s="2952"/>
      <c r="P331" s="2952"/>
      <c r="Q331" s="2952"/>
      <c r="R331" s="2952"/>
      <c r="S331" s="2952"/>
      <c r="T331" s="2952"/>
      <c r="U331" s="2952"/>
      <c r="V331" s="2952"/>
      <c r="W331" s="2952"/>
      <c r="X331" s="2952"/>
      <c r="Y331" s="2952"/>
      <c r="Z331" s="2952"/>
      <c r="AA331" s="2952"/>
      <c r="AB331" s="2952"/>
      <c r="AC331" s="2942">
        <f t="shared" si="154"/>
        <v>0</v>
      </c>
      <c r="AD331" s="2962"/>
      <c r="AE331" s="2962"/>
      <c r="AF331" s="2962"/>
      <c r="AG331" s="2962"/>
      <c r="AH331" s="2962"/>
      <c r="AI331" s="2962"/>
      <c r="AJ331" s="2962"/>
      <c r="AK331" s="2962"/>
      <c r="AL331" s="2962"/>
      <c r="AM331" s="2962"/>
      <c r="AN331" s="2962"/>
      <c r="AO331" s="2962"/>
      <c r="AP331" s="2962"/>
      <c r="AQ331" s="2962"/>
      <c r="AR331" s="2962"/>
      <c r="AS331" s="2962"/>
      <c r="AT331" s="2972"/>
      <c r="AU331" s="2973"/>
      <c r="AV331" s="1120">
        <f t="shared" si="178"/>
        <v>0</v>
      </c>
      <c r="AW331" s="1120">
        <f t="shared" si="179"/>
        <v>0</v>
      </c>
      <c r="AX331" s="1120">
        <f t="shared" si="180"/>
        <v>0</v>
      </c>
      <c r="AY331" s="2987">
        <f t="shared" si="155"/>
        <v>0</v>
      </c>
      <c r="AZ331" s="2942">
        <f t="shared" si="156"/>
        <v>0</v>
      </c>
      <c r="BA331" s="2942">
        <f t="shared" si="157"/>
        <v>0</v>
      </c>
      <c r="BB331" s="2942">
        <f t="shared" si="158"/>
        <v>0</v>
      </c>
      <c r="BC331" s="2942">
        <f t="shared" si="159"/>
        <v>0</v>
      </c>
      <c r="BD331" s="2942">
        <f t="shared" si="160"/>
        <v>0</v>
      </c>
      <c r="BE331" s="2942">
        <f t="shared" si="161"/>
        <v>0</v>
      </c>
      <c r="BF331" s="2942">
        <f t="shared" si="162"/>
        <v>0</v>
      </c>
      <c r="BG331" s="2942">
        <f t="shared" si="163"/>
        <v>0</v>
      </c>
      <c r="BH331" s="2942">
        <f t="shared" si="164"/>
        <v>0</v>
      </c>
      <c r="BI331" s="2942">
        <f t="shared" si="165"/>
        <v>0</v>
      </c>
      <c r="BJ331" s="2942">
        <f t="shared" si="166"/>
        <v>0</v>
      </c>
      <c r="BK331" s="2942">
        <f t="shared" si="167"/>
        <v>0</v>
      </c>
      <c r="BL331" s="2942">
        <f t="shared" si="168"/>
        <v>0</v>
      </c>
      <c r="BM331" s="2942">
        <f t="shared" si="169"/>
        <v>0</v>
      </c>
      <c r="BN331" s="2942">
        <f t="shared" si="170"/>
        <v>0</v>
      </c>
      <c r="BO331" s="2942">
        <f t="shared" si="171"/>
        <v>0</v>
      </c>
      <c r="BP331" s="2942">
        <f t="shared" si="172"/>
        <v>0</v>
      </c>
      <c r="BQ331" s="2942">
        <f t="shared" si="173"/>
        <v>0</v>
      </c>
      <c r="BR331" s="2942">
        <f t="shared" si="174"/>
        <v>0</v>
      </c>
      <c r="BS331" s="2942">
        <f t="shared" si="175"/>
        <v>0</v>
      </c>
      <c r="BT331" s="2994">
        <f t="shared" si="176"/>
        <v>0</v>
      </c>
    </row>
    <row r="332" spans="1:72">
      <c r="A332" s="2939"/>
      <c r="B332" s="2940"/>
      <c r="C332" s="2940"/>
      <c r="D332" s="2941"/>
      <c r="E332" s="2942">
        <f t="shared" si="177"/>
        <v>0</v>
      </c>
      <c r="F332" s="2943"/>
      <c r="G332" s="2944">
        <f t="shared" ref="G332:G363" si="181">H332+AC332+AT332</f>
        <v>0</v>
      </c>
      <c r="H332" s="2945">
        <f t="shared" ref="H332:H363" si="182">SUMIF(I$12:AB$12,"总值",I332:AB332)</f>
        <v>0</v>
      </c>
      <c r="I332" s="2952"/>
      <c r="J332" s="2952"/>
      <c r="K332" s="2952"/>
      <c r="L332" s="2952"/>
      <c r="M332" s="2952"/>
      <c r="N332" s="2952"/>
      <c r="O332" s="2952"/>
      <c r="P332" s="2952"/>
      <c r="Q332" s="2952"/>
      <c r="R332" s="2952"/>
      <c r="S332" s="2952"/>
      <c r="T332" s="2952"/>
      <c r="U332" s="2952"/>
      <c r="V332" s="2952"/>
      <c r="W332" s="2952"/>
      <c r="X332" s="2952"/>
      <c r="Y332" s="2952"/>
      <c r="Z332" s="2952"/>
      <c r="AA332" s="2952"/>
      <c r="AB332" s="2952"/>
      <c r="AC332" s="2942">
        <f t="shared" ref="AC332:AC363" si="183">SUMIF(AD$12:AS$12,"总值",AD332:AS332)</f>
        <v>0</v>
      </c>
      <c r="AD332" s="2962"/>
      <c r="AE332" s="2962"/>
      <c r="AF332" s="2962"/>
      <c r="AG332" s="2962"/>
      <c r="AH332" s="2962"/>
      <c r="AI332" s="2962"/>
      <c r="AJ332" s="2962"/>
      <c r="AK332" s="2962"/>
      <c r="AL332" s="2962"/>
      <c r="AM332" s="2962"/>
      <c r="AN332" s="2962"/>
      <c r="AO332" s="2962"/>
      <c r="AP332" s="2962"/>
      <c r="AQ332" s="2962"/>
      <c r="AR332" s="2962"/>
      <c r="AS332" s="2962"/>
      <c r="AT332" s="2972"/>
      <c r="AU332" s="2973"/>
      <c r="AV332" s="1120">
        <f t="shared" si="178"/>
        <v>0</v>
      </c>
      <c r="AW332" s="1120">
        <f t="shared" si="179"/>
        <v>0</v>
      </c>
      <c r="AX332" s="1120">
        <f t="shared" si="180"/>
        <v>0</v>
      </c>
      <c r="AY332" s="2987">
        <f t="shared" ref="AY332:AY363" si="184">ROUND($AY$6*AZ332/$AZ$5,2)</f>
        <v>0</v>
      </c>
      <c r="AZ332" s="2942">
        <f t="shared" ref="AZ332:AZ363" si="185">BA332+BL332</f>
        <v>0</v>
      </c>
      <c r="BA332" s="2942">
        <f t="shared" ref="BA332:BA363" si="186">SUM(BB332:BK332)</f>
        <v>0</v>
      </c>
      <c r="BB332" s="2942">
        <f t="shared" ref="BB332:BB363" si="187">IF($D332="是",I332-J332,0)</f>
        <v>0</v>
      </c>
      <c r="BC332" s="2942">
        <f t="shared" ref="BC332:BC363" si="188">IF($D332="是",K332-L332,0)</f>
        <v>0</v>
      </c>
      <c r="BD332" s="2942">
        <f t="shared" ref="BD332:BD363" si="189">IF($D332="是",M332-N332,0)</f>
        <v>0</v>
      </c>
      <c r="BE332" s="2942">
        <f t="shared" ref="BE332:BE363" si="190">IF($D332="是",O332-P332,0)</f>
        <v>0</v>
      </c>
      <c r="BF332" s="2942">
        <f t="shared" ref="BF332:BF363" si="191">IF($D332="是",Q332-R332,0)</f>
        <v>0</v>
      </c>
      <c r="BG332" s="2942">
        <f t="shared" ref="BG332:BG363" si="192">IF($D332="是",S332-T332,0)</f>
        <v>0</v>
      </c>
      <c r="BH332" s="2942">
        <f t="shared" ref="BH332:BH363" si="193">IF($D332="是",U332-V332,0)</f>
        <v>0</v>
      </c>
      <c r="BI332" s="2942">
        <f t="shared" ref="BI332:BI363" si="194">IF($D332="是",W332-X332,0)</f>
        <v>0</v>
      </c>
      <c r="BJ332" s="2942">
        <f t="shared" ref="BJ332:BJ363" si="195">IF($D332="是",Y332-Z332,0)</f>
        <v>0</v>
      </c>
      <c r="BK332" s="2942">
        <f t="shared" ref="BK332:BK363" si="196">IF($D332="是",AA332-AB332,0)</f>
        <v>0</v>
      </c>
      <c r="BL332" s="2942">
        <f t="shared" ref="BL332:BL363" si="197">SUM(BM332:BT332)</f>
        <v>0</v>
      </c>
      <c r="BM332" s="2942">
        <f t="shared" ref="BM332:BM363" si="198">IF($D332="是",AD332-AE332,0)</f>
        <v>0</v>
      </c>
      <c r="BN332" s="2942">
        <f t="shared" ref="BN332:BN363" si="199">IF($D332="是",AF332-AG332,0)</f>
        <v>0</v>
      </c>
      <c r="BO332" s="2942">
        <f t="shared" ref="BO332:BO363" si="200">IF($D332="是",AH332-AI332,0)</f>
        <v>0</v>
      </c>
      <c r="BP332" s="2942">
        <f t="shared" ref="BP332:BP363" si="201">IF($D332="是",AJ332-AK332,0)</f>
        <v>0</v>
      </c>
      <c r="BQ332" s="2942">
        <f t="shared" ref="BQ332:BQ363" si="202">IF($D332="是",AL332-AM332,0)</f>
        <v>0</v>
      </c>
      <c r="BR332" s="2942">
        <f t="shared" ref="BR332:BR363" si="203">IF($D332="是",AN332-AO332,0)</f>
        <v>0</v>
      </c>
      <c r="BS332" s="2942">
        <f t="shared" ref="BS332:BS363" si="204">IF($D332="是",AP332-AQ332,0)</f>
        <v>0</v>
      </c>
      <c r="BT332" s="2994">
        <f t="shared" ref="BT332:BT363" si="205">IF($D332="是",AR332-AS332,0)</f>
        <v>0</v>
      </c>
    </row>
    <row r="333" spans="1:72">
      <c r="A333" s="2939"/>
      <c r="B333" s="2940"/>
      <c r="C333" s="2940"/>
      <c r="D333" s="2941"/>
      <c r="E333" s="2942">
        <f t="shared" si="177"/>
        <v>0</v>
      </c>
      <c r="F333" s="2943"/>
      <c r="G333" s="2944">
        <f t="shared" si="181"/>
        <v>0</v>
      </c>
      <c r="H333" s="2945">
        <f t="shared" si="182"/>
        <v>0</v>
      </c>
      <c r="I333" s="2952"/>
      <c r="J333" s="2952"/>
      <c r="K333" s="2952"/>
      <c r="L333" s="2952"/>
      <c r="M333" s="2952"/>
      <c r="N333" s="2952"/>
      <c r="O333" s="2952"/>
      <c r="P333" s="2952"/>
      <c r="Q333" s="2952"/>
      <c r="R333" s="2952"/>
      <c r="S333" s="2952"/>
      <c r="T333" s="2952"/>
      <c r="U333" s="2952"/>
      <c r="V333" s="2952"/>
      <c r="W333" s="2952"/>
      <c r="X333" s="2952"/>
      <c r="Y333" s="2952"/>
      <c r="Z333" s="2952"/>
      <c r="AA333" s="2952"/>
      <c r="AB333" s="2952"/>
      <c r="AC333" s="2942">
        <f t="shared" si="183"/>
        <v>0</v>
      </c>
      <c r="AD333" s="2962"/>
      <c r="AE333" s="2962"/>
      <c r="AF333" s="2962"/>
      <c r="AG333" s="2962"/>
      <c r="AH333" s="2962"/>
      <c r="AI333" s="2962"/>
      <c r="AJ333" s="2962"/>
      <c r="AK333" s="2962"/>
      <c r="AL333" s="2962"/>
      <c r="AM333" s="2962"/>
      <c r="AN333" s="2962"/>
      <c r="AO333" s="2962"/>
      <c r="AP333" s="2962"/>
      <c r="AQ333" s="2962"/>
      <c r="AR333" s="2962"/>
      <c r="AS333" s="2962"/>
      <c r="AT333" s="2972"/>
      <c r="AU333" s="2973"/>
      <c r="AV333" s="1120">
        <f t="shared" si="178"/>
        <v>0</v>
      </c>
      <c r="AW333" s="1120">
        <f t="shared" si="179"/>
        <v>0</v>
      </c>
      <c r="AX333" s="1120">
        <f t="shared" si="180"/>
        <v>0</v>
      </c>
      <c r="AY333" s="2987">
        <f t="shared" si="184"/>
        <v>0</v>
      </c>
      <c r="AZ333" s="2942">
        <f t="shared" si="185"/>
        <v>0</v>
      </c>
      <c r="BA333" s="2942">
        <f t="shared" si="186"/>
        <v>0</v>
      </c>
      <c r="BB333" s="2942">
        <f t="shared" si="187"/>
        <v>0</v>
      </c>
      <c r="BC333" s="2942">
        <f t="shared" si="188"/>
        <v>0</v>
      </c>
      <c r="BD333" s="2942">
        <f t="shared" si="189"/>
        <v>0</v>
      </c>
      <c r="BE333" s="2942">
        <f t="shared" si="190"/>
        <v>0</v>
      </c>
      <c r="BF333" s="2942">
        <f t="shared" si="191"/>
        <v>0</v>
      </c>
      <c r="BG333" s="2942">
        <f t="shared" si="192"/>
        <v>0</v>
      </c>
      <c r="BH333" s="2942">
        <f t="shared" si="193"/>
        <v>0</v>
      </c>
      <c r="BI333" s="2942">
        <f t="shared" si="194"/>
        <v>0</v>
      </c>
      <c r="BJ333" s="2942">
        <f t="shared" si="195"/>
        <v>0</v>
      </c>
      <c r="BK333" s="2942">
        <f t="shared" si="196"/>
        <v>0</v>
      </c>
      <c r="BL333" s="2942">
        <f t="shared" si="197"/>
        <v>0</v>
      </c>
      <c r="BM333" s="2942">
        <f t="shared" si="198"/>
        <v>0</v>
      </c>
      <c r="BN333" s="2942">
        <f t="shared" si="199"/>
        <v>0</v>
      </c>
      <c r="BO333" s="2942">
        <f t="shared" si="200"/>
        <v>0</v>
      </c>
      <c r="BP333" s="2942">
        <f t="shared" si="201"/>
        <v>0</v>
      </c>
      <c r="BQ333" s="2942">
        <f t="shared" si="202"/>
        <v>0</v>
      </c>
      <c r="BR333" s="2942">
        <f t="shared" si="203"/>
        <v>0</v>
      </c>
      <c r="BS333" s="2942">
        <f t="shared" si="204"/>
        <v>0</v>
      </c>
      <c r="BT333" s="2994">
        <f t="shared" si="205"/>
        <v>0</v>
      </c>
    </row>
    <row r="334" spans="1:72">
      <c r="A334" s="2939"/>
      <c r="B334" s="2940"/>
      <c r="C334" s="2940"/>
      <c r="D334" s="2941"/>
      <c r="E334" s="2942">
        <f t="shared" si="177"/>
        <v>0</v>
      </c>
      <c r="F334" s="2943"/>
      <c r="G334" s="2944">
        <f t="shared" si="181"/>
        <v>0</v>
      </c>
      <c r="H334" s="2945">
        <f t="shared" si="182"/>
        <v>0</v>
      </c>
      <c r="I334" s="2952"/>
      <c r="J334" s="2952"/>
      <c r="K334" s="2952"/>
      <c r="L334" s="2952"/>
      <c r="M334" s="2952"/>
      <c r="N334" s="2952"/>
      <c r="O334" s="2952"/>
      <c r="P334" s="2952"/>
      <c r="Q334" s="2952"/>
      <c r="R334" s="2952"/>
      <c r="S334" s="2952"/>
      <c r="T334" s="2952"/>
      <c r="U334" s="2952"/>
      <c r="V334" s="2952"/>
      <c r="W334" s="2952"/>
      <c r="X334" s="2952"/>
      <c r="Y334" s="2952"/>
      <c r="Z334" s="2952"/>
      <c r="AA334" s="2952"/>
      <c r="AB334" s="2952"/>
      <c r="AC334" s="2942">
        <f t="shared" si="183"/>
        <v>0</v>
      </c>
      <c r="AD334" s="2962"/>
      <c r="AE334" s="2962"/>
      <c r="AF334" s="2962"/>
      <c r="AG334" s="2962"/>
      <c r="AH334" s="2962"/>
      <c r="AI334" s="2962"/>
      <c r="AJ334" s="2962"/>
      <c r="AK334" s="2962"/>
      <c r="AL334" s="2962"/>
      <c r="AM334" s="2962"/>
      <c r="AN334" s="2962"/>
      <c r="AO334" s="2962"/>
      <c r="AP334" s="2962"/>
      <c r="AQ334" s="2962"/>
      <c r="AR334" s="2962"/>
      <c r="AS334" s="2962"/>
      <c r="AT334" s="2972"/>
      <c r="AU334" s="2973"/>
      <c r="AV334" s="1120">
        <f t="shared" si="178"/>
        <v>0</v>
      </c>
      <c r="AW334" s="1120">
        <f t="shared" si="179"/>
        <v>0</v>
      </c>
      <c r="AX334" s="1120">
        <f t="shared" si="180"/>
        <v>0</v>
      </c>
      <c r="AY334" s="2987">
        <f t="shared" si="184"/>
        <v>0</v>
      </c>
      <c r="AZ334" s="2942">
        <f t="shared" si="185"/>
        <v>0</v>
      </c>
      <c r="BA334" s="2942">
        <f t="shared" si="186"/>
        <v>0</v>
      </c>
      <c r="BB334" s="2942">
        <f t="shared" si="187"/>
        <v>0</v>
      </c>
      <c r="BC334" s="2942">
        <f t="shared" si="188"/>
        <v>0</v>
      </c>
      <c r="BD334" s="2942">
        <f t="shared" si="189"/>
        <v>0</v>
      </c>
      <c r="BE334" s="2942">
        <f t="shared" si="190"/>
        <v>0</v>
      </c>
      <c r="BF334" s="2942">
        <f t="shared" si="191"/>
        <v>0</v>
      </c>
      <c r="BG334" s="2942">
        <f t="shared" si="192"/>
        <v>0</v>
      </c>
      <c r="BH334" s="2942">
        <f t="shared" si="193"/>
        <v>0</v>
      </c>
      <c r="BI334" s="2942">
        <f t="shared" si="194"/>
        <v>0</v>
      </c>
      <c r="BJ334" s="2942">
        <f t="shared" si="195"/>
        <v>0</v>
      </c>
      <c r="BK334" s="2942">
        <f t="shared" si="196"/>
        <v>0</v>
      </c>
      <c r="BL334" s="2942">
        <f t="shared" si="197"/>
        <v>0</v>
      </c>
      <c r="BM334" s="2942">
        <f t="shared" si="198"/>
        <v>0</v>
      </c>
      <c r="BN334" s="2942">
        <f t="shared" si="199"/>
        <v>0</v>
      </c>
      <c r="BO334" s="2942">
        <f t="shared" si="200"/>
        <v>0</v>
      </c>
      <c r="BP334" s="2942">
        <f t="shared" si="201"/>
        <v>0</v>
      </c>
      <c r="BQ334" s="2942">
        <f t="shared" si="202"/>
        <v>0</v>
      </c>
      <c r="BR334" s="2942">
        <f t="shared" si="203"/>
        <v>0</v>
      </c>
      <c r="BS334" s="2942">
        <f t="shared" si="204"/>
        <v>0</v>
      </c>
      <c r="BT334" s="2994">
        <f t="shared" si="205"/>
        <v>0</v>
      </c>
    </row>
    <row r="335" spans="1:72">
      <c r="A335" s="2939"/>
      <c r="B335" s="2940"/>
      <c r="C335" s="2940"/>
      <c r="D335" s="2941"/>
      <c r="E335" s="2942">
        <f t="shared" ref="E335:E366" si="206">IF($C$3="是",ROUND($A$3*G335/$B$3,2),ROUND($A$3*(G335-AT335)/$B$3,2))</f>
        <v>0</v>
      </c>
      <c r="F335" s="2943"/>
      <c r="G335" s="2944">
        <f t="shared" si="181"/>
        <v>0</v>
      </c>
      <c r="H335" s="2945">
        <f t="shared" si="182"/>
        <v>0</v>
      </c>
      <c r="I335" s="2952"/>
      <c r="J335" s="2952"/>
      <c r="K335" s="2952"/>
      <c r="L335" s="2952"/>
      <c r="M335" s="2952"/>
      <c r="N335" s="2952"/>
      <c r="O335" s="2952"/>
      <c r="P335" s="2952"/>
      <c r="Q335" s="2952"/>
      <c r="R335" s="2952"/>
      <c r="S335" s="2952"/>
      <c r="T335" s="2952"/>
      <c r="U335" s="2952"/>
      <c r="V335" s="2952"/>
      <c r="W335" s="2952"/>
      <c r="X335" s="2952"/>
      <c r="Y335" s="2952"/>
      <c r="Z335" s="2952"/>
      <c r="AA335" s="2952"/>
      <c r="AB335" s="2952"/>
      <c r="AC335" s="2942">
        <f t="shared" si="183"/>
        <v>0</v>
      </c>
      <c r="AD335" s="2962"/>
      <c r="AE335" s="2962"/>
      <c r="AF335" s="2962"/>
      <c r="AG335" s="2962"/>
      <c r="AH335" s="2962"/>
      <c r="AI335" s="2962"/>
      <c r="AJ335" s="2962"/>
      <c r="AK335" s="2962"/>
      <c r="AL335" s="2962"/>
      <c r="AM335" s="2962"/>
      <c r="AN335" s="2962"/>
      <c r="AO335" s="2962"/>
      <c r="AP335" s="2962"/>
      <c r="AQ335" s="2962"/>
      <c r="AR335" s="2962"/>
      <c r="AS335" s="2962"/>
      <c r="AT335" s="2972"/>
      <c r="AU335" s="2973"/>
      <c r="AV335" s="1120">
        <f t="shared" ref="AV335:AV366" si="207">A335</f>
        <v>0</v>
      </c>
      <c r="AW335" s="1120">
        <f t="shared" ref="AW335:AW366" si="208">B335</f>
        <v>0</v>
      </c>
      <c r="AX335" s="1120">
        <f t="shared" ref="AX335:AX366" si="209">C335</f>
        <v>0</v>
      </c>
      <c r="AY335" s="2987">
        <f t="shared" si="184"/>
        <v>0</v>
      </c>
      <c r="AZ335" s="2942">
        <f t="shared" si="185"/>
        <v>0</v>
      </c>
      <c r="BA335" s="2942">
        <f t="shared" si="186"/>
        <v>0</v>
      </c>
      <c r="BB335" s="2942">
        <f t="shared" si="187"/>
        <v>0</v>
      </c>
      <c r="BC335" s="2942">
        <f t="shared" si="188"/>
        <v>0</v>
      </c>
      <c r="BD335" s="2942">
        <f t="shared" si="189"/>
        <v>0</v>
      </c>
      <c r="BE335" s="2942">
        <f t="shared" si="190"/>
        <v>0</v>
      </c>
      <c r="BF335" s="2942">
        <f t="shared" si="191"/>
        <v>0</v>
      </c>
      <c r="BG335" s="2942">
        <f t="shared" si="192"/>
        <v>0</v>
      </c>
      <c r="BH335" s="2942">
        <f t="shared" si="193"/>
        <v>0</v>
      </c>
      <c r="BI335" s="2942">
        <f t="shared" si="194"/>
        <v>0</v>
      </c>
      <c r="BJ335" s="2942">
        <f t="shared" si="195"/>
        <v>0</v>
      </c>
      <c r="BK335" s="2942">
        <f t="shared" si="196"/>
        <v>0</v>
      </c>
      <c r="BL335" s="2942">
        <f t="shared" si="197"/>
        <v>0</v>
      </c>
      <c r="BM335" s="2942">
        <f t="shared" si="198"/>
        <v>0</v>
      </c>
      <c r="BN335" s="2942">
        <f t="shared" si="199"/>
        <v>0</v>
      </c>
      <c r="BO335" s="2942">
        <f t="shared" si="200"/>
        <v>0</v>
      </c>
      <c r="BP335" s="2942">
        <f t="shared" si="201"/>
        <v>0</v>
      </c>
      <c r="BQ335" s="2942">
        <f t="shared" si="202"/>
        <v>0</v>
      </c>
      <c r="BR335" s="2942">
        <f t="shared" si="203"/>
        <v>0</v>
      </c>
      <c r="BS335" s="2942">
        <f t="shared" si="204"/>
        <v>0</v>
      </c>
      <c r="BT335" s="2994">
        <f t="shared" si="205"/>
        <v>0</v>
      </c>
    </row>
    <row r="336" spans="1:72">
      <c r="A336" s="2939"/>
      <c r="B336" s="2940"/>
      <c r="C336" s="2940"/>
      <c r="D336" s="2941"/>
      <c r="E336" s="2942">
        <f t="shared" si="206"/>
        <v>0</v>
      </c>
      <c r="F336" s="2943"/>
      <c r="G336" s="2944">
        <f t="shared" si="181"/>
        <v>0</v>
      </c>
      <c r="H336" s="2945">
        <f t="shared" si="182"/>
        <v>0</v>
      </c>
      <c r="I336" s="2952"/>
      <c r="J336" s="2952"/>
      <c r="K336" s="2952"/>
      <c r="L336" s="2952"/>
      <c r="M336" s="2952"/>
      <c r="N336" s="2952"/>
      <c r="O336" s="2952"/>
      <c r="P336" s="2952"/>
      <c r="Q336" s="2952"/>
      <c r="R336" s="2952"/>
      <c r="S336" s="2952"/>
      <c r="T336" s="2952"/>
      <c r="U336" s="2952"/>
      <c r="V336" s="2952"/>
      <c r="W336" s="2952"/>
      <c r="X336" s="2952"/>
      <c r="Y336" s="2952"/>
      <c r="Z336" s="2952"/>
      <c r="AA336" s="2952"/>
      <c r="AB336" s="2952"/>
      <c r="AC336" s="2942">
        <f t="shared" si="183"/>
        <v>0</v>
      </c>
      <c r="AD336" s="2962"/>
      <c r="AE336" s="2962"/>
      <c r="AF336" s="2962"/>
      <c r="AG336" s="2962"/>
      <c r="AH336" s="2962"/>
      <c r="AI336" s="2962"/>
      <c r="AJ336" s="2962"/>
      <c r="AK336" s="2962"/>
      <c r="AL336" s="2962"/>
      <c r="AM336" s="2962"/>
      <c r="AN336" s="2962"/>
      <c r="AO336" s="2962"/>
      <c r="AP336" s="2962"/>
      <c r="AQ336" s="2962"/>
      <c r="AR336" s="2962"/>
      <c r="AS336" s="2962"/>
      <c r="AT336" s="2972"/>
      <c r="AU336" s="2973"/>
      <c r="AV336" s="1120">
        <f t="shared" si="207"/>
        <v>0</v>
      </c>
      <c r="AW336" s="1120">
        <f t="shared" si="208"/>
        <v>0</v>
      </c>
      <c r="AX336" s="1120">
        <f t="shared" si="209"/>
        <v>0</v>
      </c>
      <c r="AY336" s="2987">
        <f t="shared" si="184"/>
        <v>0</v>
      </c>
      <c r="AZ336" s="2942">
        <f t="shared" si="185"/>
        <v>0</v>
      </c>
      <c r="BA336" s="2942">
        <f t="shared" si="186"/>
        <v>0</v>
      </c>
      <c r="BB336" s="2942">
        <f t="shared" si="187"/>
        <v>0</v>
      </c>
      <c r="BC336" s="2942">
        <f t="shared" si="188"/>
        <v>0</v>
      </c>
      <c r="BD336" s="2942">
        <f t="shared" si="189"/>
        <v>0</v>
      </c>
      <c r="BE336" s="2942">
        <f t="shared" si="190"/>
        <v>0</v>
      </c>
      <c r="BF336" s="2942">
        <f t="shared" si="191"/>
        <v>0</v>
      </c>
      <c r="BG336" s="2942">
        <f t="shared" si="192"/>
        <v>0</v>
      </c>
      <c r="BH336" s="2942">
        <f t="shared" si="193"/>
        <v>0</v>
      </c>
      <c r="BI336" s="2942">
        <f t="shared" si="194"/>
        <v>0</v>
      </c>
      <c r="BJ336" s="2942">
        <f t="shared" si="195"/>
        <v>0</v>
      </c>
      <c r="BK336" s="2942">
        <f t="shared" si="196"/>
        <v>0</v>
      </c>
      <c r="BL336" s="2942">
        <f t="shared" si="197"/>
        <v>0</v>
      </c>
      <c r="BM336" s="2942">
        <f t="shared" si="198"/>
        <v>0</v>
      </c>
      <c r="BN336" s="2942">
        <f t="shared" si="199"/>
        <v>0</v>
      </c>
      <c r="BO336" s="2942">
        <f t="shared" si="200"/>
        <v>0</v>
      </c>
      <c r="BP336" s="2942">
        <f t="shared" si="201"/>
        <v>0</v>
      </c>
      <c r="BQ336" s="2942">
        <f t="shared" si="202"/>
        <v>0</v>
      </c>
      <c r="BR336" s="2942">
        <f t="shared" si="203"/>
        <v>0</v>
      </c>
      <c r="BS336" s="2942">
        <f t="shared" si="204"/>
        <v>0</v>
      </c>
      <c r="BT336" s="2994">
        <f t="shared" si="205"/>
        <v>0</v>
      </c>
    </row>
    <row r="337" spans="1:72">
      <c r="A337" s="2939"/>
      <c r="B337" s="2940"/>
      <c r="C337" s="2940"/>
      <c r="D337" s="2941"/>
      <c r="E337" s="2942">
        <f t="shared" si="206"/>
        <v>0</v>
      </c>
      <c r="F337" s="2943"/>
      <c r="G337" s="2944">
        <f t="shared" si="181"/>
        <v>0</v>
      </c>
      <c r="H337" s="2945">
        <f t="shared" si="182"/>
        <v>0</v>
      </c>
      <c r="I337" s="2952"/>
      <c r="J337" s="2952"/>
      <c r="K337" s="2952"/>
      <c r="L337" s="2952"/>
      <c r="M337" s="2952"/>
      <c r="N337" s="2952"/>
      <c r="O337" s="2952"/>
      <c r="P337" s="2952"/>
      <c r="Q337" s="2952"/>
      <c r="R337" s="2952"/>
      <c r="S337" s="2952"/>
      <c r="T337" s="2952"/>
      <c r="U337" s="2952"/>
      <c r="V337" s="2952"/>
      <c r="W337" s="2952"/>
      <c r="X337" s="2952"/>
      <c r="Y337" s="2952"/>
      <c r="Z337" s="2952"/>
      <c r="AA337" s="2952"/>
      <c r="AB337" s="2952"/>
      <c r="AC337" s="2942">
        <f t="shared" si="183"/>
        <v>0</v>
      </c>
      <c r="AD337" s="2962"/>
      <c r="AE337" s="2962"/>
      <c r="AF337" s="2962"/>
      <c r="AG337" s="2962"/>
      <c r="AH337" s="2962"/>
      <c r="AI337" s="2962"/>
      <c r="AJ337" s="2962"/>
      <c r="AK337" s="2962"/>
      <c r="AL337" s="2962"/>
      <c r="AM337" s="2962"/>
      <c r="AN337" s="2962"/>
      <c r="AO337" s="2962"/>
      <c r="AP337" s="2962"/>
      <c r="AQ337" s="2962"/>
      <c r="AR337" s="2962"/>
      <c r="AS337" s="2962"/>
      <c r="AT337" s="2972"/>
      <c r="AU337" s="2973"/>
      <c r="AV337" s="1120">
        <f t="shared" si="207"/>
        <v>0</v>
      </c>
      <c r="AW337" s="1120">
        <f t="shared" si="208"/>
        <v>0</v>
      </c>
      <c r="AX337" s="1120">
        <f t="shared" si="209"/>
        <v>0</v>
      </c>
      <c r="AY337" s="2987">
        <f t="shared" si="184"/>
        <v>0</v>
      </c>
      <c r="AZ337" s="2942">
        <f t="shared" si="185"/>
        <v>0</v>
      </c>
      <c r="BA337" s="2942">
        <f t="shared" si="186"/>
        <v>0</v>
      </c>
      <c r="BB337" s="2942">
        <f t="shared" si="187"/>
        <v>0</v>
      </c>
      <c r="BC337" s="2942">
        <f t="shared" si="188"/>
        <v>0</v>
      </c>
      <c r="BD337" s="2942">
        <f t="shared" si="189"/>
        <v>0</v>
      </c>
      <c r="BE337" s="2942">
        <f t="shared" si="190"/>
        <v>0</v>
      </c>
      <c r="BF337" s="2942">
        <f t="shared" si="191"/>
        <v>0</v>
      </c>
      <c r="BG337" s="2942">
        <f t="shared" si="192"/>
        <v>0</v>
      </c>
      <c r="BH337" s="2942">
        <f t="shared" si="193"/>
        <v>0</v>
      </c>
      <c r="BI337" s="2942">
        <f t="shared" si="194"/>
        <v>0</v>
      </c>
      <c r="BJ337" s="2942">
        <f t="shared" si="195"/>
        <v>0</v>
      </c>
      <c r="BK337" s="2942">
        <f t="shared" si="196"/>
        <v>0</v>
      </c>
      <c r="BL337" s="2942">
        <f t="shared" si="197"/>
        <v>0</v>
      </c>
      <c r="BM337" s="2942">
        <f t="shared" si="198"/>
        <v>0</v>
      </c>
      <c r="BN337" s="2942">
        <f t="shared" si="199"/>
        <v>0</v>
      </c>
      <c r="BO337" s="2942">
        <f t="shared" si="200"/>
        <v>0</v>
      </c>
      <c r="BP337" s="2942">
        <f t="shared" si="201"/>
        <v>0</v>
      </c>
      <c r="BQ337" s="2942">
        <f t="shared" si="202"/>
        <v>0</v>
      </c>
      <c r="BR337" s="2942">
        <f t="shared" si="203"/>
        <v>0</v>
      </c>
      <c r="BS337" s="2942">
        <f t="shared" si="204"/>
        <v>0</v>
      </c>
      <c r="BT337" s="2994">
        <f t="shared" si="205"/>
        <v>0</v>
      </c>
    </row>
    <row r="338" spans="1:72">
      <c r="A338" s="2939"/>
      <c r="B338" s="2940"/>
      <c r="C338" s="2940"/>
      <c r="D338" s="2941"/>
      <c r="E338" s="2942">
        <f t="shared" si="206"/>
        <v>0</v>
      </c>
      <c r="F338" s="2943"/>
      <c r="G338" s="2944">
        <f t="shared" si="181"/>
        <v>0</v>
      </c>
      <c r="H338" s="2945">
        <f t="shared" si="182"/>
        <v>0</v>
      </c>
      <c r="I338" s="2952"/>
      <c r="J338" s="2952"/>
      <c r="K338" s="2952"/>
      <c r="L338" s="2952"/>
      <c r="M338" s="2952"/>
      <c r="N338" s="2952"/>
      <c r="O338" s="2952"/>
      <c r="P338" s="2952"/>
      <c r="Q338" s="2952"/>
      <c r="R338" s="2952"/>
      <c r="S338" s="2952"/>
      <c r="T338" s="2952"/>
      <c r="U338" s="2952"/>
      <c r="V338" s="2952"/>
      <c r="W338" s="2952"/>
      <c r="X338" s="2952"/>
      <c r="Y338" s="2952"/>
      <c r="Z338" s="2952"/>
      <c r="AA338" s="2952"/>
      <c r="AB338" s="2952"/>
      <c r="AC338" s="2942">
        <f t="shared" si="183"/>
        <v>0</v>
      </c>
      <c r="AD338" s="2962"/>
      <c r="AE338" s="2962"/>
      <c r="AF338" s="2962"/>
      <c r="AG338" s="2962"/>
      <c r="AH338" s="2962"/>
      <c r="AI338" s="2962"/>
      <c r="AJ338" s="2962"/>
      <c r="AK338" s="2962"/>
      <c r="AL338" s="2962"/>
      <c r="AM338" s="2962"/>
      <c r="AN338" s="2962"/>
      <c r="AO338" s="2962"/>
      <c r="AP338" s="2962"/>
      <c r="AQ338" s="2962"/>
      <c r="AR338" s="2962"/>
      <c r="AS338" s="2962"/>
      <c r="AT338" s="2972"/>
      <c r="AU338" s="2973"/>
      <c r="AV338" s="1120">
        <f t="shared" si="207"/>
        <v>0</v>
      </c>
      <c r="AW338" s="1120">
        <f t="shared" si="208"/>
        <v>0</v>
      </c>
      <c r="AX338" s="1120">
        <f t="shared" si="209"/>
        <v>0</v>
      </c>
      <c r="AY338" s="2987">
        <f t="shared" si="184"/>
        <v>0</v>
      </c>
      <c r="AZ338" s="2942">
        <f t="shared" si="185"/>
        <v>0</v>
      </c>
      <c r="BA338" s="2942">
        <f t="shared" si="186"/>
        <v>0</v>
      </c>
      <c r="BB338" s="2942">
        <f t="shared" si="187"/>
        <v>0</v>
      </c>
      <c r="BC338" s="2942">
        <f t="shared" si="188"/>
        <v>0</v>
      </c>
      <c r="BD338" s="2942">
        <f t="shared" si="189"/>
        <v>0</v>
      </c>
      <c r="BE338" s="2942">
        <f t="shared" si="190"/>
        <v>0</v>
      </c>
      <c r="BF338" s="2942">
        <f t="shared" si="191"/>
        <v>0</v>
      </c>
      <c r="BG338" s="2942">
        <f t="shared" si="192"/>
        <v>0</v>
      </c>
      <c r="BH338" s="2942">
        <f t="shared" si="193"/>
        <v>0</v>
      </c>
      <c r="BI338" s="2942">
        <f t="shared" si="194"/>
        <v>0</v>
      </c>
      <c r="BJ338" s="2942">
        <f t="shared" si="195"/>
        <v>0</v>
      </c>
      <c r="BK338" s="2942">
        <f t="shared" si="196"/>
        <v>0</v>
      </c>
      <c r="BL338" s="2942">
        <f t="shared" si="197"/>
        <v>0</v>
      </c>
      <c r="BM338" s="2942">
        <f t="shared" si="198"/>
        <v>0</v>
      </c>
      <c r="BN338" s="2942">
        <f t="shared" si="199"/>
        <v>0</v>
      </c>
      <c r="BO338" s="2942">
        <f t="shared" si="200"/>
        <v>0</v>
      </c>
      <c r="BP338" s="2942">
        <f t="shared" si="201"/>
        <v>0</v>
      </c>
      <c r="BQ338" s="2942">
        <f t="shared" si="202"/>
        <v>0</v>
      </c>
      <c r="BR338" s="2942">
        <f t="shared" si="203"/>
        <v>0</v>
      </c>
      <c r="BS338" s="2942">
        <f t="shared" si="204"/>
        <v>0</v>
      </c>
      <c r="BT338" s="2994">
        <f t="shared" si="205"/>
        <v>0</v>
      </c>
    </row>
    <row r="339" spans="1:72">
      <c r="A339" s="2939"/>
      <c r="B339" s="2940"/>
      <c r="C339" s="2940"/>
      <c r="D339" s="2941"/>
      <c r="E339" s="2942">
        <f t="shared" si="206"/>
        <v>0</v>
      </c>
      <c r="F339" s="2943"/>
      <c r="G339" s="2944">
        <f t="shared" si="181"/>
        <v>0</v>
      </c>
      <c r="H339" s="2945">
        <f t="shared" si="182"/>
        <v>0</v>
      </c>
      <c r="I339" s="2952"/>
      <c r="J339" s="2952"/>
      <c r="K339" s="2952"/>
      <c r="L339" s="2952"/>
      <c r="M339" s="2952"/>
      <c r="N339" s="2952"/>
      <c r="O339" s="2952"/>
      <c r="P339" s="2952"/>
      <c r="Q339" s="2952"/>
      <c r="R339" s="2952"/>
      <c r="S339" s="2952"/>
      <c r="T339" s="2952"/>
      <c r="U339" s="2952"/>
      <c r="V339" s="2952"/>
      <c r="W339" s="2952"/>
      <c r="X339" s="2952"/>
      <c r="Y339" s="2952"/>
      <c r="Z339" s="2952"/>
      <c r="AA339" s="2952"/>
      <c r="AB339" s="2952"/>
      <c r="AC339" s="2942">
        <f t="shared" si="183"/>
        <v>0</v>
      </c>
      <c r="AD339" s="2962"/>
      <c r="AE339" s="2962"/>
      <c r="AF339" s="2962"/>
      <c r="AG339" s="2962"/>
      <c r="AH339" s="2962"/>
      <c r="AI339" s="2962"/>
      <c r="AJ339" s="2962"/>
      <c r="AK339" s="2962"/>
      <c r="AL339" s="2962"/>
      <c r="AM339" s="2962"/>
      <c r="AN339" s="2962"/>
      <c r="AO339" s="2962"/>
      <c r="AP339" s="2962"/>
      <c r="AQ339" s="2962"/>
      <c r="AR339" s="2962"/>
      <c r="AS339" s="2962"/>
      <c r="AT339" s="2972"/>
      <c r="AU339" s="2973"/>
      <c r="AV339" s="1120">
        <f t="shared" si="207"/>
        <v>0</v>
      </c>
      <c r="AW339" s="1120">
        <f t="shared" si="208"/>
        <v>0</v>
      </c>
      <c r="AX339" s="1120">
        <f t="shared" si="209"/>
        <v>0</v>
      </c>
      <c r="AY339" s="2987">
        <f t="shared" si="184"/>
        <v>0</v>
      </c>
      <c r="AZ339" s="2942">
        <f t="shared" si="185"/>
        <v>0</v>
      </c>
      <c r="BA339" s="2942">
        <f t="shared" si="186"/>
        <v>0</v>
      </c>
      <c r="BB339" s="2942">
        <f t="shared" si="187"/>
        <v>0</v>
      </c>
      <c r="BC339" s="2942">
        <f t="shared" si="188"/>
        <v>0</v>
      </c>
      <c r="BD339" s="2942">
        <f t="shared" si="189"/>
        <v>0</v>
      </c>
      <c r="BE339" s="2942">
        <f t="shared" si="190"/>
        <v>0</v>
      </c>
      <c r="BF339" s="2942">
        <f t="shared" si="191"/>
        <v>0</v>
      </c>
      <c r="BG339" s="2942">
        <f t="shared" si="192"/>
        <v>0</v>
      </c>
      <c r="BH339" s="2942">
        <f t="shared" si="193"/>
        <v>0</v>
      </c>
      <c r="BI339" s="2942">
        <f t="shared" si="194"/>
        <v>0</v>
      </c>
      <c r="BJ339" s="2942">
        <f t="shared" si="195"/>
        <v>0</v>
      </c>
      <c r="BK339" s="2942">
        <f t="shared" si="196"/>
        <v>0</v>
      </c>
      <c r="BL339" s="2942">
        <f t="shared" si="197"/>
        <v>0</v>
      </c>
      <c r="BM339" s="2942">
        <f t="shared" si="198"/>
        <v>0</v>
      </c>
      <c r="BN339" s="2942">
        <f t="shared" si="199"/>
        <v>0</v>
      </c>
      <c r="BO339" s="2942">
        <f t="shared" si="200"/>
        <v>0</v>
      </c>
      <c r="BP339" s="2942">
        <f t="shared" si="201"/>
        <v>0</v>
      </c>
      <c r="BQ339" s="2942">
        <f t="shared" si="202"/>
        <v>0</v>
      </c>
      <c r="BR339" s="2942">
        <f t="shared" si="203"/>
        <v>0</v>
      </c>
      <c r="BS339" s="2942">
        <f t="shared" si="204"/>
        <v>0</v>
      </c>
      <c r="BT339" s="2994">
        <f t="shared" si="205"/>
        <v>0</v>
      </c>
    </row>
    <row r="340" spans="1:72">
      <c r="A340" s="2939"/>
      <c r="B340" s="2940"/>
      <c r="C340" s="2940"/>
      <c r="D340" s="2941"/>
      <c r="E340" s="2942">
        <f t="shared" si="206"/>
        <v>0</v>
      </c>
      <c r="F340" s="2943"/>
      <c r="G340" s="2944">
        <f t="shared" si="181"/>
        <v>0</v>
      </c>
      <c r="H340" s="2945">
        <f t="shared" si="182"/>
        <v>0</v>
      </c>
      <c r="I340" s="2952"/>
      <c r="J340" s="2952"/>
      <c r="K340" s="2952"/>
      <c r="L340" s="2952"/>
      <c r="M340" s="2952"/>
      <c r="N340" s="2952"/>
      <c r="O340" s="2952"/>
      <c r="P340" s="2952"/>
      <c r="Q340" s="2952"/>
      <c r="R340" s="2952"/>
      <c r="S340" s="2952"/>
      <c r="T340" s="2952"/>
      <c r="U340" s="2952"/>
      <c r="V340" s="2952"/>
      <c r="W340" s="2952"/>
      <c r="X340" s="2952"/>
      <c r="Y340" s="2952"/>
      <c r="Z340" s="2952"/>
      <c r="AA340" s="2952"/>
      <c r="AB340" s="2952"/>
      <c r="AC340" s="2942">
        <f t="shared" si="183"/>
        <v>0</v>
      </c>
      <c r="AD340" s="2962"/>
      <c r="AE340" s="2962"/>
      <c r="AF340" s="2962"/>
      <c r="AG340" s="2962"/>
      <c r="AH340" s="2962"/>
      <c r="AI340" s="2962"/>
      <c r="AJ340" s="2962"/>
      <c r="AK340" s="2962"/>
      <c r="AL340" s="2962"/>
      <c r="AM340" s="2962"/>
      <c r="AN340" s="2962"/>
      <c r="AO340" s="2962"/>
      <c r="AP340" s="2962"/>
      <c r="AQ340" s="2962"/>
      <c r="AR340" s="2962"/>
      <c r="AS340" s="2962"/>
      <c r="AT340" s="2972"/>
      <c r="AU340" s="2973"/>
      <c r="AV340" s="1120">
        <f t="shared" si="207"/>
        <v>0</v>
      </c>
      <c r="AW340" s="1120">
        <f t="shared" si="208"/>
        <v>0</v>
      </c>
      <c r="AX340" s="1120">
        <f t="shared" si="209"/>
        <v>0</v>
      </c>
      <c r="AY340" s="2987">
        <f t="shared" si="184"/>
        <v>0</v>
      </c>
      <c r="AZ340" s="2942">
        <f t="shared" si="185"/>
        <v>0</v>
      </c>
      <c r="BA340" s="2942">
        <f t="shared" si="186"/>
        <v>0</v>
      </c>
      <c r="BB340" s="2942">
        <f t="shared" si="187"/>
        <v>0</v>
      </c>
      <c r="BC340" s="2942">
        <f t="shared" si="188"/>
        <v>0</v>
      </c>
      <c r="BD340" s="2942">
        <f t="shared" si="189"/>
        <v>0</v>
      </c>
      <c r="BE340" s="2942">
        <f t="shared" si="190"/>
        <v>0</v>
      </c>
      <c r="BF340" s="2942">
        <f t="shared" si="191"/>
        <v>0</v>
      </c>
      <c r="BG340" s="2942">
        <f t="shared" si="192"/>
        <v>0</v>
      </c>
      <c r="BH340" s="2942">
        <f t="shared" si="193"/>
        <v>0</v>
      </c>
      <c r="BI340" s="2942">
        <f t="shared" si="194"/>
        <v>0</v>
      </c>
      <c r="BJ340" s="2942">
        <f t="shared" si="195"/>
        <v>0</v>
      </c>
      <c r="BK340" s="2942">
        <f t="shared" si="196"/>
        <v>0</v>
      </c>
      <c r="BL340" s="2942">
        <f t="shared" si="197"/>
        <v>0</v>
      </c>
      <c r="BM340" s="2942">
        <f t="shared" si="198"/>
        <v>0</v>
      </c>
      <c r="BN340" s="2942">
        <f t="shared" si="199"/>
        <v>0</v>
      </c>
      <c r="BO340" s="2942">
        <f t="shared" si="200"/>
        <v>0</v>
      </c>
      <c r="BP340" s="2942">
        <f t="shared" si="201"/>
        <v>0</v>
      </c>
      <c r="BQ340" s="2942">
        <f t="shared" si="202"/>
        <v>0</v>
      </c>
      <c r="BR340" s="2942">
        <f t="shared" si="203"/>
        <v>0</v>
      </c>
      <c r="BS340" s="2942">
        <f t="shared" si="204"/>
        <v>0</v>
      </c>
      <c r="BT340" s="2994">
        <f t="shared" si="205"/>
        <v>0</v>
      </c>
    </row>
    <row r="341" spans="1:72">
      <c r="A341" s="2939"/>
      <c r="B341" s="2940"/>
      <c r="C341" s="2940"/>
      <c r="D341" s="2941"/>
      <c r="E341" s="2942">
        <f t="shared" si="206"/>
        <v>0</v>
      </c>
      <c r="F341" s="2943"/>
      <c r="G341" s="2944">
        <f t="shared" si="181"/>
        <v>0</v>
      </c>
      <c r="H341" s="2945">
        <f t="shared" si="182"/>
        <v>0</v>
      </c>
      <c r="I341" s="2952"/>
      <c r="J341" s="2952"/>
      <c r="K341" s="2952"/>
      <c r="L341" s="2952"/>
      <c r="M341" s="2952"/>
      <c r="N341" s="2952"/>
      <c r="O341" s="2952"/>
      <c r="P341" s="2952"/>
      <c r="Q341" s="2952"/>
      <c r="R341" s="2952"/>
      <c r="S341" s="2952"/>
      <c r="T341" s="2952"/>
      <c r="U341" s="2952"/>
      <c r="V341" s="2952"/>
      <c r="W341" s="2952"/>
      <c r="X341" s="2952"/>
      <c r="Y341" s="2952"/>
      <c r="Z341" s="2952"/>
      <c r="AA341" s="2952"/>
      <c r="AB341" s="2952"/>
      <c r="AC341" s="2942">
        <f t="shared" si="183"/>
        <v>0</v>
      </c>
      <c r="AD341" s="2962"/>
      <c r="AE341" s="2962"/>
      <c r="AF341" s="2962"/>
      <c r="AG341" s="2962"/>
      <c r="AH341" s="2962"/>
      <c r="AI341" s="2962"/>
      <c r="AJ341" s="2962"/>
      <c r="AK341" s="2962"/>
      <c r="AL341" s="2962"/>
      <c r="AM341" s="2962"/>
      <c r="AN341" s="2962"/>
      <c r="AO341" s="2962"/>
      <c r="AP341" s="2962"/>
      <c r="AQ341" s="2962"/>
      <c r="AR341" s="2962"/>
      <c r="AS341" s="2962"/>
      <c r="AT341" s="2972"/>
      <c r="AU341" s="2973"/>
      <c r="AV341" s="1120">
        <f t="shared" si="207"/>
        <v>0</v>
      </c>
      <c r="AW341" s="1120">
        <f t="shared" si="208"/>
        <v>0</v>
      </c>
      <c r="AX341" s="1120">
        <f t="shared" si="209"/>
        <v>0</v>
      </c>
      <c r="AY341" s="2987">
        <f t="shared" si="184"/>
        <v>0</v>
      </c>
      <c r="AZ341" s="2942">
        <f t="shared" si="185"/>
        <v>0</v>
      </c>
      <c r="BA341" s="2942">
        <f t="shared" si="186"/>
        <v>0</v>
      </c>
      <c r="BB341" s="2942">
        <f t="shared" si="187"/>
        <v>0</v>
      </c>
      <c r="BC341" s="2942">
        <f t="shared" si="188"/>
        <v>0</v>
      </c>
      <c r="BD341" s="2942">
        <f t="shared" si="189"/>
        <v>0</v>
      </c>
      <c r="BE341" s="2942">
        <f t="shared" si="190"/>
        <v>0</v>
      </c>
      <c r="BF341" s="2942">
        <f t="shared" si="191"/>
        <v>0</v>
      </c>
      <c r="BG341" s="2942">
        <f t="shared" si="192"/>
        <v>0</v>
      </c>
      <c r="BH341" s="2942">
        <f t="shared" si="193"/>
        <v>0</v>
      </c>
      <c r="BI341" s="2942">
        <f t="shared" si="194"/>
        <v>0</v>
      </c>
      <c r="BJ341" s="2942">
        <f t="shared" si="195"/>
        <v>0</v>
      </c>
      <c r="BK341" s="2942">
        <f t="shared" si="196"/>
        <v>0</v>
      </c>
      <c r="BL341" s="2942">
        <f t="shared" si="197"/>
        <v>0</v>
      </c>
      <c r="BM341" s="2942">
        <f t="shared" si="198"/>
        <v>0</v>
      </c>
      <c r="BN341" s="2942">
        <f t="shared" si="199"/>
        <v>0</v>
      </c>
      <c r="BO341" s="2942">
        <f t="shared" si="200"/>
        <v>0</v>
      </c>
      <c r="BP341" s="2942">
        <f t="shared" si="201"/>
        <v>0</v>
      </c>
      <c r="BQ341" s="2942">
        <f t="shared" si="202"/>
        <v>0</v>
      </c>
      <c r="BR341" s="2942">
        <f t="shared" si="203"/>
        <v>0</v>
      </c>
      <c r="BS341" s="2942">
        <f t="shared" si="204"/>
        <v>0</v>
      </c>
      <c r="BT341" s="2994">
        <f t="shared" si="205"/>
        <v>0</v>
      </c>
    </row>
    <row r="342" spans="1:72">
      <c r="A342" s="2939"/>
      <c r="B342" s="2940"/>
      <c r="C342" s="2940"/>
      <c r="D342" s="2941"/>
      <c r="E342" s="2942">
        <f t="shared" si="206"/>
        <v>0</v>
      </c>
      <c r="F342" s="2943"/>
      <c r="G342" s="2944">
        <f t="shared" si="181"/>
        <v>0</v>
      </c>
      <c r="H342" s="2945">
        <f t="shared" si="182"/>
        <v>0</v>
      </c>
      <c r="I342" s="2952"/>
      <c r="J342" s="2952"/>
      <c r="K342" s="2952"/>
      <c r="L342" s="2952"/>
      <c r="M342" s="2952"/>
      <c r="N342" s="2952"/>
      <c r="O342" s="2952"/>
      <c r="P342" s="2952"/>
      <c r="Q342" s="2952"/>
      <c r="R342" s="2952"/>
      <c r="S342" s="2952"/>
      <c r="T342" s="2952"/>
      <c r="U342" s="2952"/>
      <c r="V342" s="2952"/>
      <c r="W342" s="2952"/>
      <c r="X342" s="2952"/>
      <c r="Y342" s="2952"/>
      <c r="Z342" s="2952"/>
      <c r="AA342" s="2952"/>
      <c r="AB342" s="2952"/>
      <c r="AC342" s="2942">
        <f t="shared" si="183"/>
        <v>0</v>
      </c>
      <c r="AD342" s="2962"/>
      <c r="AE342" s="2962"/>
      <c r="AF342" s="2962"/>
      <c r="AG342" s="2962"/>
      <c r="AH342" s="2962"/>
      <c r="AI342" s="2962"/>
      <c r="AJ342" s="2962"/>
      <c r="AK342" s="2962"/>
      <c r="AL342" s="2962"/>
      <c r="AM342" s="2962"/>
      <c r="AN342" s="2962"/>
      <c r="AO342" s="2962"/>
      <c r="AP342" s="2962"/>
      <c r="AQ342" s="2962"/>
      <c r="AR342" s="2962"/>
      <c r="AS342" s="2962"/>
      <c r="AT342" s="2972"/>
      <c r="AU342" s="2973"/>
      <c r="AV342" s="1120">
        <f t="shared" si="207"/>
        <v>0</v>
      </c>
      <c r="AW342" s="1120">
        <f t="shared" si="208"/>
        <v>0</v>
      </c>
      <c r="AX342" s="1120">
        <f t="shared" si="209"/>
        <v>0</v>
      </c>
      <c r="AY342" s="2987">
        <f t="shared" si="184"/>
        <v>0</v>
      </c>
      <c r="AZ342" s="2942">
        <f t="shared" si="185"/>
        <v>0</v>
      </c>
      <c r="BA342" s="2942">
        <f t="shared" si="186"/>
        <v>0</v>
      </c>
      <c r="BB342" s="2942">
        <f t="shared" si="187"/>
        <v>0</v>
      </c>
      <c r="BC342" s="2942">
        <f t="shared" si="188"/>
        <v>0</v>
      </c>
      <c r="BD342" s="2942">
        <f t="shared" si="189"/>
        <v>0</v>
      </c>
      <c r="BE342" s="2942">
        <f t="shared" si="190"/>
        <v>0</v>
      </c>
      <c r="BF342" s="2942">
        <f t="shared" si="191"/>
        <v>0</v>
      </c>
      <c r="BG342" s="2942">
        <f t="shared" si="192"/>
        <v>0</v>
      </c>
      <c r="BH342" s="2942">
        <f t="shared" si="193"/>
        <v>0</v>
      </c>
      <c r="BI342" s="2942">
        <f t="shared" si="194"/>
        <v>0</v>
      </c>
      <c r="BJ342" s="2942">
        <f t="shared" si="195"/>
        <v>0</v>
      </c>
      <c r="BK342" s="2942">
        <f t="shared" si="196"/>
        <v>0</v>
      </c>
      <c r="BL342" s="2942">
        <f t="shared" si="197"/>
        <v>0</v>
      </c>
      <c r="BM342" s="2942">
        <f t="shared" si="198"/>
        <v>0</v>
      </c>
      <c r="BN342" s="2942">
        <f t="shared" si="199"/>
        <v>0</v>
      </c>
      <c r="BO342" s="2942">
        <f t="shared" si="200"/>
        <v>0</v>
      </c>
      <c r="BP342" s="2942">
        <f t="shared" si="201"/>
        <v>0</v>
      </c>
      <c r="BQ342" s="2942">
        <f t="shared" si="202"/>
        <v>0</v>
      </c>
      <c r="BR342" s="2942">
        <f t="shared" si="203"/>
        <v>0</v>
      </c>
      <c r="BS342" s="2942">
        <f t="shared" si="204"/>
        <v>0</v>
      </c>
      <c r="BT342" s="2994">
        <f t="shared" si="205"/>
        <v>0</v>
      </c>
    </row>
    <row r="343" spans="1:72">
      <c r="A343" s="2939"/>
      <c r="B343" s="2940"/>
      <c r="C343" s="2940"/>
      <c r="D343" s="2941"/>
      <c r="E343" s="2942">
        <f t="shared" si="206"/>
        <v>0</v>
      </c>
      <c r="F343" s="2943"/>
      <c r="G343" s="2944">
        <f t="shared" si="181"/>
        <v>0</v>
      </c>
      <c r="H343" s="2945">
        <f t="shared" si="182"/>
        <v>0</v>
      </c>
      <c r="I343" s="2952"/>
      <c r="J343" s="2952"/>
      <c r="K343" s="2952"/>
      <c r="L343" s="2952"/>
      <c r="M343" s="2952"/>
      <c r="N343" s="2952"/>
      <c r="O343" s="2952"/>
      <c r="P343" s="2952"/>
      <c r="Q343" s="2952"/>
      <c r="R343" s="2952"/>
      <c r="S343" s="2952"/>
      <c r="T343" s="2952"/>
      <c r="U343" s="2952"/>
      <c r="V343" s="2952"/>
      <c r="W343" s="2952"/>
      <c r="X343" s="2952"/>
      <c r="Y343" s="2952"/>
      <c r="Z343" s="2952"/>
      <c r="AA343" s="2952"/>
      <c r="AB343" s="2952"/>
      <c r="AC343" s="2942">
        <f t="shared" si="183"/>
        <v>0</v>
      </c>
      <c r="AD343" s="2962"/>
      <c r="AE343" s="2962"/>
      <c r="AF343" s="2962"/>
      <c r="AG343" s="2962"/>
      <c r="AH343" s="2962"/>
      <c r="AI343" s="2962"/>
      <c r="AJ343" s="2962"/>
      <c r="AK343" s="2962"/>
      <c r="AL343" s="2962"/>
      <c r="AM343" s="2962"/>
      <c r="AN343" s="2962"/>
      <c r="AO343" s="2962"/>
      <c r="AP343" s="2962"/>
      <c r="AQ343" s="2962"/>
      <c r="AR343" s="2962"/>
      <c r="AS343" s="2962"/>
      <c r="AT343" s="2972"/>
      <c r="AU343" s="2973"/>
      <c r="AV343" s="1120">
        <f t="shared" si="207"/>
        <v>0</v>
      </c>
      <c r="AW343" s="1120">
        <f t="shared" si="208"/>
        <v>0</v>
      </c>
      <c r="AX343" s="1120">
        <f t="shared" si="209"/>
        <v>0</v>
      </c>
      <c r="AY343" s="2987">
        <f t="shared" si="184"/>
        <v>0</v>
      </c>
      <c r="AZ343" s="2942">
        <f t="shared" si="185"/>
        <v>0</v>
      </c>
      <c r="BA343" s="2942">
        <f t="shared" si="186"/>
        <v>0</v>
      </c>
      <c r="BB343" s="2942">
        <f t="shared" si="187"/>
        <v>0</v>
      </c>
      <c r="BC343" s="2942">
        <f t="shared" si="188"/>
        <v>0</v>
      </c>
      <c r="BD343" s="2942">
        <f t="shared" si="189"/>
        <v>0</v>
      </c>
      <c r="BE343" s="2942">
        <f t="shared" si="190"/>
        <v>0</v>
      </c>
      <c r="BF343" s="2942">
        <f t="shared" si="191"/>
        <v>0</v>
      </c>
      <c r="BG343" s="2942">
        <f t="shared" si="192"/>
        <v>0</v>
      </c>
      <c r="BH343" s="2942">
        <f t="shared" si="193"/>
        <v>0</v>
      </c>
      <c r="BI343" s="2942">
        <f t="shared" si="194"/>
        <v>0</v>
      </c>
      <c r="BJ343" s="2942">
        <f t="shared" si="195"/>
        <v>0</v>
      </c>
      <c r="BK343" s="2942">
        <f t="shared" si="196"/>
        <v>0</v>
      </c>
      <c r="BL343" s="2942">
        <f t="shared" si="197"/>
        <v>0</v>
      </c>
      <c r="BM343" s="2942">
        <f t="shared" si="198"/>
        <v>0</v>
      </c>
      <c r="BN343" s="2942">
        <f t="shared" si="199"/>
        <v>0</v>
      </c>
      <c r="BO343" s="2942">
        <f t="shared" si="200"/>
        <v>0</v>
      </c>
      <c r="BP343" s="2942">
        <f t="shared" si="201"/>
        <v>0</v>
      </c>
      <c r="BQ343" s="2942">
        <f t="shared" si="202"/>
        <v>0</v>
      </c>
      <c r="BR343" s="2942">
        <f t="shared" si="203"/>
        <v>0</v>
      </c>
      <c r="BS343" s="2942">
        <f t="shared" si="204"/>
        <v>0</v>
      </c>
      <c r="BT343" s="2994">
        <f t="shared" si="205"/>
        <v>0</v>
      </c>
    </row>
    <row r="344" spans="1:72">
      <c r="A344" s="2939"/>
      <c r="B344" s="2940"/>
      <c r="C344" s="2940"/>
      <c r="D344" s="2941"/>
      <c r="E344" s="2942">
        <f t="shared" si="206"/>
        <v>0</v>
      </c>
      <c r="F344" s="2943"/>
      <c r="G344" s="2944">
        <f t="shared" si="181"/>
        <v>0</v>
      </c>
      <c r="H344" s="2945">
        <f t="shared" si="182"/>
        <v>0</v>
      </c>
      <c r="I344" s="2952"/>
      <c r="J344" s="2952"/>
      <c r="K344" s="2952"/>
      <c r="L344" s="2952"/>
      <c r="M344" s="2952"/>
      <c r="N344" s="2952"/>
      <c r="O344" s="2952"/>
      <c r="P344" s="2952"/>
      <c r="Q344" s="2952"/>
      <c r="R344" s="2952"/>
      <c r="S344" s="2952"/>
      <c r="T344" s="2952"/>
      <c r="U344" s="2952"/>
      <c r="V344" s="2952"/>
      <c r="W344" s="2952"/>
      <c r="X344" s="2952"/>
      <c r="Y344" s="2952"/>
      <c r="Z344" s="2952"/>
      <c r="AA344" s="2952"/>
      <c r="AB344" s="2952"/>
      <c r="AC344" s="2942">
        <f t="shared" si="183"/>
        <v>0</v>
      </c>
      <c r="AD344" s="2962"/>
      <c r="AE344" s="2962"/>
      <c r="AF344" s="2962"/>
      <c r="AG344" s="2962"/>
      <c r="AH344" s="2962"/>
      <c r="AI344" s="2962"/>
      <c r="AJ344" s="2962"/>
      <c r="AK344" s="2962"/>
      <c r="AL344" s="2962"/>
      <c r="AM344" s="2962"/>
      <c r="AN344" s="2962"/>
      <c r="AO344" s="2962"/>
      <c r="AP344" s="2962"/>
      <c r="AQ344" s="2962"/>
      <c r="AR344" s="2962"/>
      <c r="AS344" s="2962"/>
      <c r="AT344" s="2972"/>
      <c r="AU344" s="2973"/>
      <c r="AV344" s="1120">
        <f t="shared" si="207"/>
        <v>0</v>
      </c>
      <c r="AW344" s="1120">
        <f t="shared" si="208"/>
        <v>0</v>
      </c>
      <c r="AX344" s="1120">
        <f t="shared" si="209"/>
        <v>0</v>
      </c>
      <c r="AY344" s="2987">
        <f t="shared" si="184"/>
        <v>0</v>
      </c>
      <c r="AZ344" s="2942">
        <f t="shared" si="185"/>
        <v>0</v>
      </c>
      <c r="BA344" s="2942">
        <f t="shared" si="186"/>
        <v>0</v>
      </c>
      <c r="BB344" s="2942">
        <f t="shared" si="187"/>
        <v>0</v>
      </c>
      <c r="BC344" s="2942">
        <f t="shared" si="188"/>
        <v>0</v>
      </c>
      <c r="BD344" s="2942">
        <f t="shared" si="189"/>
        <v>0</v>
      </c>
      <c r="BE344" s="2942">
        <f t="shared" si="190"/>
        <v>0</v>
      </c>
      <c r="BF344" s="2942">
        <f t="shared" si="191"/>
        <v>0</v>
      </c>
      <c r="BG344" s="2942">
        <f t="shared" si="192"/>
        <v>0</v>
      </c>
      <c r="BH344" s="2942">
        <f t="shared" si="193"/>
        <v>0</v>
      </c>
      <c r="BI344" s="2942">
        <f t="shared" si="194"/>
        <v>0</v>
      </c>
      <c r="BJ344" s="2942">
        <f t="shared" si="195"/>
        <v>0</v>
      </c>
      <c r="BK344" s="2942">
        <f t="shared" si="196"/>
        <v>0</v>
      </c>
      <c r="BL344" s="2942">
        <f t="shared" si="197"/>
        <v>0</v>
      </c>
      <c r="BM344" s="2942">
        <f t="shared" si="198"/>
        <v>0</v>
      </c>
      <c r="BN344" s="2942">
        <f t="shared" si="199"/>
        <v>0</v>
      </c>
      <c r="BO344" s="2942">
        <f t="shared" si="200"/>
        <v>0</v>
      </c>
      <c r="BP344" s="2942">
        <f t="shared" si="201"/>
        <v>0</v>
      </c>
      <c r="BQ344" s="2942">
        <f t="shared" si="202"/>
        <v>0</v>
      </c>
      <c r="BR344" s="2942">
        <f t="shared" si="203"/>
        <v>0</v>
      </c>
      <c r="BS344" s="2942">
        <f t="shared" si="204"/>
        <v>0</v>
      </c>
      <c r="BT344" s="2994">
        <f t="shared" si="205"/>
        <v>0</v>
      </c>
    </row>
    <row r="345" spans="1:72">
      <c r="A345" s="2939"/>
      <c r="B345" s="2940"/>
      <c r="C345" s="2940"/>
      <c r="D345" s="2941"/>
      <c r="E345" s="2942">
        <f t="shared" si="206"/>
        <v>0</v>
      </c>
      <c r="F345" s="2943"/>
      <c r="G345" s="2944">
        <f t="shared" si="181"/>
        <v>0</v>
      </c>
      <c r="H345" s="2945">
        <f t="shared" si="182"/>
        <v>0</v>
      </c>
      <c r="I345" s="2952"/>
      <c r="J345" s="2952"/>
      <c r="K345" s="2952"/>
      <c r="L345" s="2952"/>
      <c r="M345" s="2952"/>
      <c r="N345" s="2952"/>
      <c r="O345" s="2952"/>
      <c r="P345" s="2952"/>
      <c r="Q345" s="2952"/>
      <c r="R345" s="2952"/>
      <c r="S345" s="2952"/>
      <c r="T345" s="2952"/>
      <c r="U345" s="2952"/>
      <c r="V345" s="2952"/>
      <c r="W345" s="2952"/>
      <c r="X345" s="2952"/>
      <c r="Y345" s="2952"/>
      <c r="Z345" s="2952"/>
      <c r="AA345" s="2952"/>
      <c r="AB345" s="2952"/>
      <c r="AC345" s="2942">
        <f t="shared" si="183"/>
        <v>0</v>
      </c>
      <c r="AD345" s="2962"/>
      <c r="AE345" s="2962"/>
      <c r="AF345" s="2962"/>
      <c r="AG345" s="2962"/>
      <c r="AH345" s="2962"/>
      <c r="AI345" s="2962"/>
      <c r="AJ345" s="2962"/>
      <c r="AK345" s="2962"/>
      <c r="AL345" s="2962"/>
      <c r="AM345" s="2962"/>
      <c r="AN345" s="2962"/>
      <c r="AO345" s="2962"/>
      <c r="AP345" s="2962"/>
      <c r="AQ345" s="2962"/>
      <c r="AR345" s="2962"/>
      <c r="AS345" s="2962"/>
      <c r="AT345" s="2972"/>
      <c r="AU345" s="2973"/>
      <c r="AV345" s="1120">
        <f t="shared" si="207"/>
        <v>0</v>
      </c>
      <c r="AW345" s="1120">
        <f t="shared" si="208"/>
        <v>0</v>
      </c>
      <c r="AX345" s="1120">
        <f t="shared" si="209"/>
        <v>0</v>
      </c>
      <c r="AY345" s="2987">
        <f t="shared" si="184"/>
        <v>0</v>
      </c>
      <c r="AZ345" s="2942">
        <f t="shared" si="185"/>
        <v>0</v>
      </c>
      <c r="BA345" s="2942">
        <f t="shared" si="186"/>
        <v>0</v>
      </c>
      <c r="BB345" s="2942">
        <f t="shared" si="187"/>
        <v>0</v>
      </c>
      <c r="BC345" s="2942">
        <f t="shared" si="188"/>
        <v>0</v>
      </c>
      <c r="BD345" s="2942">
        <f t="shared" si="189"/>
        <v>0</v>
      </c>
      <c r="BE345" s="2942">
        <f t="shared" si="190"/>
        <v>0</v>
      </c>
      <c r="BF345" s="2942">
        <f t="shared" si="191"/>
        <v>0</v>
      </c>
      <c r="BG345" s="2942">
        <f t="shared" si="192"/>
        <v>0</v>
      </c>
      <c r="BH345" s="2942">
        <f t="shared" si="193"/>
        <v>0</v>
      </c>
      <c r="BI345" s="2942">
        <f t="shared" si="194"/>
        <v>0</v>
      </c>
      <c r="BJ345" s="2942">
        <f t="shared" si="195"/>
        <v>0</v>
      </c>
      <c r="BK345" s="2942">
        <f t="shared" si="196"/>
        <v>0</v>
      </c>
      <c r="BL345" s="2942">
        <f t="shared" si="197"/>
        <v>0</v>
      </c>
      <c r="BM345" s="2942">
        <f t="shared" si="198"/>
        <v>0</v>
      </c>
      <c r="BN345" s="2942">
        <f t="shared" si="199"/>
        <v>0</v>
      </c>
      <c r="BO345" s="2942">
        <f t="shared" si="200"/>
        <v>0</v>
      </c>
      <c r="BP345" s="2942">
        <f t="shared" si="201"/>
        <v>0</v>
      </c>
      <c r="BQ345" s="2942">
        <f t="shared" si="202"/>
        <v>0</v>
      </c>
      <c r="BR345" s="2942">
        <f t="shared" si="203"/>
        <v>0</v>
      </c>
      <c r="BS345" s="2942">
        <f t="shared" si="204"/>
        <v>0</v>
      </c>
      <c r="BT345" s="2994">
        <f t="shared" si="205"/>
        <v>0</v>
      </c>
    </row>
    <row r="346" spans="1:72">
      <c r="A346" s="2939"/>
      <c r="B346" s="2940"/>
      <c r="C346" s="2940"/>
      <c r="D346" s="2941"/>
      <c r="E346" s="2942">
        <f t="shared" si="206"/>
        <v>0</v>
      </c>
      <c r="F346" s="2943"/>
      <c r="G346" s="2944">
        <f t="shared" si="181"/>
        <v>0</v>
      </c>
      <c r="H346" s="2945">
        <f t="shared" si="182"/>
        <v>0</v>
      </c>
      <c r="I346" s="2952"/>
      <c r="J346" s="2952"/>
      <c r="K346" s="2952"/>
      <c r="L346" s="2952"/>
      <c r="M346" s="2952"/>
      <c r="N346" s="2952"/>
      <c r="O346" s="2952"/>
      <c r="P346" s="2952"/>
      <c r="Q346" s="2952"/>
      <c r="R346" s="2952"/>
      <c r="S346" s="2952"/>
      <c r="T346" s="2952"/>
      <c r="U346" s="2952"/>
      <c r="V346" s="2952"/>
      <c r="W346" s="2952"/>
      <c r="X346" s="2952"/>
      <c r="Y346" s="2952"/>
      <c r="Z346" s="2952"/>
      <c r="AA346" s="2952"/>
      <c r="AB346" s="2952"/>
      <c r="AC346" s="2942">
        <f t="shared" si="183"/>
        <v>0</v>
      </c>
      <c r="AD346" s="2962"/>
      <c r="AE346" s="2962"/>
      <c r="AF346" s="2962"/>
      <c r="AG346" s="2962"/>
      <c r="AH346" s="2962"/>
      <c r="AI346" s="2962"/>
      <c r="AJ346" s="2962"/>
      <c r="AK346" s="2962"/>
      <c r="AL346" s="2962"/>
      <c r="AM346" s="2962"/>
      <c r="AN346" s="2962"/>
      <c r="AO346" s="2962"/>
      <c r="AP346" s="2962"/>
      <c r="AQ346" s="2962"/>
      <c r="AR346" s="2962"/>
      <c r="AS346" s="2962"/>
      <c r="AT346" s="2972"/>
      <c r="AU346" s="2973"/>
      <c r="AV346" s="1120">
        <f t="shared" si="207"/>
        <v>0</v>
      </c>
      <c r="AW346" s="1120">
        <f t="shared" si="208"/>
        <v>0</v>
      </c>
      <c r="AX346" s="1120">
        <f t="shared" si="209"/>
        <v>0</v>
      </c>
      <c r="AY346" s="2987">
        <f t="shared" si="184"/>
        <v>0</v>
      </c>
      <c r="AZ346" s="2942">
        <f t="shared" si="185"/>
        <v>0</v>
      </c>
      <c r="BA346" s="2942">
        <f t="shared" si="186"/>
        <v>0</v>
      </c>
      <c r="BB346" s="2942">
        <f t="shared" si="187"/>
        <v>0</v>
      </c>
      <c r="BC346" s="2942">
        <f t="shared" si="188"/>
        <v>0</v>
      </c>
      <c r="BD346" s="2942">
        <f t="shared" si="189"/>
        <v>0</v>
      </c>
      <c r="BE346" s="2942">
        <f t="shared" si="190"/>
        <v>0</v>
      </c>
      <c r="BF346" s="2942">
        <f t="shared" si="191"/>
        <v>0</v>
      </c>
      <c r="BG346" s="2942">
        <f t="shared" si="192"/>
        <v>0</v>
      </c>
      <c r="BH346" s="2942">
        <f t="shared" si="193"/>
        <v>0</v>
      </c>
      <c r="BI346" s="2942">
        <f t="shared" si="194"/>
        <v>0</v>
      </c>
      <c r="BJ346" s="2942">
        <f t="shared" si="195"/>
        <v>0</v>
      </c>
      <c r="BK346" s="2942">
        <f t="shared" si="196"/>
        <v>0</v>
      </c>
      <c r="BL346" s="2942">
        <f t="shared" si="197"/>
        <v>0</v>
      </c>
      <c r="BM346" s="2942">
        <f t="shared" si="198"/>
        <v>0</v>
      </c>
      <c r="BN346" s="2942">
        <f t="shared" si="199"/>
        <v>0</v>
      </c>
      <c r="BO346" s="2942">
        <f t="shared" si="200"/>
        <v>0</v>
      </c>
      <c r="BP346" s="2942">
        <f t="shared" si="201"/>
        <v>0</v>
      </c>
      <c r="BQ346" s="2942">
        <f t="shared" si="202"/>
        <v>0</v>
      </c>
      <c r="BR346" s="2942">
        <f t="shared" si="203"/>
        <v>0</v>
      </c>
      <c r="BS346" s="2942">
        <f t="shared" si="204"/>
        <v>0</v>
      </c>
      <c r="BT346" s="2994">
        <f t="shared" si="205"/>
        <v>0</v>
      </c>
    </row>
    <row r="347" spans="1:72">
      <c r="A347" s="2939"/>
      <c r="B347" s="2940"/>
      <c r="C347" s="2940"/>
      <c r="D347" s="2941"/>
      <c r="E347" s="2942">
        <f t="shared" si="206"/>
        <v>0</v>
      </c>
      <c r="F347" s="2943"/>
      <c r="G347" s="2944">
        <f t="shared" si="181"/>
        <v>0</v>
      </c>
      <c r="H347" s="2945">
        <f t="shared" si="182"/>
        <v>0</v>
      </c>
      <c r="I347" s="2952"/>
      <c r="J347" s="2952"/>
      <c r="K347" s="2952"/>
      <c r="L347" s="2952"/>
      <c r="M347" s="2952"/>
      <c r="N347" s="2952"/>
      <c r="O347" s="2952"/>
      <c r="P347" s="2952"/>
      <c r="Q347" s="2952"/>
      <c r="R347" s="2952"/>
      <c r="S347" s="2952"/>
      <c r="T347" s="2952"/>
      <c r="U347" s="2952"/>
      <c r="V347" s="2952"/>
      <c r="W347" s="2952"/>
      <c r="X347" s="2952"/>
      <c r="Y347" s="2952"/>
      <c r="Z347" s="2952"/>
      <c r="AA347" s="2952"/>
      <c r="AB347" s="2952"/>
      <c r="AC347" s="2942">
        <f t="shared" si="183"/>
        <v>0</v>
      </c>
      <c r="AD347" s="2962"/>
      <c r="AE347" s="2962"/>
      <c r="AF347" s="2962"/>
      <c r="AG347" s="2962"/>
      <c r="AH347" s="2962"/>
      <c r="AI347" s="2962"/>
      <c r="AJ347" s="2962"/>
      <c r="AK347" s="2962"/>
      <c r="AL347" s="2962"/>
      <c r="AM347" s="2962"/>
      <c r="AN347" s="2962"/>
      <c r="AO347" s="2962"/>
      <c r="AP347" s="2962"/>
      <c r="AQ347" s="2962"/>
      <c r="AR347" s="2962"/>
      <c r="AS347" s="2962"/>
      <c r="AT347" s="2972"/>
      <c r="AU347" s="2973"/>
      <c r="AV347" s="1120">
        <f t="shared" si="207"/>
        <v>0</v>
      </c>
      <c r="AW347" s="1120">
        <f t="shared" si="208"/>
        <v>0</v>
      </c>
      <c r="AX347" s="1120">
        <f t="shared" si="209"/>
        <v>0</v>
      </c>
      <c r="AY347" s="2987">
        <f t="shared" si="184"/>
        <v>0</v>
      </c>
      <c r="AZ347" s="2942">
        <f t="shared" si="185"/>
        <v>0</v>
      </c>
      <c r="BA347" s="2942">
        <f t="shared" si="186"/>
        <v>0</v>
      </c>
      <c r="BB347" s="2942">
        <f t="shared" si="187"/>
        <v>0</v>
      </c>
      <c r="BC347" s="2942">
        <f t="shared" si="188"/>
        <v>0</v>
      </c>
      <c r="BD347" s="2942">
        <f t="shared" si="189"/>
        <v>0</v>
      </c>
      <c r="BE347" s="2942">
        <f t="shared" si="190"/>
        <v>0</v>
      </c>
      <c r="BF347" s="2942">
        <f t="shared" si="191"/>
        <v>0</v>
      </c>
      <c r="BG347" s="2942">
        <f t="shared" si="192"/>
        <v>0</v>
      </c>
      <c r="BH347" s="2942">
        <f t="shared" si="193"/>
        <v>0</v>
      </c>
      <c r="BI347" s="2942">
        <f t="shared" si="194"/>
        <v>0</v>
      </c>
      <c r="BJ347" s="2942">
        <f t="shared" si="195"/>
        <v>0</v>
      </c>
      <c r="BK347" s="2942">
        <f t="shared" si="196"/>
        <v>0</v>
      </c>
      <c r="BL347" s="2942">
        <f t="shared" si="197"/>
        <v>0</v>
      </c>
      <c r="BM347" s="2942">
        <f t="shared" si="198"/>
        <v>0</v>
      </c>
      <c r="BN347" s="2942">
        <f t="shared" si="199"/>
        <v>0</v>
      </c>
      <c r="BO347" s="2942">
        <f t="shared" si="200"/>
        <v>0</v>
      </c>
      <c r="BP347" s="2942">
        <f t="shared" si="201"/>
        <v>0</v>
      </c>
      <c r="BQ347" s="2942">
        <f t="shared" si="202"/>
        <v>0</v>
      </c>
      <c r="BR347" s="2942">
        <f t="shared" si="203"/>
        <v>0</v>
      </c>
      <c r="BS347" s="2942">
        <f t="shared" si="204"/>
        <v>0</v>
      </c>
      <c r="BT347" s="2994">
        <f t="shared" si="205"/>
        <v>0</v>
      </c>
    </row>
    <row r="348" spans="1:72">
      <c r="A348" s="2939"/>
      <c r="B348" s="2940"/>
      <c r="C348" s="2940"/>
      <c r="D348" s="2941"/>
      <c r="E348" s="2942">
        <f t="shared" si="206"/>
        <v>0</v>
      </c>
      <c r="F348" s="2943"/>
      <c r="G348" s="2944">
        <f t="shared" si="181"/>
        <v>0</v>
      </c>
      <c r="H348" s="2945">
        <f t="shared" si="182"/>
        <v>0</v>
      </c>
      <c r="I348" s="2952"/>
      <c r="J348" s="2952"/>
      <c r="K348" s="2952"/>
      <c r="L348" s="2952"/>
      <c r="M348" s="2952"/>
      <c r="N348" s="2952"/>
      <c r="O348" s="2952"/>
      <c r="P348" s="2952"/>
      <c r="Q348" s="2952"/>
      <c r="R348" s="2952"/>
      <c r="S348" s="2952"/>
      <c r="T348" s="2952"/>
      <c r="U348" s="2952"/>
      <c r="V348" s="2952"/>
      <c r="W348" s="2952"/>
      <c r="X348" s="2952"/>
      <c r="Y348" s="2952"/>
      <c r="Z348" s="2952"/>
      <c r="AA348" s="2952"/>
      <c r="AB348" s="2952"/>
      <c r="AC348" s="2942">
        <f t="shared" si="183"/>
        <v>0</v>
      </c>
      <c r="AD348" s="2962"/>
      <c r="AE348" s="2962"/>
      <c r="AF348" s="2962"/>
      <c r="AG348" s="2962"/>
      <c r="AH348" s="2962"/>
      <c r="AI348" s="2962"/>
      <c r="AJ348" s="2962"/>
      <c r="AK348" s="2962"/>
      <c r="AL348" s="2962"/>
      <c r="AM348" s="2962"/>
      <c r="AN348" s="2962"/>
      <c r="AO348" s="2962"/>
      <c r="AP348" s="2962"/>
      <c r="AQ348" s="2962"/>
      <c r="AR348" s="2962"/>
      <c r="AS348" s="2962"/>
      <c r="AT348" s="2972"/>
      <c r="AU348" s="2973"/>
      <c r="AV348" s="1120">
        <f t="shared" si="207"/>
        <v>0</v>
      </c>
      <c r="AW348" s="1120">
        <f t="shared" si="208"/>
        <v>0</v>
      </c>
      <c r="AX348" s="1120">
        <f t="shared" si="209"/>
        <v>0</v>
      </c>
      <c r="AY348" s="2987">
        <f t="shared" si="184"/>
        <v>0</v>
      </c>
      <c r="AZ348" s="2942">
        <f t="shared" si="185"/>
        <v>0</v>
      </c>
      <c r="BA348" s="2942">
        <f t="shared" si="186"/>
        <v>0</v>
      </c>
      <c r="BB348" s="2942">
        <f t="shared" si="187"/>
        <v>0</v>
      </c>
      <c r="BC348" s="2942">
        <f t="shared" si="188"/>
        <v>0</v>
      </c>
      <c r="BD348" s="2942">
        <f t="shared" si="189"/>
        <v>0</v>
      </c>
      <c r="BE348" s="2942">
        <f t="shared" si="190"/>
        <v>0</v>
      </c>
      <c r="BF348" s="2942">
        <f t="shared" si="191"/>
        <v>0</v>
      </c>
      <c r="BG348" s="2942">
        <f t="shared" si="192"/>
        <v>0</v>
      </c>
      <c r="BH348" s="2942">
        <f t="shared" si="193"/>
        <v>0</v>
      </c>
      <c r="BI348" s="2942">
        <f t="shared" si="194"/>
        <v>0</v>
      </c>
      <c r="BJ348" s="2942">
        <f t="shared" si="195"/>
        <v>0</v>
      </c>
      <c r="BK348" s="2942">
        <f t="shared" si="196"/>
        <v>0</v>
      </c>
      <c r="BL348" s="2942">
        <f t="shared" si="197"/>
        <v>0</v>
      </c>
      <c r="BM348" s="2942">
        <f t="shared" si="198"/>
        <v>0</v>
      </c>
      <c r="BN348" s="2942">
        <f t="shared" si="199"/>
        <v>0</v>
      </c>
      <c r="BO348" s="2942">
        <f t="shared" si="200"/>
        <v>0</v>
      </c>
      <c r="BP348" s="2942">
        <f t="shared" si="201"/>
        <v>0</v>
      </c>
      <c r="BQ348" s="2942">
        <f t="shared" si="202"/>
        <v>0</v>
      </c>
      <c r="BR348" s="2942">
        <f t="shared" si="203"/>
        <v>0</v>
      </c>
      <c r="BS348" s="2942">
        <f t="shared" si="204"/>
        <v>0</v>
      </c>
      <c r="BT348" s="2994">
        <f t="shared" si="205"/>
        <v>0</v>
      </c>
    </row>
    <row r="349" spans="1:72">
      <c r="A349" s="2939"/>
      <c r="B349" s="2940"/>
      <c r="C349" s="2940"/>
      <c r="D349" s="2941"/>
      <c r="E349" s="2942">
        <f t="shared" si="206"/>
        <v>0</v>
      </c>
      <c r="F349" s="2943"/>
      <c r="G349" s="2944">
        <f t="shared" si="181"/>
        <v>0</v>
      </c>
      <c r="H349" s="2945">
        <f t="shared" si="182"/>
        <v>0</v>
      </c>
      <c r="I349" s="2952"/>
      <c r="J349" s="2952"/>
      <c r="K349" s="2952"/>
      <c r="L349" s="2952"/>
      <c r="M349" s="2952"/>
      <c r="N349" s="2952"/>
      <c r="O349" s="2952"/>
      <c r="P349" s="2952"/>
      <c r="Q349" s="2952"/>
      <c r="R349" s="2952"/>
      <c r="S349" s="2952"/>
      <c r="T349" s="2952"/>
      <c r="U349" s="2952"/>
      <c r="V349" s="2952"/>
      <c r="W349" s="2952"/>
      <c r="X349" s="2952"/>
      <c r="Y349" s="2952"/>
      <c r="Z349" s="2952"/>
      <c r="AA349" s="2952"/>
      <c r="AB349" s="2952"/>
      <c r="AC349" s="2942">
        <f t="shared" si="183"/>
        <v>0</v>
      </c>
      <c r="AD349" s="2962"/>
      <c r="AE349" s="2962"/>
      <c r="AF349" s="2962"/>
      <c r="AG349" s="2962"/>
      <c r="AH349" s="2962"/>
      <c r="AI349" s="2962"/>
      <c r="AJ349" s="2962"/>
      <c r="AK349" s="2962"/>
      <c r="AL349" s="2962"/>
      <c r="AM349" s="2962"/>
      <c r="AN349" s="2962"/>
      <c r="AO349" s="2962"/>
      <c r="AP349" s="2962"/>
      <c r="AQ349" s="2962"/>
      <c r="AR349" s="2962"/>
      <c r="AS349" s="2962"/>
      <c r="AT349" s="2972"/>
      <c r="AU349" s="2973"/>
      <c r="AV349" s="1120">
        <f t="shared" si="207"/>
        <v>0</v>
      </c>
      <c r="AW349" s="1120">
        <f t="shared" si="208"/>
        <v>0</v>
      </c>
      <c r="AX349" s="1120">
        <f t="shared" si="209"/>
        <v>0</v>
      </c>
      <c r="AY349" s="2987">
        <f t="shared" si="184"/>
        <v>0</v>
      </c>
      <c r="AZ349" s="2942">
        <f t="shared" si="185"/>
        <v>0</v>
      </c>
      <c r="BA349" s="2942">
        <f t="shared" si="186"/>
        <v>0</v>
      </c>
      <c r="BB349" s="2942">
        <f t="shared" si="187"/>
        <v>0</v>
      </c>
      <c r="BC349" s="2942">
        <f t="shared" si="188"/>
        <v>0</v>
      </c>
      <c r="BD349" s="2942">
        <f t="shared" si="189"/>
        <v>0</v>
      </c>
      <c r="BE349" s="2942">
        <f t="shared" si="190"/>
        <v>0</v>
      </c>
      <c r="BF349" s="2942">
        <f t="shared" si="191"/>
        <v>0</v>
      </c>
      <c r="BG349" s="2942">
        <f t="shared" si="192"/>
        <v>0</v>
      </c>
      <c r="BH349" s="2942">
        <f t="shared" si="193"/>
        <v>0</v>
      </c>
      <c r="BI349" s="2942">
        <f t="shared" si="194"/>
        <v>0</v>
      </c>
      <c r="BJ349" s="2942">
        <f t="shared" si="195"/>
        <v>0</v>
      </c>
      <c r="BK349" s="2942">
        <f t="shared" si="196"/>
        <v>0</v>
      </c>
      <c r="BL349" s="2942">
        <f t="shared" si="197"/>
        <v>0</v>
      </c>
      <c r="BM349" s="2942">
        <f t="shared" si="198"/>
        <v>0</v>
      </c>
      <c r="BN349" s="2942">
        <f t="shared" si="199"/>
        <v>0</v>
      </c>
      <c r="BO349" s="2942">
        <f t="shared" si="200"/>
        <v>0</v>
      </c>
      <c r="BP349" s="2942">
        <f t="shared" si="201"/>
        <v>0</v>
      </c>
      <c r="BQ349" s="2942">
        <f t="shared" si="202"/>
        <v>0</v>
      </c>
      <c r="BR349" s="2942">
        <f t="shared" si="203"/>
        <v>0</v>
      </c>
      <c r="BS349" s="2942">
        <f t="shared" si="204"/>
        <v>0</v>
      </c>
      <c r="BT349" s="2994">
        <f t="shared" si="205"/>
        <v>0</v>
      </c>
    </row>
    <row r="350" spans="1:72">
      <c r="A350" s="2939"/>
      <c r="B350" s="2940"/>
      <c r="C350" s="2940"/>
      <c r="D350" s="2941"/>
      <c r="E350" s="2942">
        <f t="shared" si="206"/>
        <v>0</v>
      </c>
      <c r="F350" s="2943"/>
      <c r="G350" s="2944">
        <f t="shared" si="181"/>
        <v>0</v>
      </c>
      <c r="H350" s="2945">
        <f t="shared" si="182"/>
        <v>0</v>
      </c>
      <c r="I350" s="2952"/>
      <c r="J350" s="2952"/>
      <c r="K350" s="2952"/>
      <c r="L350" s="2952"/>
      <c r="M350" s="2952"/>
      <c r="N350" s="2952"/>
      <c r="O350" s="2952"/>
      <c r="P350" s="2952"/>
      <c r="Q350" s="2952"/>
      <c r="R350" s="2952"/>
      <c r="S350" s="2952"/>
      <c r="T350" s="2952"/>
      <c r="U350" s="2952"/>
      <c r="V350" s="2952"/>
      <c r="W350" s="2952"/>
      <c r="X350" s="2952"/>
      <c r="Y350" s="2952"/>
      <c r="Z350" s="2952"/>
      <c r="AA350" s="2952"/>
      <c r="AB350" s="2952"/>
      <c r="AC350" s="2942">
        <f t="shared" si="183"/>
        <v>0</v>
      </c>
      <c r="AD350" s="2962"/>
      <c r="AE350" s="2962"/>
      <c r="AF350" s="2962"/>
      <c r="AG350" s="2962"/>
      <c r="AH350" s="2962"/>
      <c r="AI350" s="2962"/>
      <c r="AJ350" s="2962"/>
      <c r="AK350" s="2962"/>
      <c r="AL350" s="2962"/>
      <c r="AM350" s="2962"/>
      <c r="AN350" s="2962"/>
      <c r="AO350" s="2962"/>
      <c r="AP350" s="2962"/>
      <c r="AQ350" s="2962"/>
      <c r="AR350" s="2962"/>
      <c r="AS350" s="2962"/>
      <c r="AT350" s="2972"/>
      <c r="AU350" s="2973"/>
      <c r="AV350" s="1120">
        <f t="shared" si="207"/>
        <v>0</v>
      </c>
      <c r="AW350" s="1120">
        <f t="shared" si="208"/>
        <v>0</v>
      </c>
      <c r="AX350" s="1120">
        <f t="shared" si="209"/>
        <v>0</v>
      </c>
      <c r="AY350" s="2987">
        <f t="shared" si="184"/>
        <v>0</v>
      </c>
      <c r="AZ350" s="2942">
        <f t="shared" si="185"/>
        <v>0</v>
      </c>
      <c r="BA350" s="2942">
        <f t="shared" si="186"/>
        <v>0</v>
      </c>
      <c r="BB350" s="2942">
        <f t="shared" si="187"/>
        <v>0</v>
      </c>
      <c r="BC350" s="2942">
        <f t="shared" si="188"/>
        <v>0</v>
      </c>
      <c r="BD350" s="2942">
        <f t="shared" si="189"/>
        <v>0</v>
      </c>
      <c r="BE350" s="2942">
        <f t="shared" si="190"/>
        <v>0</v>
      </c>
      <c r="BF350" s="2942">
        <f t="shared" si="191"/>
        <v>0</v>
      </c>
      <c r="BG350" s="2942">
        <f t="shared" si="192"/>
        <v>0</v>
      </c>
      <c r="BH350" s="2942">
        <f t="shared" si="193"/>
        <v>0</v>
      </c>
      <c r="BI350" s="2942">
        <f t="shared" si="194"/>
        <v>0</v>
      </c>
      <c r="BJ350" s="2942">
        <f t="shared" si="195"/>
        <v>0</v>
      </c>
      <c r="BK350" s="2942">
        <f t="shared" si="196"/>
        <v>0</v>
      </c>
      <c r="BL350" s="2942">
        <f t="shared" si="197"/>
        <v>0</v>
      </c>
      <c r="BM350" s="2942">
        <f t="shared" si="198"/>
        <v>0</v>
      </c>
      <c r="BN350" s="2942">
        <f t="shared" si="199"/>
        <v>0</v>
      </c>
      <c r="BO350" s="2942">
        <f t="shared" si="200"/>
        <v>0</v>
      </c>
      <c r="BP350" s="2942">
        <f t="shared" si="201"/>
        <v>0</v>
      </c>
      <c r="BQ350" s="2942">
        <f t="shared" si="202"/>
        <v>0</v>
      </c>
      <c r="BR350" s="2942">
        <f t="shared" si="203"/>
        <v>0</v>
      </c>
      <c r="BS350" s="2942">
        <f t="shared" si="204"/>
        <v>0</v>
      </c>
      <c r="BT350" s="2994">
        <f t="shared" si="205"/>
        <v>0</v>
      </c>
    </row>
    <row r="351" spans="1:72">
      <c r="A351" s="2939"/>
      <c r="B351" s="2940"/>
      <c r="C351" s="2940"/>
      <c r="D351" s="2941"/>
      <c r="E351" s="2942">
        <f t="shared" si="206"/>
        <v>0</v>
      </c>
      <c r="F351" s="2943"/>
      <c r="G351" s="2944">
        <f t="shared" si="181"/>
        <v>0</v>
      </c>
      <c r="H351" s="2945">
        <f t="shared" si="182"/>
        <v>0</v>
      </c>
      <c r="I351" s="2952"/>
      <c r="J351" s="2952"/>
      <c r="K351" s="2952"/>
      <c r="L351" s="2952"/>
      <c r="M351" s="2952"/>
      <c r="N351" s="2952"/>
      <c r="O351" s="2952"/>
      <c r="P351" s="2952"/>
      <c r="Q351" s="2952"/>
      <c r="R351" s="2952"/>
      <c r="S351" s="2952"/>
      <c r="T351" s="2952"/>
      <c r="U351" s="2952"/>
      <c r="V351" s="2952"/>
      <c r="W351" s="2952"/>
      <c r="X351" s="2952"/>
      <c r="Y351" s="2952"/>
      <c r="Z351" s="2952"/>
      <c r="AA351" s="2952"/>
      <c r="AB351" s="2952"/>
      <c r="AC351" s="2942">
        <f t="shared" si="183"/>
        <v>0</v>
      </c>
      <c r="AD351" s="2962"/>
      <c r="AE351" s="2962"/>
      <c r="AF351" s="2962"/>
      <c r="AG351" s="2962"/>
      <c r="AH351" s="2962"/>
      <c r="AI351" s="2962"/>
      <c r="AJ351" s="2962"/>
      <c r="AK351" s="2962"/>
      <c r="AL351" s="2962"/>
      <c r="AM351" s="2962"/>
      <c r="AN351" s="2962"/>
      <c r="AO351" s="2962"/>
      <c r="AP351" s="2962"/>
      <c r="AQ351" s="2962"/>
      <c r="AR351" s="2962"/>
      <c r="AS351" s="2962"/>
      <c r="AT351" s="2972"/>
      <c r="AU351" s="2973"/>
      <c r="AV351" s="1120">
        <f t="shared" si="207"/>
        <v>0</v>
      </c>
      <c r="AW351" s="1120">
        <f t="shared" si="208"/>
        <v>0</v>
      </c>
      <c r="AX351" s="1120">
        <f t="shared" si="209"/>
        <v>0</v>
      </c>
      <c r="AY351" s="2987">
        <f t="shared" si="184"/>
        <v>0</v>
      </c>
      <c r="AZ351" s="2942">
        <f t="shared" si="185"/>
        <v>0</v>
      </c>
      <c r="BA351" s="2942">
        <f t="shared" si="186"/>
        <v>0</v>
      </c>
      <c r="BB351" s="2942">
        <f t="shared" si="187"/>
        <v>0</v>
      </c>
      <c r="BC351" s="2942">
        <f t="shared" si="188"/>
        <v>0</v>
      </c>
      <c r="BD351" s="2942">
        <f t="shared" si="189"/>
        <v>0</v>
      </c>
      <c r="BE351" s="2942">
        <f t="shared" si="190"/>
        <v>0</v>
      </c>
      <c r="BF351" s="2942">
        <f t="shared" si="191"/>
        <v>0</v>
      </c>
      <c r="BG351" s="2942">
        <f t="shared" si="192"/>
        <v>0</v>
      </c>
      <c r="BH351" s="2942">
        <f t="shared" si="193"/>
        <v>0</v>
      </c>
      <c r="BI351" s="2942">
        <f t="shared" si="194"/>
        <v>0</v>
      </c>
      <c r="BJ351" s="2942">
        <f t="shared" si="195"/>
        <v>0</v>
      </c>
      <c r="BK351" s="2942">
        <f t="shared" si="196"/>
        <v>0</v>
      </c>
      <c r="BL351" s="2942">
        <f t="shared" si="197"/>
        <v>0</v>
      </c>
      <c r="BM351" s="2942">
        <f t="shared" si="198"/>
        <v>0</v>
      </c>
      <c r="BN351" s="2942">
        <f t="shared" si="199"/>
        <v>0</v>
      </c>
      <c r="BO351" s="2942">
        <f t="shared" si="200"/>
        <v>0</v>
      </c>
      <c r="BP351" s="2942">
        <f t="shared" si="201"/>
        <v>0</v>
      </c>
      <c r="BQ351" s="2942">
        <f t="shared" si="202"/>
        <v>0</v>
      </c>
      <c r="BR351" s="2942">
        <f t="shared" si="203"/>
        <v>0</v>
      </c>
      <c r="BS351" s="2942">
        <f t="shared" si="204"/>
        <v>0</v>
      </c>
      <c r="BT351" s="2994">
        <f t="shared" si="205"/>
        <v>0</v>
      </c>
    </row>
    <row r="352" spans="1:72">
      <c r="A352" s="2939"/>
      <c r="B352" s="2940"/>
      <c r="C352" s="2940"/>
      <c r="D352" s="2941"/>
      <c r="E352" s="2942">
        <f t="shared" si="206"/>
        <v>0</v>
      </c>
      <c r="F352" s="2943"/>
      <c r="G352" s="2944">
        <f t="shared" si="181"/>
        <v>0</v>
      </c>
      <c r="H352" s="2945">
        <f t="shared" si="182"/>
        <v>0</v>
      </c>
      <c r="I352" s="2952"/>
      <c r="J352" s="2952"/>
      <c r="K352" s="2952"/>
      <c r="L352" s="2952"/>
      <c r="M352" s="2952"/>
      <c r="N352" s="2952"/>
      <c r="O352" s="2952"/>
      <c r="P352" s="2952"/>
      <c r="Q352" s="2952"/>
      <c r="R352" s="2952"/>
      <c r="S352" s="2952"/>
      <c r="T352" s="2952"/>
      <c r="U352" s="2952"/>
      <c r="V352" s="2952"/>
      <c r="W352" s="2952"/>
      <c r="X352" s="2952"/>
      <c r="Y352" s="2952"/>
      <c r="Z352" s="2952"/>
      <c r="AA352" s="2952"/>
      <c r="AB352" s="2952"/>
      <c r="AC352" s="2942">
        <f t="shared" si="183"/>
        <v>0</v>
      </c>
      <c r="AD352" s="2962"/>
      <c r="AE352" s="2962"/>
      <c r="AF352" s="2962"/>
      <c r="AG352" s="2962"/>
      <c r="AH352" s="2962"/>
      <c r="AI352" s="2962"/>
      <c r="AJ352" s="2962"/>
      <c r="AK352" s="2962"/>
      <c r="AL352" s="2962"/>
      <c r="AM352" s="2962"/>
      <c r="AN352" s="2962"/>
      <c r="AO352" s="2962"/>
      <c r="AP352" s="2962"/>
      <c r="AQ352" s="2962"/>
      <c r="AR352" s="2962"/>
      <c r="AS352" s="2962"/>
      <c r="AT352" s="2972"/>
      <c r="AU352" s="2973"/>
      <c r="AV352" s="1120">
        <f t="shared" si="207"/>
        <v>0</v>
      </c>
      <c r="AW352" s="1120">
        <f t="shared" si="208"/>
        <v>0</v>
      </c>
      <c r="AX352" s="1120">
        <f t="shared" si="209"/>
        <v>0</v>
      </c>
      <c r="AY352" s="2987">
        <f t="shared" si="184"/>
        <v>0</v>
      </c>
      <c r="AZ352" s="2942">
        <f t="shared" si="185"/>
        <v>0</v>
      </c>
      <c r="BA352" s="2942">
        <f t="shared" si="186"/>
        <v>0</v>
      </c>
      <c r="BB352" s="2942">
        <f t="shared" si="187"/>
        <v>0</v>
      </c>
      <c r="BC352" s="2942">
        <f t="shared" si="188"/>
        <v>0</v>
      </c>
      <c r="BD352" s="2942">
        <f t="shared" si="189"/>
        <v>0</v>
      </c>
      <c r="BE352" s="2942">
        <f t="shared" si="190"/>
        <v>0</v>
      </c>
      <c r="BF352" s="2942">
        <f t="shared" si="191"/>
        <v>0</v>
      </c>
      <c r="BG352" s="2942">
        <f t="shared" si="192"/>
        <v>0</v>
      </c>
      <c r="BH352" s="2942">
        <f t="shared" si="193"/>
        <v>0</v>
      </c>
      <c r="BI352" s="2942">
        <f t="shared" si="194"/>
        <v>0</v>
      </c>
      <c r="BJ352" s="2942">
        <f t="shared" si="195"/>
        <v>0</v>
      </c>
      <c r="BK352" s="2942">
        <f t="shared" si="196"/>
        <v>0</v>
      </c>
      <c r="BL352" s="2942">
        <f t="shared" si="197"/>
        <v>0</v>
      </c>
      <c r="BM352" s="2942">
        <f t="shared" si="198"/>
        <v>0</v>
      </c>
      <c r="BN352" s="2942">
        <f t="shared" si="199"/>
        <v>0</v>
      </c>
      <c r="BO352" s="2942">
        <f t="shared" si="200"/>
        <v>0</v>
      </c>
      <c r="BP352" s="2942">
        <f t="shared" si="201"/>
        <v>0</v>
      </c>
      <c r="BQ352" s="2942">
        <f t="shared" si="202"/>
        <v>0</v>
      </c>
      <c r="BR352" s="2942">
        <f t="shared" si="203"/>
        <v>0</v>
      </c>
      <c r="BS352" s="2942">
        <f t="shared" si="204"/>
        <v>0</v>
      </c>
      <c r="BT352" s="2994">
        <f t="shared" si="205"/>
        <v>0</v>
      </c>
    </row>
    <row r="353" spans="1:72">
      <c r="A353" s="2939"/>
      <c r="B353" s="2940"/>
      <c r="C353" s="2940"/>
      <c r="D353" s="2941"/>
      <c r="E353" s="2942">
        <f t="shared" si="206"/>
        <v>0</v>
      </c>
      <c r="F353" s="2943"/>
      <c r="G353" s="2944">
        <f t="shared" si="181"/>
        <v>0</v>
      </c>
      <c r="H353" s="2945">
        <f t="shared" si="182"/>
        <v>0</v>
      </c>
      <c r="I353" s="2952"/>
      <c r="J353" s="2952"/>
      <c r="K353" s="2952"/>
      <c r="L353" s="2952"/>
      <c r="M353" s="2952"/>
      <c r="N353" s="2952"/>
      <c r="O353" s="2952"/>
      <c r="P353" s="2952"/>
      <c r="Q353" s="2952"/>
      <c r="R353" s="2952"/>
      <c r="S353" s="2952"/>
      <c r="T353" s="2952"/>
      <c r="U353" s="2952"/>
      <c r="V353" s="2952"/>
      <c r="W353" s="2952"/>
      <c r="X353" s="2952"/>
      <c r="Y353" s="2952"/>
      <c r="Z353" s="2952"/>
      <c r="AA353" s="2952"/>
      <c r="AB353" s="2952"/>
      <c r="AC353" s="2942">
        <f t="shared" si="183"/>
        <v>0</v>
      </c>
      <c r="AD353" s="2962"/>
      <c r="AE353" s="2962"/>
      <c r="AF353" s="2962"/>
      <c r="AG353" s="2962"/>
      <c r="AH353" s="2962"/>
      <c r="AI353" s="2962"/>
      <c r="AJ353" s="2962"/>
      <c r="AK353" s="2962"/>
      <c r="AL353" s="2962"/>
      <c r="AM353" s="2962"/>
      <c r="AN353" s="2962"/>
      <c r="AO353" s="2962"/>
      <c r="AP353" s="2962"/>
      <c r="AQ353" s="2962"/>
      <c r="AR353" s="2962"/>
      <c r="AS353" s="2962"/>
      <c r="AT353" s="2972"/>
      <c r="AU353" s="2973"/>
      <c r="AV353" s="1120">
        <f t="shared" si="207"/>
        <v>0</v>
      </c>
      <c r="AW353" s="1120">
        <f t="shared" si="208"/>
        <v>0</v>
      </c>
      <c r="AX353" s="1120">
        <f t="shared" si="209"/>
        <v>0</v>
      </c>
      <c r="AY353" s="2987">
        <f t="shared" si="184"/>
        <v>0</v>
      </c>
      <c r="AZ353" s="2942">
        <f t="shared" si="185"/>
        <v>0</v>
      </c>
      <c r="BA353" s="2942">
        <f t="shared" si="186"/>
        <v>0</v>
      </c>
      <c r="BB353" s="2942">
        <f t="shared" si="187"/>
        <v>0</v>
      </c>
      <c r="BC353" s="2942">
        <f t="shared" si="188"/>
        <v>0</v>
      </c>
      <c r="BD353" s="2942">
        <f t="shared" si="189"/>
        <v>0</v>
      </c>
      <c r="BE353" s="2942">
        <f t="shared" si="190"/>
        <v>0</v>
      </c>
      <c r="BF353" s="2942">
        <f t="shared" si="191"/>
        <v>0</v>
      </c>
      <c r="BG353" s="2942">
        <f t="shared" si="192"/>
        <v>0</v>
      </c>
      <c r="BH353" s="2942">
        <f t="shared" si="193"/>
        <v>0</v>
      </c>
      <c r="BI353" s="2942">
        <f t="shared" si="194"/>
        <v>0</v>
      </c>
      <c r="BJ353" s="2942">
        <f t="shared" si="195"/>
        <v>0</v>
      </c>
      <c r="BK353" s="2942">
        <f t="shared" si="196"/>
        <v>0</v>
      </c>
      <c r="BL353" s="2942">
        <f t="shared" si="197"/>
        <v>0</v>
      </c>
      <c r="BM353" s="2942">
        <f t="shared" si="198"/>
        <v>0</v>
      </c>
      <c r="BN353" s="2942">
        <f t="shared" si="199"/>
        <v>0</v>
      </c>
      <c r="BO353" s="2942">
        <f t="shared" si="200"/>
        <v>0</v>
      </c>
      <c r="BP353" s="2942">
        <f t="shared" si="201"/>
        <v>0</v>
      </c>
      <c r="BQ353" s="2942">
        <f t="shared" si="202"/>
        <v>0</v>
      </c>
      <c r="BR353" s="2942">
        <f t="shared" si="203"/>
        <v>0</v>
      </c>
      <c r="BS353" s="2942">
        <f t="shared" si="204"/>
        <v>0</v>
      </c>
      <c r="BT353" s="2994">
        <f t="shared" si="205"/>
        <v>0</v>
      </c>
    </row>
    <row r="354" spans="1:72">
      <c r="A354" s="2939"/>
      <c r="B354" s="2940"/>
      <c r="C354" s="2940"/>
      <c r="D354" s="2941"/>
      <c r="E354" s="2942">
        <f t="shared" si="206"/>
        <v>0</v>
      </c>
      <c r="F354" s="2943"/>
      <c r="G354" s="2944">
        <f t="shared" si="181"/>
        <v>0</v>
      </c>
      <c r="H354" s="2945">
        <f t="shared" si="182"/>
        <v>0</v>
      </c>
      <c r="I354" s="2952"/>
      <c r="J354" s="2952"/>
      <c r="K354" s="2952"/>
      <c r="L354" s="2952"/>
      <c r="M354" s="2952"/>
      <c r="N354" s="2952"/>
      <c r="O354" s="2952"/>
      <c r="P354" s="2952"/>
      <c r="Q354" s="2952"/>
      <c r="R354" s="2952"/>
      <c r="S354" s="2952"/>
      <c r="T354" s="2952"/>
      <c r="U354" s="2952"/>
      <c r="V354" s="2952"/>
      <c r="W354" s="2952"/>
      <c r="X354" s="2952"/>
      <c r="Y354" s="2952"/>
      <c r="Z354" s="2952"/>
      <c r="AA354" s="2952"/>
      <c r="AB354" s="2952"/>
      <c r="AC354" s="2942">
        <f t="shared" si="183"/>
        <v>0</v>
      </c>
      <c r="AD354" s="2962"/>
      <c r="AE354" s="2962"/>
      <c r="AF354" s="2962"/>
      <c r="AG354" s="2962"/>
      <c r="AH354" s="2962"/>
      <c r="AI354" s="2962"/>
      <c r="AJ354" s="2962"/>
      <c r="AK354" s="2962"/>
      <c r="AL354" s="2962"/>
      <c r="AM354" s="2962"/>
      <c r="AN354" s="2962"/>
      <c r="AO354" s="2962"/>
      <c r="AP354" s="2962"/>
      <c r="AQ354" s="2962"/>
      <c r="AR354" s="2962"/>
      <c r="AS354" s="2962"/>
      <c r="AT354" s="2972"/>
      <c r="AU354" s="2973"/>
      <c r="AV354" s="1120">
        <f t="shared" si="207"/>
        <v>0</v>
      </c>
      <c r="AW354" s="1120">
        <f t="shared" si="208"/>
        <v>0</v>
      </c>
      <c r="AX354" s="1120">
        <f t="shared" si="209"/>
        <v>0</v>
      </c>
      <c r="AY354" s="2987">
        <f t="shared" si="184"/>
        <v>0</v>
      </c>
      <c r="AZ354" s="2942">
        <f t="shared" si="185"/>
        <v>0</v>
      </c>
      <c r="BA354" s="2942">
        <f t="shared" si="186"/>
        <v>0</v>
      </c>
      <c r="BB354" s="2942">
        <f t="shared" si="187"/>
        <v>0</v>
      </c>
      <c r="BC354" s="2942">
        <f t="shared" si="188"/>
        <v>0</v>
      </c>
      <c r="BD354" s="2942">
        <f t="shared" si="189"/>
        <v>0</v>
      </c>
      <c r="BE354" s="2942">
        <f t="shared" si="190"/>
        <v>0</v>
      </c>
      <c r="BF354" s="2942">
        <f t="shared" si="191"/>
        <v>0</v>
      </c>
      <c r="BG354" s="2942">
        <f t="shared" si="192"/>
        <v>0</v>
      </c>
      <c r="BH354" s="2942">
        <f t="shared" si="193"/>
        <v>0</v>
      </c>
      <c r="BI354" s="2942">
        <f t="shared" si="194"/>
        <v>0</v>
      </c>
      <c r="BJ354" s="2942">
        <f t="shared" si="195"/>
        <v>0</v>
      </c>
      <c r="BK354" s="2942">
        <f t="shared" si="196"/>
        <v>0</v>
      </c>
      <c r="BL354" s="2942">
        <f t="shared" si="197"/>
        <v>0</v>
      </c>
      <c r="BM354" s="2942">
        <f t="shared" si="198"/>
        <v>0</v>
      </c>
      <c r="BN354" s="2942">
        <f t="shared" si="199"/>
        <v>0</v>
      </c>
      <c r="BO354" s="2942">
        <f t="shared" si="200"/>
        <v>0</v>
      </c>
      <c r="BP354" s="2942">
        <f t="shared" si="201"/>
        <v>0</v>
      </c>
      <c r="BQ354" s="2942">
        <f t="shared" si="202"/>
        <v>0</v>
      </c>
      <c r="BR354" s="2942">
        <f t="shared" si="203"/>
        <v>0</v>
      </c>
      <c r="BS354" s="2942">
        <f t="shared" si="204"/>
        <v>0</v>
      </c>
      <c r="BT354" s="2994">
        <f t="shared" si="205"/>
        <v>0</v>
      </c>
    </row>
    <row r="355" spans="1:72">
      <c r="A355" s="2939"/>
      <c r="B355" s="2940"/>
      <c r="C355" s="2940"/>
      <c r="D355" s="2941"/>
      <c r="E355" s="2942">
        <f t="shared" si="206"/>
        <v>0</v>
      </c>
      <c r="F355" s="2943"/>
      <c r="G355" s="2944">
        <f t="shared" si="181"/>
        <v>0</v>
      </c>
      <c r="H355" s="2945">
        <f t="shared" si="182"/>
        <v>0</v>
      </c>
      <c r="I355" s="2952"/>
      <c r="J355" s="2952"/>
      <c r="K355" s="2952"/>
      <c r="L355" s="2952"/>
      <c r="M355" s="2952"/>
      <c r="N355" s="2952"/>
      <c r="O355" s="2952"/>
      <c r="P355" s="2952"/>
      <c r="Q355" s="2952"/>
      <c r="R355" s="2952"/>
      <c r="S355" s="2952"/>
      <c r="T355" s="2952"/>
      <c r="U355" s="2952"/>
      <c r="V355" s="2952"/>
      <c r="W355" s="2952"/>
      <c r="X355" s="2952"/>
      <c r="Y355" s="2952"/>
      <c r="Z355" s="2952"/>
      <c r="AA355" s="2952"/>
      <c r="AB355" s="2952"/>
      <c r="AC355" s="2942">
        <f t="shared" si="183"/>
        <v>0</v>
      </c>
      <c r="AD355" s="2962"/>
      <c r="AE355" s="2962"/>
      <c r="AF355" s="2962"/>
      <c r="AG355" s="2962"/>
      <c r="AH355" s="2962"/>
      <c r="AI355" s="2962"/>
      <c r="AJ355" s="2962"/>
      <c r="AK355" s="2962"/>
      <c r="AL355" s="2962"/>
      <c r="AM355" s="2962"/>
      <c r="AN355" s="2962"/>
      <c r="AO355" s="2962"/>
      <c r="AP355" s="2962"/>
      <c r="AQ355" s="2962"/>
      <c r="AR355" s="2962"/>
      <c r="AS355" s="2962"/>
      <c r="AT355" s="2972"/>
      <c r="AU355" s="2973"/>
      <c r="AV355" s="1120">
        <f t="shared" si="207"/>
        <v>0</v>
      </c>
      <c r="AW355" s="1120">
        <f t="shared" si="208"/>
        <v>0</v>
      </c>
      <c r="AX355" s="1120">
        <f t="shared" si="209"/>
        <v>0</v>
      </c>
      <c r="AY355" s="2987">
        <f t="shared" si="184"/>
        <v>0</v>
      </c>
      <c r="AZ355" s="2942">
        <f t="shared" si="185"/>
        <v>0</v>
      </c>
      <c r="BA355" s="2942">
        <f t="shared" si="186"/>
        <v>0</v>
      </c>
      <c r="BB355" s="2942">
        <f t="shared" si="187"/>
        <v>0</v>
      </c>
      <c r="BC355" s="2942">
        <f t="shared" si="188"/>
        <v>0</v>
      </c>
      <c r="BD355" s="2942">
        <f t="shared" si="189"/>
        <v>0</v>
      </c>
      <c r="BE355" s="2942">
        <f t="shared" si="190"/>
        <v>0</v>
      </c>
      <c r="BF355" s="2942">
        <f t="shared" si="191"/>
        <v>0</v>
      </c>
      <c r="BG355" s="2942">
        <f t="shared" si="192"/>
        <v>0</v>
      </c>
      <c r="BH355" s="2942">
        <f t="shared" si="193"/>
        <v>0</v>
      </c>
      <c r="BI355" s="2942">
        <f t="shared" si="194"/>
        <v>0</v>
      </c>
      <c r="BJ355" s="2942">
        <f t="shared" si="195"/>
        <v>0</v>
      </c>
      <c r="BK355" s="2942">
        <f t="shared" si="196"/>
        <v>0</v>
      </c>
      <c r="BL355" s="2942">
        <f t="shared" si="197"/>
        <v>0</v>
      </c>
      <c r="BM355" s="2942">
        <f t="shared" si="198"/>
        <v>0</v>
      </c>
      <c r="BN355" s="2942">
        <f t="shared" si="199"/>
        <v>0</v>
      </c>
      <c r="BO355" s="2942">
        <f t="shared" si="200"/>
        <v>0</v>
      </c>
      <c r="BP355" s="2942">
        <f t="shared" si="201"/>
        <v>0</v>
      </c>
      <c r="BQ355" s="2942">
        <f t="shared" si="202"/>
        <v>0</v>
      </c>
      <c r="BR355" s="2942">
        <f t="shared" si="203"/>
        <v>0</v>
      </c>
      <c r="BS355" s="2942">
        <f t="shared" si="204"/>
        <v>0</v>
      </c>
      <c r="BT355" s="2994">
        <f t="shared" si="205"/>
        <v>0</v>
      </c>
    </row>
    <row r="356" spans="1:72">
      <c r="A356" s="2939"/>
      <c r="B356" s="2940"/>
      <c r="C356" s="2940"/>
      <c r="D356" s="2941"/>
      <c r="E356" s="2942">
        <f t="shared" si="206"/>
        <v>0</v>
      </c>
      <c r="F356" s="2943"/>
      <c r="G356" s="2944">
        <f t="shared" si="181"/>
        <v>0</v>
      </c>
      <c r="H356" s="2945">
        <f t="shared" si="182"/>
        <v>0</v>
      </c>
      <c r="I356" s="2952"/>
      <c r="J356" s="2952"/>
      <c r="K356" s="2952"/>
      <c r="L356" s="2952"/>
      <c r="M356" s="2952"/>
      <c r="N356" s="2952"/>
      <c r="O356" s="2952"/>
      <c r="P356" s="2952"/>
      <c r="Q356" s="2952"/>
      <c r="R356" s="2952"/>
      <c r="S356" s="2952"/>
      <c r="T356" s="2952"/>
      <c r="U356" s="2952"/>
      <c r="V356" s="2952"/>
      <c r="W356" s="2952"/>
      <c r="X356" s="2952"/>
      <c r="Y356" s="2952"/>
      <c r="Z356" s="2952"/>
      <c r="AA356" s="2952"/>
      <c r="AB356" s="2952"/>
      <c r="AC356" s="2942">
        <f t="shared" si="183"/>
        <v>0</v>
      </c>
      <c r="AD356" s="2962"/>
      <c r="AE356" s="2962"/>
      <c r="AF356" s="2962"/>
      <c r="AG356" s="2962"/>
      <c r="AH356" s="2962"/>
      <c r="AI356" s="2962"/>
      <c r="AJ356" s="2962"/>
      <c r="AK356" s="2962"/>
      <c r="AL356" s="2962"/>
      <c r="AM356" s="2962"/>
      <c r="AN356" s="2962"/>
      <c r="AO356" s="2962"/>
      <c r="AP356" s="2962"/>
      <c r="AQ356" s="2962"/>
      <c r="AR356" s="2962"/>
      <c r="AS356" s="2962"/>
      <c r="AT356" s="2972"/>
      <c r="AU356" s="2973"/>
      <c r="AV356" s="1120">
        <f t="shared" si="207"/>
        <v>0</v>
      </c>
      <c r="AW356" s="1120">
        <f t="shared" si="208"/>
        <v>0</v>
      </c>
      <c r="AX356" s="1120">
        <f t="shared" si="209"/>
        <v>0</v>
      </c>
      <c r="AY356" s="2987">
        <f t="shared" si="184"/>
        <v>0</v>
      </c>
      <c r="AZ356" s="2942">
        <f t="shared" si="185"/>
        <v>0</v>
      </c>
      <c r="BA356" s="2942">
        <f t="shared" si="186"/>
        <v>0</v>
      </c>
      <c r="BB356" s="2942">
        <f t="shared" si="187"/>
        <v>0</v>
      </c>
      <c r="BC356" s="2942">
        <f t="shared" si="188"/>
        <v>0</v>
      </c>
      <c r="BD356" s="2942">
        <f t="shared" si="189"/>
        <v>0</v>
      </c>
      <c r="BE356" s="2942">
        <f t="shared" si="190"/>
        <v>0</v>
      </c>
      <c r="BF356" s="2942">
        <f t="shared" si="191"/>
        <v>0</v>
      </c>
      <c r="BG356" s="2942">
        <f t="shared" si="192"/>
        <v>0</v>
      </c>
      <c r="BH356" s="2942">
        <f t="shared" si="193"/>
        <v>0</v>
      </c>
      <c r="BI356" s="2942">
        <f t="shared" si="194"/>
        <v>0</v>
      </c>
      <c r="BJ356" s="2942">
        <f t="shared" si="195"/>
        <v>0</v>
      </c>
      <c r="BK356" s="2942">
        <f t="shared" si="196"/>
        <v>0</v>
      </c>
      <c r="BL356" s="2942">
        <f t="shared" si="197"/>
        <v>0</v>
      </c>
      <c r="BM356" s="2942">
        <f t="shared" si="198"/>
        <v>0</v>
      </c>
      <c r="BN356" s="2942">
        <f t="shared" si="199"/>
        <v>0</v>
      </c>
      <c r="BO356" s="2942">
        <f t="shared" si="200"/>
        <v>0</v>
      </c>
      <c r="BP356" s="2942">
        <f t="shared" si="201"/>
        <v>0</v>
      </c>
      <c r="BQ356" s="2942">
        <f t="shared" si="202"/>
        <v>0</v>
      </c>
      <c r="BR356" s="2942">
        <f t="shared" si="203"/>
        <v>0</v>
      </c>
      <c r="BS356" s="2942">
        <f t="shared" si="204"/>
        <v>0</v>
      </c>
      <c r="BT356" s="2994">
        <f t="shared" si="205"/>
        <v>0</v>
      </c>
    </row>
    <row r="357" spans="1:72">
      <c r="A357" s="2939"/>
      <c r="B357" s="2940"/>
      <c r="C357" s="2940"/>
      <c r="D357" s="2941"/>
      <c r="E357" s="2942">
        <f t="shared" si="206"/>
        <v>0</v>
      </c>
      <c r="F357" s="2943"/>
      <c r="G357" s="2944">
        <f t="shared" si="181"/>
        <v>0</v>
      </c>
      <c r="H357" s="2945">
        <f t="shared" si="182"/>
        <v>0</v>
      </c>
      <c r="I357" s="2952"/>
      <c r="J357" s="2952"/>
      <c r="K357" s="2952"/>
      <c r="L357" s="2952"/>
      <c r="M357" s="2952"/>
      <c r="N357" s="2952"/>
      <c r="O357" s="2952"/>
      <c r="P357" s="2952"/>
      <c r="Q357" s="2952"/>
      <c r="R357" s="2952"/>
      <c r="S357" s="2952"/>
      <c r="T357" s="2952"/>
      <c r="U357" s="2952"/>
      <c r="V357" s="2952"/>
      <c r="W357" s="2952"/>
      <c r="X357" s="2952"/>
      <c r="Y357" s="2952"/>
      <c r="Z357" s="2952"/>
      <c r="AA357" s="2952"/>
      <c r="AB357" s="2952"/>
      <c r="AC357" s="2942">
        <f t="shared" si="183"/>
        <v>0</v>
      </c>
      <c r="AD357" s="2962"/>
      <c r="AE357" s="2962"/>
      <c r="AF357" s="2962"/>
      <c r="AG357" s="2962"/>
      <c r="AH357" s="2962"/>
      <c r="AI357" s="2962"/>
      <c r="AJ357" s="2962"/>
      <c r="AK357" s="2962"/>
      <c r="AL357" s="2962"/>
      <c r="AM357" s="2962"/>
      <c r="AN357" s="2962"/>
      <c r="AO357" s="2962"/>
      <c r="AP357" s="2962"/>
      <c r="AQ357" s="2962"/>
      <c r="AR357" s="2962"/>
      <c r="AS357" s="2962"/>
      <c r="AT357" s="2972"/>
      <c r="AU357" s="2973"/>
      <c r="AV357" s="1120">
        <f t="shared" si="207"/>
        <v>0</v>
      </c>
      <c r="AW357" s="1120">
        <f t="shared" si="208"/>
        <v>0</v>
      </c>
      <c r="AX357" s="1120">
        <f t="shared" si="209"/>
        <v>0</v>
      </c>
      <c r="AY357" s="2987">
        <f t="shared" si="184"/>
        <v>0</v>
      </c>
      <c r="AZ357" s="2942">
        <f t="shared" si="185"/>
        <v>0</v>
      </c>
      <c r="BA357" s="2942">
        <f t="shared" si="186"/>
        <v>0</v>
      </c>
      <c r="BB357" s="2942">
        <f t="shared" si="187"/>
        <v>0</v>
      </c>
      <c r="BC357" s="2942">
        <f t="shared" si="188"/>
        <v>0</v>
      </c>
      <c r="BD357" s="2942">
        <f t="shared" si="189"/>
        <v>0</v>
      </c>
      <c r="BE357" s="2942">
        <f t="shared" si="190"/>
        <v>0</v>
      </c>
      <c r="BF357" s="2942">
        <f t="shared" si="191"/>
        <v>0</v>
      </c>
      <c r="BG357" s="2942">
        <f t="shared" si="192"/>
        <v>0</v>
      </c>
      <c r="BH357" s="2942">
        <f t="shared" si="193"/>
        <v>0</v>
      </c>
      <c r="BI357" s="2942">
        <f t="shared" si="194"/>
        <v>0</v>
      </c>
      <c r="BJ357" s="2942">
        <f t="shared" si="195"/>
        <v>0</v>
      </c>
      <c r="BK357" s="2942">
        <f t="shared" si="196"/>
        <v>0</v>
      </c>
      <c r="BL357" s="2942">
        <f t="shared" si="197"/>
        <v>0</v>
      </c>
      <c r="BM357" s="2942">
        <f t="shared" si="198"/>
        <v>0</v>
      </c>
      <c r="BN357" s="2942">
        <f t="shared" si="199"/>
        <v>0</v>
      </c>
      <c r="BO357" s="2942">
        <f t="shared" si="200"/>
        <v>0</v>
      </c>
      <c r="BP357" s="2942">
        <f t="shared" si="201"/>
        <v>0</v>
      </c>
      <c r="BQ357" s="2942">
        <f t="shared" si="202"/>
        <v>0</v>
      </c>
      <c r="BR357" s="2942">
        <f t="shared" si="203"/>
        <v>0</v>
      </c>
      <c r="BS357" s="2942">
        <f t="shared" si="204"/>
        <v>0</v>
      </c>
      <c r="BT357" s="2994">
        <f t="shared" si="205"/>
        <v>0</v>
      </c>
    </row>
    <row r="358" spans="1:72">
      <c r="A358" s="2939"/>
      <c r="B358" s="2940"/>
      <c r="C358" s="2940"/>
      <c r="D358" s="2941"/>
      <c r="E358" s="2942">
        <f t="shared" si="206"/>
        <v>0</v>
      </c>
      <c r="F358" s="2943"/>
      <c r="G358" s="2944">
        <f t="shared" si="181"/>
        <v>0</v>
      </c>
      <c r="H358" s="2945">
        <f t="shared" si="182"/>
        <v>0</v>
      </c>
      <c r="I358" s="2952"/>
      <c r="J358" s="2952"/>
      <c r="K358" s="2952"/>
      <c r="L358" s="2952"/>
      <c r="M358" s="2952"/>
      <c r="N358" s="2952"/>
      <c r="O358" s="2952"/>
      <c r="P358" s="2952"/>
      <c r="Q358" s="2952"/>
      <c r="R358" s="2952"/>
      <c r="S358" s="2952"/>
      <c r="T358" s="2952"/>
      <c r="U358" s="2952"/>
      <c r="V358" s="2952"/>
      <c r="W358" s="2952"/>
      <c r="X358" s="2952"/>
      <c r="Y358" s="2952"/>
      <c r="Z358" s="2952"/>
      <c r="AA358" s="2952"/>
      <c r="AB358" s="2952"/>
      <c r="AC358" s="2942">
        <f t="shared" si="183"/>
        <v>0</v>
      </c>
      <c r="AD358" s="2962"/>
      <c r="AE358" s="2962"/>
      <c r="AF358" s="2962"/>
      <c r="AG358" s="2962"/>
      <c r="AH358" s="2962"/>
      <c r="AI358" s="2962"/>
      <c r="AJ358" s="2962"/>
      <c r="AK358" s="2962"/>
      <c r="AL358" s="2962"/>
      <c r="AM358" s="2962"/>
      <c r="AN358" s="2962"/>
      <c r="AO358" s="2962"/>
      <c r="AP358" s="2962"/>
      <c r="AQ358" s="2962"/>
      <c r="AR358" s="2962"/>
      <c r="AS358" s="2962"/>
      <c r="AT358" s="2972"/>
      <c r="AU358" s="2973"/>
      <c r="AV358" s="1120">
        <f t="shared" si="207"/>
        <v>0</v>
      </c>
      <c r="AW358" s="1120">
        <f t="shared" si="208"/>
        <v>0</v>
      </c>
      <c r="AX358" s="1120">
        <f t="shared" si="209"/>
        <v>0</v>
      </c>
      <c r="AY358" s="2987">
        <f t="shared" si="184"/>
        <v>0</v>
      </c>
      <c r="AZ358" s="2942">
        <f t="shared" si="185"/>
        <v>0</v>
      </c>
      <c r="BA358" s="2942">
        <f t="shared" si="186"/>
        <v>0</v>
      </c>
      <c r="BB358" s="2942">
        <f t="shared" si="187"/>
        <v>0</v>
      </c>
      <c r="BC358" s="2942">
        <f t="shared" si="188"/>
        <v>0</v>
      </c>
      <c r="BD358" s="2942">
        <f t="shared" si="189"/>
        <v>0</v>
      </c>
      <c r="BE358" s="2942">
        <f t="shared" si="190"/>
        <v>0</v>
      </c>
      <c r="BF358" s="2942">
        <f t="shared" si="191"/>
        <v>0</v>
      </c>
      <c r="BG358" s="2942">
        <f t="shared" si="192"/>
        <v>0</v>
      </c>
      <c r="BH358" s="2942">
        <f t="shared" si="193"/>
        <v>0</v>
      </c>
      <c r="BI358" s="2942">
        <f t="shared" si="194"/>
        <v>0</v>
      </c>
      <c r="BJ358" s="2942">
        <f t="shared" si="195"/>
        <v>0</v>
      </c>
      <c r="BK358" s="2942">
        <f t="shared" si="196"/>
        <v>0</v>
      </c>
      <c r="BL358" s="2942">
        <f t="shared" si="197"/>
        <v>0</v>
      </c>
      <c r="BM358" s="2942">
        <f t="shared" si="198"/>
        <v>0</v>
      </c>
      <c r="BN358" s="2942">
        <f t="shared" si="199"/>
        <v>0</v>
      </c>
      <c r="BO358" s="2942">
        <f t="shared" si="200"/>
        <v>0</v>
      </c>
      <c r="BP358" s="2942">
        <f t="shared" si="201"/>
        <v>0</v>
      </c>
      <c r="BQ358" s="2942">
        <f t="shared" si="202"/>
        <v>0</v>
      </c>
      <c r="BR358" s="2942">
        <f t="shared" si="203"/>
        <v>0</v>
      </c>
      <c r="BS358" s="2942">
        <f t="shared" si="204"/>
        <v>0</v>
      </c>
      <c r="BT358" s="2994">
        <f t="shared" si="205"/>
        <v>0</v>
      </c>
    </row>
    <row r="359" spans="1:72">
      <c r="A359" s="2939"/>
      <c r="B359" s="2940"/>
      <c r="C359" s="2940"/>
      <c r="D359" s="2941"/>
      <c r="E359" s="2942">
        <f t="shared" si="206"/>
        <v>0</v>
      </c>
      <c r="F359" s="2943"/>
      <c r="G359" s="2944">
        <f t="shared" si="181"/>
        <v>0</v>
      </c>
      <c r="H359" s="2945">
        <f t="shared" si="182"/>
        <v>0</v>
      </c>
      <c r="I359" s="2952"/>
      <c r="J359" s="2952"/>
      <c r="K359" s="2952"/>
      <c r="L359" s="2952"/>
      <c r="M359" s="2952"/>
      <c r="N359" s="2952"/>
      <c r="O359" s="2952"/>
      <c r="P359" s="2952"/>
      <c r="Q359" s="2952"/>
      <c r="R359" s="2952"/>
      <c r="S359" s="2952"/>
      <c r="T359" s="2952"/>
      <c r="U359" s="2952"/>
      <c r="V359" s="2952"/>
      <c r="W359" s="2952"/>
      <c r="X359" s="2952"/>
      <c r="Y359" s="2952"/>
      <c r="Z359" s="2952"/>
      <c r="AA359" s="2952"/>
      <c r="AB359" s="2952"/>
      <c r="AC359" s="2942">
        <f t="shared" si="183"/>
        <v>0</v>
      </c>
      <c r="AD359" s="2962"/>
      <c r="AE359" s="2962"/>
      <c r="AF359" s="2962"/>
      <c r="AG359" s="2962"/>
      <c r="AH359" s="2962"/>
      <c r="AI359" s="2962"/>
      <c r="AJ359" s="2962"/>
      <c r="AK359" s="2962"/>
      <c r="AL359" s="2962"/>
      <c r="AM359" s="2962"/>
      <c r="AN359" s="2962"/>
      <c r="AO359" s="2962"/>
      <c r="AP359" s="2962"/>
      <c r="AQ359" s="2962"/>
      <c r="AR359" s="2962"/>
      <c r="AS359" s="2962"/>
      <c r="AT359" s="2972"/>
      <c r="AU359" s="2973"/>
      <c r="AV359" s="1120">
        <f t="shared" si="207"/>
        <v>0</v>
      </c>
      <c r="AW359" s="1120">
        <f t="shared" si="208"/>
        <v>0</v>
      </c>
      <c r="AX359" s="1120">
        <f t="shared" si="209"/>
        <v>0</v>
      </c>
      <c r="AY359" s="2987">
        <f t="shared" si="184"/>
        <v>0</v>
      </c>
      <c r="AZ359" s="2942">
        <f t="shared" si="185"/>
        <v>0</v>
      </c>
      <c r="BA359" s="2942">
        <f t="shared" si="186"/>
        <v>0</v>
      </c>
      <c r="BB359" s="2942">
        <f t="shared" si="187"/>
        <v>0</v>
      </c>
      <c r="BC359" s="2942">
        <f t="shared" si="188"/>
        <v>0</v>
      </c>
      <c r="BD359" s="2942">
        <f t="shared" si="189"/>
        <v>0</v>
      </c>
      <c r="BE359" s="2942">
        <f t="shared" si="190"/>
        <v>0</v>
      </c>
      <c r="BF359" s="2942">
        <f t="shared" si="191"/>
        <v>0</v>
      </c>
      <c r="BG359" s="2942">
        <f t="shared" si="192"/>
        <v>0</v>
      </c>
      <c r="BH359" s="2942">
        <f t="shared" si="193"/>
        <v>0</v>
      </c>
      <c r="BI359" s="2942">
        <f t="shared" si="194"/>
        <v>0</v>
      </c>
      <c r="BJ359" s="2942">
        <f t="shared" si="195"/>
        <v>0</v>
      </c>
      <c r="BK359" s="2942">
        <f t="shared" si="196"/>
        <v>0</v>
      </c>
      <c r="BL359" s="2942">
        <f t="shared" si="197"/>
        <v>0</v>
      </c>
      <c r="BM359" s="2942">
        <f t="shared" si="198"/>
        <v>0</v>
      </c>
      <c r="BN359" s="2942">
        <f t="shared" si="199"/>
        <v>0</v>
      </c>
      <c r="BO359" s="2942">
        <f t="shared" si="200"/>
        <v>0</v>
      </c>
      <c r="BP359" s="2942">
        <f t="shared" si="201"/>
        <v>0</v>
      </c>
      <c r="BQ359" s="2942">
        <f t="shared" si="202"/>
        <v>0</v>
      </c>
      <c r="BR359" s="2942">
        <f t="shared" si="203"/>
        <v>0</v>
      </c>
      <c r="BS359" s="2942">
        <f t="shared" si="204"/>
        <v>0</v>
      </c>
      <c r="BT359" s="2994">
        <f t="shared" si="205"/>
        <v>0</v>
      </c>
    </row>
    <row r="360" spans="1:72">
      <c r="A360" s="2939"/>
      <c r="B360" s="2940"/>
      <c r="C360" s="2940"/>
      <c r="D360" s="2941"/>
      <c r="E360" s="2942">
        <f t="shared" si="206"/>
        <v>0</v>
      </c>
      <c r="F360" s="2943"/>
      <c r="G360" s="2944">
        <f t="shared" si="181"/>
        <v>0</v>
      </c>
      <c r="H360" s="2945">
        <f t="shared" si="182"/>
        <v>0</v>
      </c>
      <c r="I360" s="2952"/>
      <c r="J360" s="2952"/>
      <c r="K360" s="2952"/>
      <c r="L360" s="2952"/>
      <c r="M360" s="2952"/>
      <c r="N360" s="2952"/>
      <c r="O360" s="2952"/>
      <c r="P360" s="2952"/>
      <c r="Q360" s="2952"/>
      <c r="R360" s="2952"/>
      <c r="S360" s="2952"/>
      <c r="T360" s="2952"/>
      <c r="U360" s="2952"/>
      <c r="V360" s="2952"/>
      <c r="W360" s="2952"/>
      <c r="X360" s="2952"/>
      <c r="Y360" s="2952"/>
      <c r="Z360" s="2952"/>
      <c r="AA360" s="2952"/>
      <c r="AB360" s="2952"/>
      <c r="AC360" s="2942">
        <f t="shared" si="183"/>
        <v>0</v>
      </c>
      <c r="AD360" s="2962"/>
      <c r="AE360" s="2962"/>
      <c r="AF360" s="2962"/>
      <c r="AG360" s="2962"/>
      <c r="AH360" s="2962"/>
      <c r="AI360" s="2962"/>
      <c r="AJ360" s="2962"/>
      <c r="AK360" s="2962"/>
      <c r="AL360" s="2962"/>
      <c r="AM360" s="2962"/>
      <c r="AN360" s="2962"/>
      <c r="AO360" s="2962"/>
      <c r="AP360" s="2962"/>
      <c r="AQ360" s="2962"/>
      <c r="AR360" s="2962"/>
      <c r="AS360" s="2962"/>
      <c r="AT360" s="2972"/>
      <c r="AU360" s="2973"/>
      <c r="AV360" s="1120">
        <f t="shared" si="207"/>
        <v>0</v>
      </c>
      <c r="AW360" s="1120">
        <f t="shared" si="208"/>
        <v>0</v>
      </c>
      <c r="AX360" s="1120">
        <f t="shared" si="209"/>
        <v>0</v>
      </c>
      <c r="AY360" s="2987">
        <f t="shared" si="184"/>
        <v>0</v>
      </c>
      <c r="AZ360" s="2942">
        <f t="shared" si="185"/>
        <v>0</v>
      </c>
      <c r="BA360" s="2942">
        <f t="shared" si="186"/>
        <v>0</v>
      </c>
      <c r="BB360" s="2942">
        <f t="shared" si="187"/>
        <v>0</v>
      </c>
      <c r="BC360" s="2942">
        <f t="shared" si="188"/>
        <v>0</v>
      </c>
      <c r="BD360" s="2942">
        <f t="shared" si="189"/>
        <v>0</v>
      </c>
      <c r="BE360" s="2942">
        <f t="shared" si="190"/>
        <v>0</v>
      </c>
      <c r="BF360" s="2942">
        <f t="shared" si="191"/>
        <v>0</v>
      </c>
      <c r="BG360" s="2942">
        <f t="shared" si="192"/>
        <v>0</v>
      </c>
      <c r="BH360" s="2942">
        <f t="shared" si="193"/>
        <v>0</v>
      </c>
      <c r="BI360" s="2942">
        <f t="shared" si="194"/>
        <v>0</v>
      </c>
      <c r="BJ360" s="2942">
        <f t="shared" si="195"/>
        <v>0</v>
      </c>
      <c r="BK360" s="2942">
        <f t="shared" si="196"/>
        <v>0</v>
      </c>
      <c r="BL360" s="2942">
        <f t="shared" si="197"/>
        <v>0</v>
      </c>
      <c r="BM360" s="2942">
        <f t="shared" si="198"/>
        <v>0</v>
      </c>
      <c r="BN360" s="2942">
        <f t="shared" si="199"/>
        <v>0</v>
      </c>
      <c r="BO360" s="2942">
        <f t="shared" si="200"/>
        <v>0</v>
      </c>
      <c r="BP360" s="2942">
        <f t="shared" si="201"/>
        <v>0</v>
      </c>
      <c r="BQ360" s="2942">
        <f t="shared" si="202"/>
        <v>0</v>
      </c>
      <c r="BR360" s="2942">
        <f t="shared" si="203"/>
        <v>0</v>
      </c>
      <c r="BS360" s="2942">
        <f t="shared" si="204"/>
        <v>0</v>
      </c>
      <c r="BT360" s="2994">
        <f t="shared" si="205"/>
        <v>0</v>
      </c>
    </row>
    <row r="361" spans="1:72">
      <c r="A361" s="2939"/>
      <c r="B361" s="2940"/>
      <c r="C361" s="2940"/>
      <c r="D361" s="2941"/>
      <c r="E361" s="2942">
        <f t="shared" si="206"/>
        <v>0</v>
      </c>
      <c r="F361" s="2943"/>
      <c r="G361" s="2944">
        <f t="shared" si="181"/>
        <v>0</v>
      </c>
      <c r="H361" s="2945">
        <f t="shared" si="182"/>
        <v>0</v>
      </c>
      <c r="I361" s="2952"/>
      <c r="J361" s="2952"/>
      <c r="K361" s="2952"/>
      <c r="L361" s="2952"/>
      <c r="M361" s="2952"/>
      <c r="N361" s="2952"/>
      <c r="O361" s="2952"/>
      <c r="P361" s="2952"/>
      <c r="Q361" s="2952"/>
      <c r="R361" s="2952"/>
      <c r="S361" s="2952"/>
      <c r="T361" s="2952"/>
      <c r="U361" s="2952"/>
      <c r="V361" s="2952"/>
      <c r="W361" s="2952"/>
      <c r="X361" s="2952"/>
      <c r="Y361" s="2952"/>
      <c r="Z361" s="2952"/>
      <c r="AA361" s="2952"/>
      <c r="AB361" s="2952"/>
      <c r="AC361" s="2942">
        <f t="shared" si="183"/>
        <v>0</v>
      </c>
      <c r="AD361" s="2962"/>
      <c r="AE361" s="2962"/>
      <c r="AF361" s="2962"/>
      <c r="AG361" s="2962"/>
      <c r="AH361" s="2962"/>
      <c r="AI361" s="2962"/>
      <c r="AJ361" s="2962"/>
      <c r="AK361" s="2962"/>
      <c r="AL361" s="2962"/>
      <c r="AM361" s="2962"/>
      <c r="AN361" s="2962"/>
      <c r="AO361" s="2962"/>
      <c r="AP361" s="2962"/>
      <c r="AQ361" s="2962"/>
      <c r="AR361" s="2962"/>
      <c r="AS361" s="2962"/>
      <c r="AT361" s="2972"/>
      <c r="AU361" s="2973"/>
      <c r="AV361" s="1120">
        <f t="shared" si="207"/>
        <v>0</v>
      </c>
      <c r="AW361" s="1120">
        <f t="shared" si="208"/>
        <v>0</v>
      </c>
      <c r="AX361" s="1120">
        <f t="shared" si="209"/>
        <v>0</v>
      </c>
      <c r="AY361" s="2987">
        <f t="shared" si="184"/>
        <v>0</v>
      </c>
      <c r="AZ361" s="2942">
        <f t="shared" si="185"/>
        <v>0</v>
      </c>
      <c r="BA361" s="2942">
        <f t="shared" si="186"/>
        <v>0</v>
      </c>
      <c r="BB361" s="2942">
        <f t="shared" si="187"/>
        <v>0</v>
      </c>
      <c r="BC361" s="2942">
        <f t="shared" si="188"/>
        <v>0</v>
      </c>
      <c r="BD361" s="2942">
        <f t="shared" si="189"/>
        <v>0</v>
      </c>
      <c r="BE361" s="2942">
        <f t="shared" si="190"/>
        <v>0</v>
      </c>
      <c r="BF361" s="2942">
        <f t="shared" si="191"/>
        <v>0</v>
      </c>
      <c r="BG361" s="2942">
        <f t="shared" si="192"/>
        <v>0</v>
      </c>
      <c r="BH361" s="2942">
        <f t="shared" si="193"/>
        <v>0</v>
      </c>
      <c r="BI361" s="2942">
        <f t="shared" si="194"/>
        <v>0</v>
      </c>
      <c r="BJ361" s="2942">
        <f t="shared" si="195"/>
        <v>0</v>
      </c>
      <c r="BK361" s="2942">
        <f t="shared" si="196"/>
        <v>0</v>
      </c>
      <c r="BL361" s="2942">
        <f t="shared" si="197"/>
        <v>0</v>
      </c>
      <c r="BM361" s="2942">
        <f t="shared" si="198"/>
        <v>0</v>
      </c>
      <c r="BN361" s="2942">
        <f t="shared" si="199"/>
        <v>0</v>
      </c>
      <c r="BO361" s="2942">
        <f t="shared" si="200"/>
        <v>0</v>
      </c>
      <c r="BP361" s="2942">
        <f t="shared" si="201"/>
        <v>0</v>
      </c>
      <c r="BQ361" s="2942">
        <f t="shared" si="202"/>
        <v>0</v>
      </c>
      <c r="BR361" s="2942">
        <f t="shared" si="203"/>
        <v>0</v>
      </c>
      <c r="BS361" s="2942">
        <f t="shared" si="204"/>
        <v>0</v>
      </c>
      <c r="BT361" s="2994">
        <f t="shared" si="205"/>
        <v>0</v>
      </c>
    </row>
    <row r="362" spans="1:72">
      <c r="A362" s="2939"/>
      <c r="B362" s="2940"/>
      <c r="C362" s="2940"/>
      <c r="D362" s="2941"/>
      <c r="E362" s="2942">
        <f t="shared" si="206"/>
        <v>0</v>
      </c>
      <c r="F362" s="2943"/>
      <c r="G362" s="2944">
        <f t="shared" si="181"/>
        <v>0</v>
      </c>
      <c r="H362" s="2945">
        <f t="shared" si="182"/>
        <v>0</v>
      </c>
      <c r="I362" s="2952"/>
      <c r="J362" s="2952"/>
      <c r="K362" s="2952"/>
      <c r="L362" s="2952"/>
      <c r="M362" s="2952"/>
      <c r="N362" s="2952"/>
      <c r="O362" s="2952"/>
      <c r="P362" s="2952"/>
      <c r="Q362" s="2952"/>
      <c r="R362" s="2952"/>
      <c r="S362" s="2952"/>
      <c r="T362" s="2952"/>
      <c r="U362" s="2952"/>
      <c r="V362" s="2952"/>
      <c r="W362" s="2952"/>
      <c r="X362" s="2952"/>
      <c r="Y362" s="2952"/>
      <c r="Z362" s="2952"/>
      <c r="AA362" s="2952"/>
      <c r="AB362" s="2952"/>
      <c r="AC362" s="2942">
        <f t="shared" si="183"/>
        <v>0</v>
      </c>
      <c r="AD362" s="2962"/>
      <c r="AE362" s="2962"/>
      <c r="AF362" s="2962"/>
      <c r="AG362" s="2962"/>
      <c r="AH362" s="2962"/>
      <c r="AI362" s="2962"/>
      <c r="AJ362" s="2962"/>
      <c r="AK362" s="2962"/>
      <c r="AL362" s="2962"/>
      <c r="AM362" s="2962"/>
      <c r="AN362" s="2962"/>
      <c r="AO362" s="2962"/>
      <c r="AP362" s="2962"/>
      <c r="AQ362" s="2962"/>
      <c r="AR362" s="2962"/>
      <c r="AS362" s="2962"/>
      <c r="AT362" s="2972"/>
      <c r="AU362" s="2973"/>
      <c r="AV362" s="1120">
        <f t="shared" si="207"/>
        <v>0</v>
      </c>
      <c r="AW362" s="1120">
        <f t="shared" si="208"/>
        <v>0</v>
      </c>
      <c r="AX362" s="1120">
        <f t="shared" si="209"/>
        <v>0</v>
      </c>
      <c r="AY362" s="2987">
        <f t="shared" si="184"/>
        <v>0</v>
      </c>
      <c r="AZ362" s="2942">
        <f t="shared" si="185"/>
        <v>0</v>
      </c>
      <c r="BA362" s="2942">
        <f t="shared" si="186"/>
        <v>0</v>
      </c>
      <c r="BB362" s="2942">
        <f t="shared" si="187"/>
        <v>0</v>
      </c>
      <c r="BC362" s="2942">
        <f t="shared" si="188"/>
        <v>0</v>
      </c>
      <c r="BD362" s="2942">
        <f t="shared" si="189"/>
        <v>0</v>
      </c>
      <c r="BE362" s="2942">
        <f t="shared" si="190"/>
        <v>0</v>
      </c>
      <c r="BF362" s="2942">
        <f t="shared" si="191"/>
        <v>0</v>
      </c>
      <c r="BG362" s="2942">
        <f t="shared" si="192"/>
        <v>0</v>
      </c>
      <c r="BH362" s="2942">
        <f t="shared" si="193"/>
        <v>0</v>
      </c>
      <c r="BI362" s="2942">
        <f t="shared" si="194"/>
        <v>0</v>
      </c>
      <c r="BJ362" s="2942">
        <f t="shared" si="195"/>
        <v>0</v>
      </c>
      <c r="BK362" s="2942">
        <f t="shared" si="196"/>
        <v>0</v>
      </c>
      <c r="BL362" s="2942">
        <f t="shared" si="197"/>
        <v>0</v>
      </c>
      <c r="BM362" s="2942">
        <f t="shared" si="198"/>
        <v>0</v>
      </c>
      <c r="BN362" s="2942">
        <f t="shared" si="199"/>
        <v>0</v>
      </c>
      <c r="BO362" s="2942">
        <f t="shared" si="200"/>
        <v>0</v>
      </c>
      <c r="BP362" s="2942">
        <f t="shared" si="201"/>
        <v>0</v>
      </c>
      <c r="BQ362" s="2942">
        <f t="shared" si="202"/>
        <v>0</v>
      </c>
      <c r="BR362" s="2942">
        <f t="shared" si="203"/>
        <v>0</v>
      </c>
      <c r="BS362" s="2942">
        <f t="shared" si="204"/>
        <v>0</v>
      </c>
      <c r="BT362" s="2994">
        <f t="shared" si="205"/>
        <v>0</v>
      </c>
    </row>
    <row r="363" spans="1:72">
      <c r="A363" s="2939"/>
      <c r="B363" s="2940"/>
      <c r="C363" s="2940"/>
      <c r="D363" s="2941"/>
      <c r="E363" s="2942">
        <f t="shared" si="206"/>
        <v>0</v>
      </c>
      <c r="F363" s="2943"/>
      <c r="G363" s="2944">
        <f t="shared" si="181"/>
        <v>0</v>
      </c>
      <c r="H363" s="2945">
        <f t="shared" si="182"/>
        <v>0</v>
      </c>
      <c r="I363" s="2952"/>
      <c r="J363" s="2952"/>
      <c r="K363" s="2952"/>
      <c r="L363" s="2952"/>
      <c r="M363" s="2952"/>
      <c r="N363" s="2952"/>
      <c r="O363" s="2952"/>
      <c r="P363" s="2952"/>
      <c r="Q363" s="2952"/>
      <c r="R363" s="2952"/>
      <c r="S363" s="2952"/>
      <c r="T363" s="2952"/>
      <c r="U363" s="2952"/>
      <c r="V363" s="2952"/>
      <c r="W363" s="2952"/>
      <c r="X363" s="2952"/>
      <c r="Y363" s="2952"/>
      <c r="Z363" s="2952"/>
      <c r="AA363" s="2952"/>
      <c r="AB363" s="2952"/>
      <c r="AC363" s="2942">
        <f t="shared" si="183"/>
        <v>0</v>
      </c>
      <c r="AD363" s="2962"/>
      <c r="AE363" s="2962"/>
      <c r="AF363" s="2962"/>
      <c r="AG363" s="2962"/>
      <c r="AH363" s="2962"/>
      <c r="AI363" s="2962"/>
      <c r="AJ363" s="2962"/>
      <c r="AK363" s="2962"/>
      <c r="AL363" s="2962"/>
      <c r="AM363" s="2962"/>
      <c r="AN363" s="2962"/>
      <c r="AO363" s="2962"/>
      <c r="AP363" s="2962"/>
      <c r="AQ363" s="2962"/>
      <c r="AR363" s="2962"/>
      <c r="AS363" s="2962"/>
      <c r="AT363" s="2972"/>
      <c r="AU363" s="2973"/>
      <c r="AV363" s="1120">
        <f t="shared" si="207"/>
        <v>0</v>
      </c>
      <c r="AW363" s="1120">
        <f t="shared" si="208"/>
        <v>0</v>
      </c>
      <c r="AX363" s="1120">
        <f t="shared" si="209"/>
        <v>0</v>
      </c>
      <c r="AY363" s="2987">
        <f t="shared" si="184"/>
        <v>0</v>
      </c>
      <c r="AZ363" s="2942">
        <f t="shared" si="185"/>
        <v>0</v>
      </c>
      <c r="BA363" s="2942">
        <f t="shared" si="186"/>
        <v>0</v>
      </c>
      <c r="BB363" s="2942">
        <f t="shared" si="187"/>
        <v>0</v>
      </c>
      <c r="BC363" s="2942">
        <f t="shared" si="188"/>
        <v>0</v>
      </c>
      <c r="BD363" s="2942">
        <f t="shared" si="189"/>
        <v>0</v>
      </c>
      <c r="BE363" s="2942">
        <f t="shared" si="190"/>
        <v>0</v>
      </c>
      <c r="BF363" s="2942">
        <f t="shared" si="191"/>
        <v>0</v>
      </c>
      <c r="BG363" s="2942">
        <f t="shared" si="192"/>
        <v>0</v>
      </c>
      <c r="BH363" s="2942">
        <f t="shared" si="193"/>
        <v>0</v>
      </c>
      <c r="BI363" s="2942">
        <f t="shared" si="194"/>
        <v>0</v>
      </c>
      <c r="BJ363" s="2942">
        <f t="shared" si="195"/>
        <v>0</v>
      </c>
      <c r="BK363" s="2942">
        <f t="shared" si="196"/>
        <v>0</v>
      </c>
      <c r="BL363" s="2942">
        <f t="shared" si="197"/>
        <v>0</v>
      </c>
      <c r="BM363" s="2942">
        <f t="shared" si="198"/>
        <v>0</v>
      </c>
      <c r="BN363" s="2942">
        <f t="shared" si="199"/>
        <v>0</v>
      </c>
      <c r="BO363" s="2942">
        <f t="shared" si="200"/>
        <v>0</v>
      </c>
      <c r="BP363" s="2942">
        <f t="shared" si="201"/>
        <v>0</v>
      </c>
      <c r="BQ363" s="2942">
        <f t="shared" si="202"/>
        <v>0</v>
      </c>
      <c r="BR363" s="2942">
        <f t="shared" si="203"/>
        <v>0</v>
      </c>
      <c r="BS363" s="2942">
        <f t="shared" si="204"/>
        <v>0</v>
      </c>
      <c r="BT363" s="2994">
        <f t="shared" si="205"/>
        <v>0</v>
      </c>
    </row>
    <row r="364" spans="1:72">
      <c r="A364" s="2939"/>
      <c r="B364" s="2940"/>
      <c r="C364" s="2940"/>
      <c r="D364" s="2941"/>
      <c r="E364" s="2942">
        <f t="shared" si="206"/>
        <v>0</v>
      </c>
      <c r="F364" s="2943"/>
      <c r="G364" s="2944">
        <f t="shared" ref="G364:G397" si="210">H364+AC364+AT364</f>
        <v>0</v>
      </c>
      <c r="H364" s="2945">
        <f t="shared" ref="H364:H397" si="211">SUMIF(I$12:AB$12,"总值",I364:AB364)</f>
        <v>0</v>
      </c>
      <c r="I364" s="2952"/>
      <c r="J364" s="2952"/>
      <c r="K364" s="2952"/>
      <c r="L364" s="2952"/>
      <c r="M364" s="2952"/>
      <c r="N364" s="2952"/>
      <c r="O364" s="2952"/>
      <c r="P364" s="2952"/>
      <c r="Q364" s="2952"/>
      <c r="R364" s="2952"/>
      <c r="S364" s="2952"/>
      <c r="T364" s="2952"/>
      <c r="U364" s="2952"/>
      <c r="V364" s="2952"/>
      <c r="W364" s="2952"/>
      <c r="X364" s="2952"/>
      <c r="Y364" s="2952"/>
      <c r="Z364" s="2952"/>
      <c r="AA364" s="2952"/>
      <c r="AB364" s="2952"/>
      <c r="AC364" s="2942">
        <f t="shared" ref="AC364:AC397" si="212">SUMIF(AD$12:AS$12,"总值",AD364:AS364)</f>
        <v>0</v>
      </c>
      <c r="AD364" s="2962"/>
      <c r="AE364" s="2962"/>
      <c r="AF364" s="2962"/>
      <c r="AG364" s="2962"/>
      <c r="AH364" s="2962"/>
      <c r="AI364" s="2962"/>
      <c r="AJ364" s="2962"/>
      <c r="AK364" s="2962"/>
      <c r="AL364" s="2962"/>
      <c r="AM364" s="2962"/>
      <c r="AN364" s="2962"/>
      <c r="AO364" s="2962"/>
      <c r="AP364" s="2962"/>
      <c r="AQ364" s="2962"/>
      <c r="AR364" s="2962"/>
      <c r="AS364" s="2962"/>
      <c r="AT364" s="2972"/>
      <c r="AU364" s="2973"/>
      <c r="AV364" s="1120">
        <f t="shared" si="207"/>
        <v>0</v>
      </c>
      <c r="AW364" s="1120">
        <f t="shared" si="208"/>
        <v>0</v>
      </c>
      <c r="AX364" s="1120">
        <f t="shared" si="209"/>
        <v>0</v>
      </c>
      <c r="AY364" s="2987">
        <f t="shared" ref="AY364:AY397" si="213">ROUND($AY$6*AZ364/$AZ$5,2)</f>
        <v>0</v>
      </c>
      <c r="AZ364" s="2942">
        <f t="shared" ref="AZ364:AZ397" si="214">BA364+BL364</f>
        <v>0</v>
      </c>
      <c r="BA364" s="2942">
        <f t="shared" ref="BA364:BA397" si="215">SUM(BB364:BK364)</f>
        <v>0</v>
      </c>
      <c r="BB364" s="2942">
        <f t="shared" ref="BB364:BB397" si="216">IF($D364="是",I364-J364,0)</f>
        <v>0</v>
      </c>
      <c r="BC364" s="2942">
        <f t="shared" ref="BC364:BC397" si="217">IF($D364="是",K364-L364,0)</f>
        <v>0</v>
      </c>
      <c r="BD364" s="2942">
        <f t="shared" ref="BD364:BD397" si="218">IF($D364="是",M364-N364,0)</f>
        <v>0</v>
      </c>
      <c r="BE364" s="2942">
        <f t="shared" ref="BE364:BE397" si="219">IF($D364="是",O364-P364,0)</f>
        <v>0</v>
      </c>
      <c r="BF364" s="2942">
        <f t="shared" ref="BF364:BF397" si="220">IF($D364="是",Q364-R364,0)</f>
        <v>0</v>
      </c>
      <c r="BG364" s="2942">
        <f t="shared" ref="BG364:BG397" si="221">IF($D364="是",S364-T364,0)</f>
        <v>0</v>
      </c>
      <c r="BH364" s="2942">
        <f t="shared" ref="BH364:BH397" si="222">IF($D364="是",U364-V364,0)</f>
        <v>0</v>
      </c>
      <c r="BI364" s="2942">
        <f t="shared" ref="BI364:BI397" si="223">IF($D364="是",W364-X364,0)</f>
        <v>0</v>
      </c>
      <c r="BJ364" s="2942">
        <f t="shared" ref="BJ364:BJ397" si="224">IF($D364="是",Y364-Z364,0)</f>
        <v>0</v>
      </c>
      <c r="BK364" s="2942">
        <f t="shared" ref="BK364:BK397" si="225">IF($D364="是",AA364-AB364,0)</f>
        <v>0</v>
      </c>
      <c r="BL364" s="2942">
        <f t="shared" ref="BL364:BL397" si="226">SUM(BM364:BT364)</f>
        <v>0</v>
      </c>
      <c r="BM364" s="2942">
        <f t="shared" ref="BM364:BM397" si="227">IF($D364="是",AD364-AE364,0)</f>
        <v>0</v>
      </c>
      <c r="BN364" s="2942">
        <f t="shared" ref="BN364:BN397" si="228">IF($D364="是",AF364-AG364,0)</f>
        <v>0</v>
      </c>
      <c r="BO364" s="2942">
        <f t="shared" ref="BO364:BO397" si="229">IF($D364="是",AH364-AI364,0)</f>
        <v>0</v>
      </c>
      <c r="BP364" s="2942">
        <f t="shared" ref="BP364:BP397" si="230">IF($D364="是",AJ364-AK364,0)</f>
        <v>0</v>
      </c>
      <c r="BQ364" s="2942">
        <f t="shared" ref="BQ364:BQ397" si="231">IF($D364="是",AL364-AM364,0)</f>
        <v>0</v>
      </c>
      <c r="BR364" s="2942">
        <f t="shared" ref="BR364:BR397" si="232">IF($D364="是",AN364-AO364,0)</f>
        <v>0</v>
      </c>
      <c r="BS364" s="2942">
        <f t="shared" ref="BS364:BS397" si="233">IF($D364="是",AP364-AQ364,0)</f>
        <v>0</v>
      </c>
      <c r="BT364" s="2994">
        <f t="shared" ref="BT364:BT397" si="234">IF($D364="是",AR364-AS364,0)</f>
        <v>0</v>
      </c>
    </row>
    <row r="365" spans="1:72">
      <c r="A365" s="2939"/>
      <c r="B365" s="2940"/>
      <c r="C365" s="2940"/>
      <c r="D365" s="2941"/>
      <c r="E365" s="2942">
        <f t="shared" si="206"/>
        <v>0</v>
      </c>
      <c r="F365" s="2943"/>
      <c r="G365" s="2944">
        <f t="shared" si="210"/>
        <v>0</v>
      </c>
      <c r="H365" s="2945">
        <f t="shared" si="211"/>
        <v>0</v>
      </c>
      <c r="I365" s="2952"/>
      <c r="J365" s="2952"/>
      <c r="K365" s="2952"/>
      <c r="L365" s="2952"/>
      <c r="M365" s="2952"/>
      <c r="N365" s="2952"/>
      <c r="O365" s="2952"/>
      <c r="P365" s="2952"/>
      <c r="Q365" s="2952"/>
      <c r="R365" s="2952"/>
      <c r="S365" s="2952"/>
      <c r="T365" s="2952"/>
      <c r="U365" s="2952"/>
      <c r="V365" s="2952"/>
      <c r="W365" s="2952"/>
      <c r="X365" s="2952"/>
      <c r="Y365" s="2952"/>
      <c r="Z365" s="2952"/>
      <c r="AA365" s="2952"/>
      <c r="AB365" s="2952"/>
      <c r="AC365" s="2942">
        <f t="shared" si="212"/>
        <v>0</v>
      </c>
      <c r="AD365" s="2962"/>
      <c r="AE365" s="2962"/>
      <c r="AF365" s="2962"/>
      <c r="AG365" s="2962"/>
      <c r="AH365" s="2962"/>
      <c r="AI365" s="2962"/>
      <c r="AJ365" s="2962"/>
      <c r="AK365" s="2962"/>
      <c r="AL365" s="2962"/>
      <c r="AM365" s="2962"/>
      <c r="AN365" s="2962"/>
      <c r="AO365" s="2962"/>
      <c r="AP365" s="2962"/>
      <c r="AQ365" s="2962"/>
      <c r="AR365" s="2962"/>
      <c r="AS365" s="2962"/>
      <c r="AT365" s="2972"/>
      <c r="AU365" s="2973"/>
      <c r="AV365" s="1120">
        <f t="shared" si="207"/>
        <v>0</v>
      </c>
      <c r="AW365" s="1120">
        <f t="shared" si="208"/>
        <v>0</v>
      </c>
      <c r="AX365" s="1120">
        <f t="shared" si="209"/>
        <v>0</v>
      </c>
      <c r="AY365" s="2987">
        <f t="shared" si="213"/>
        <v>0</v>
      </c>
      <c r="AZ365" s="2942">
        <f t="shared" si="214"/>
        <v>0</v>
      </c>
      <c r="BA365" s="2942">
        <f t="shared" si="215"/>
        <v>0</v>
      </c>
      <c r="BB365" s="2942">
        <f t="shared" si="216"/>
        <v>0</v>
      </c>
      <c r="BC365" s="2942">
        <f t="shared" si="217"/>
        <v>0</v>
      </c>
      <c r="BD365" s="2942">
        <f t="shared" si="218"/>
        <v>0</v>
      </c>
      <c r="BE365" s="2942">
        <f t="shared" si="219"/>
        <v>0</v>
      </c>
      <c r="BF365" s="2942">
        <f t="shared" si="220"/>
        <v>0</v>
      </c>
      <c r="BG365" s="2942">
        <f t="shared" si="221"/>
        <v>0</v>
      </c>
      <c r="BH365" s="2942">
        <f t="shared" si="222"/>
        <v>0</v>
      </c>
      <c r="BI365" s="2942">
        <f t="shared" si="223"/>
        <v>0</v>
      </c>
      <c r="BJ365" s="2942">
        <f t="shared" si="224"/>
        <v>0</v>
      </c>
      <c r="BK365" s="2942">
        <f t="shared" si="225"/>
        <v>0</v>
      </c>
      <c r="BL365" s="2942">
        <f t="shared" si="226"/>
        <v>0</v>
      </c>
      <c r="BM365" s="2942">
        <f t="shared" si="227"/>
        <v>0</v>
      </c>
      <c r="BN365" s="2942">
        <f t="shared" si="228"/>
        <v>0</v>
      </c>
      <c r="BO365" s="2942">
        <f t="shared" si="229"/>
        <v>0</v>
      </c>
      <c r="BP365" s="2942">
        <f t="shared" si="230"/>
        <v>0</v>
      </c>
      <c r="BQ365" s="2942">
        <f t="shared" si="231"/>
        <v>0</v>
      </c>
      <c r="BR365" s="2942">
        <f t="shared" si="232"/>
        <v>0</v>
      </c>
      <c r="BS365" s="2942">
        <f t="shared" si="233"/>
        <v>0</v>
      </c>
      <c r="BT365" s="2994">
        <f t="shared" si="234"/>
        <v>0</v>
      </c>
    </row>
    <row r="366" spans="1:72">
      <c r="A366" s="2939"/>
      <c r="B366" s="2940"/>
      <c r="C366" s="2940"/>
      <c r="D366" s="2941"/>
      <c r="E366" s="2942">
        <f t="shared" si="206"/>
        <v>0</v>
      </c>
      <c r="F366" s="2943"/>
      <c r="G366" s="2944">
        <f t="shared" si="210"/>
        <v>0</v>
      </c>
      <c r="H366" s="2945">
        <f t="shared" si="211"/>
        <v>0</v>
      </c>
      <c r="I366" s="2952"/>
      <c r="J366" s="2952"/>
      <c r="K366" s="2952"/>
      <c r="L366" s="2952"/>
      <c r="M366" s="2952"/>
      <c r="N366" s="2952"/>
      <c r="O366" s="2952"/>
      <c r="P366" s="2952"/>
      <c r="Q366" s="2952"/>
      <c r="R366" s="2952"/>
      <c r="S366" s="2952"/>
      <c r="T366" s="2952"/>
      <c r="U366" s="2952"/>
      <c r="V366" s="2952"/>
      <c r="W366" s="2952"/>
      <c r="X366" s="2952"/>
      <c r="Y366" s="2952"/>
      <c r="Z366" s="2952"/>
      <c r="AA366" s="2952"/>
      <c r="AB366" s="2952"/>
      <c r="AC366" s="2942">
        <f t="shared" si="212"/>
        <v>0</v>
      </c>
      <c r="AD366" s="2962"/>
      <c r="AE366" s="2962"/>
      <c r="AF366" s="2962"/>
      <c r="AG366" s="2962"/>
      <c r="AH366" s="2962"/>
      <c r="AI366" s="2962"/>
      <c r="AJ366" s="2962"/>
      <c r="AK366" s="2962"/>
      <c r="AL366" s="2962"/>
      <c r="AM366" s="2962"/>
      <c r="AN366" s="2962"/>
      <c r="AO366" s="2962"/>
      <c r="AP366" s="2962"/>
      <c r="AQ366" s="2962"/>
      <c r="AR366" s="2962"/>
      <c r="AS366" s="2962"/>
      <c r="AT366" s="2972"/>
      <c r="AU366" s="2973"/>
      <c r="AV366" s="1120">
        <f t="shared" si="207"/>
        <v>0</v>
      </c>
      <c r="AW366" s="1120">
        <f t="shared" si="208"/>
        <v>0</v>
      </c>
      <c r="AX366" s="1120">
        <f t="shared" si="209"/>
        <v>0</v>
      </c>
      <c r="AY366" s="2987">
        <f t="shared" si="213"/>
        <v>0</v>
      </c>
      <c r="AZ366" s="2942">
        <f t="shared" si="214"/>
        <v>0</v>
      </c>
      <c r="BA366" s="2942">
        <f t="shared" si="215"/>
        <v>0</v>
      </c>
      <c r="BB366" s="2942">
        <f t="shared" si="216"/>
        <v>0</v>
      </c>
      <c r="BC366" s="2942">
        <f t="shared" si="217"/>
        <v>0</v>
      </c>
      <c r="BD366" s="2942">
        <f t="shared" si="218"/>
        <v>0</v>
      </c>
      <c r="BE366" s="2942">
        <f t="shared" si="219"/>
        <v>0</v>
      </c>
      <c r="BF366" s="2942">
        <f t="shared" si="220"/>
        <v>0</v>
      </c>
      <c r="BG366" s="2942">
        <f t="shared" si="221"/>
        <v>0</v>
      </c>
      <c r="BH366" s="2942">
        <f t="shared" si="222"/>
        <v>0</v>
      </c>
      <c r="BI366" s="2942">
        <f t="shared" si="223"/>
        <v>0</v>
      </c>
      <c r="BJ366" s="2942">
        <f t="shared" si="224"/>
        <v>0</v>
      </c>
      <c r="BK366" s="2942">
        <f t="shared" si="225"/>
        <v>0</v>
      </c>
      <c r="BL366" s="2942">
        <f t="shared" si="226"/>
        <v>0</v>
      </c>
      <c r="BM366" s="2942">
        <f t="shared" si="227"/>
        <v>0</v>
      </c>
      <c r="BN366" s="2942">
        <f t="shared" si="228"/>
        <v>0</v>
      </c>
      <c r="BO366" s="2942">
        <f t="shared" si="229"/>
        <v>0</v>
      </c>
      <c r="BP366" s="2942">
        <f t="shared" si="230"/>
        <v>0</v>
      </c>
      <c r="BQ366" s="2942">
        <f t="shared" si="231"/>
        <v>0</v>
      </c>
      <c r="BR366" s="2942">
        <f t="shared" si="232"/>
        <v>0</v>
      </c>
      <c r="BS366" s="2942">
        <f t="shared" si="233"/>
        <v>0</v>
      </c>
      <c r="BT366" s="2994">
        <f t="shared" si="234"/>
        <v>0</v>
      </c>
    </row>
    <row r="367" spans="1:72">
      <c r="A367" s="2939"/>
      <c r="B367" s="2940"/>
      <c r="C367" s="2940"/>
      <c r="D367" s="2941"/>
      <c r="E367" s="2942">
        <f t="shared" ref="E367:E397" si="235">IF($C$3="是",ROUND($A$3*G367/$B$3,2),ROUND($A$3*(G367-AT367)/$B$3,2))</f>
        <v>0</v>
      </c>
      <c r="F367" s="2943"/>
      <c r="G367" s="2944">
        <f t="shared" si="210"/>
        <v>0</v>
      </c>
      <c r="H367" s="2945">
        <f t="shared" si="211"/>
        <v>0</v>
      </c>
      <c r="I367" s="2952"/>
      <c r="J367" s="2952"/>
      <c r="K367" s="2952"/>
      <c r="L367" s="2952"/>
      <c r="M367" s="2952"/>
      <c r="N367" s="2952"/>
      <c r="O367" s="2952"/>
      <c r="P367" s="2952"/>
      <c r="Q367" s="2952"/>
      <c r="R367" s="2952"/>
      <c r="S367" s="2952"/>
      <c r="T367" s="2952"/>
      <c r="U367" s="2952"/>
      <c r="V367" s="2952"/>
      <c r="W367" s="2952"/>
      <c r="X367" s="2952"/>
      <c r="Y367" s="2952"/>
      <c r="Z367" s="2952"/>
      <c r="AA367" s="2952"/>
      <c r="AB367" s="2952"/>
      <c r="AC367" s="2942">
        <f t="shared" si="212"/>
        <v>0</v>
      </c>
      <c r="AD367" s="2962"/>
      <c r="AE367" s="2962"/>
      <c r="AF367" s="2962"/>
      <c r="AG367" s="2962"/>
      <c r="AH367" s="2962"/>
      <c r="AI367" s="2962"/>
      <c r="AJ367" s="2962"/>
      <c r="AK367" s="2962"/>
      <c r="AL367" s="2962"/>
      <c r="AM367" s="2962"/>
      <c r="AN367" s="2962"/>
      <c r="AO367" s="2962"/>
      <c r="AP367" s="2962"/>
      <c r="AQ367" s="2962"/>
      <c r="AR367" s="2962"/>
      <c r="AS367" s="2962"/>
      <c r="AT367" s="2972"/>
      <c r="AU367" s="2973"/>
      <c r="AV367" s="1120">
        <f t="shared" ref="AV367:AV397" si="236">A367</f>
        <v>0</v>
      </c>
      <c r="AW367" s="1120">
        <f t="shared" ref="AW367:AW397" si="237">B367</f>
        <v>0</v>
      </c>
      <c r="AX367" s="1120">
        <f t="shared" ref="AX367:AX397" si="238">C367</f>
        <v>0</v>
      </c>
      <c r="AY367" s="2987">
        <f t="shared" si="213"/>
        <v>0</v>
      </c>
      <c r="AZ367" s="2942">
        <f t="shared" si="214"/>
        <v>0</v>
      </c>
      <c r="BA367" s="2942">
        <f t="shared" si="215"/>
        <v>0</v>
      </c>
      <c r="BB367" s="2942">
        <f t="shared" si="216"/>
        <v>0</v>
      </c>
      <c r="BC367" s="2942">
        <f t="shared" si="217"/>
        <v>0</v>
      </c>
      <c r="BD367" s="2942">
        <f t="shared" si="218"/>
        <v>0</v>
      </c>
      <c r="BE367" s="2942">
        <f t="shared" si="219"/>
        <v>0</v>
      </c>
      <c r="BF367" s="2942">
        <f t="shared" si="220"/>
        <v>0</v>
      </c>
      <c r="BG367" s="2942">
        <f t="shared" si="221"/>
        <v>0</v>
      </c>
      <c r="BH367" s="2942">
        <f t="shared" si="222"/>
        <v>0</v>
      </c>
      <c r="BI367" s="2942">
        <f t="shared" si="223"/>
        <v>0</v>
      </c>
      <c r="BJ367" s="2942">
        <f t="shared" si="224"/>
        <v>0</v>
      </c>
      <c r="BK367" s="2942">
        <f t="shared" si="225"/>
        <v>0</v>
      </c>
      <c r="BL367" s="2942">
        <f t="shared" si="226"/>
        <v>0</v>
      </c>
      <c r="BM367" s="2942">
        <f t="shared" si="227"/>
        <v>0</v>
      </c>
      <c r="BN367" s="2942">
        <f t="shared" si="228"/>
        <v>0</v>
      </c>
      <c r="BO367" s="2942">
        <f t="shared" si="229"/>
        <v>0</v>
      </c>
      <c r="BP367" s="2942">
        <f t="shared" si="230"/>
        <v>0</v>
      </c>
      <c r="BQ367" s="2942">
        <f t="shared" si="231"/>
        <v>0</v>
      </c>
      <c r="BR367" s="2942">
        <f t="shared" si="232"/>
        <v>0</v>
      </c>
      <c r="BS367" s="2942">
        <f t="shared" si="233"/>
        <v>0</v>
      </c>
      <c r="BT367" s="2994">
        <f t="shared" si="234"/>
        <v>0</v>
      </c>
    </row>
    <row r="368" spans="1:72">
      <c r="A368" s="2939"/>
      <c r="B368" s="2940"/>
      <c r="C368" s="2940"/>
      <c r="D368" s="2941"/>
      <c r="E368" s="2942">
        <f t="shared" si="235"/>
        <v>0</v>
      </c>
      <c r="F368" s="2943"/>
      <c r="G368" s="2944">
        <f t="shared" si="210"/>
        <v>0</v>
      </c>
      <c r="H368" s="2945">
        <f t="shared" si="211"/>
        <v>0</v>
      </c>
      <c r="I368" s="2952"/>
      <c r="J368" s="2952"/>
      <c r="K368" s="2952"/>
      <c r="L368" s="2952"/>
      <c r="M368" s="2952"/>
      <c r="N368" s="2952"/>
      <c r="O368" s="2952"/>
      <c r="P368" s="2952"/>
      <c r="Q368" s="2952"/>
      <c r="R368" s="2952"/>
      <c r="S368" s="2952"/>
      <c r="T368" s="2952"/>
      <c r="U368" s="2952"/>
      <c r="V368" s="2952"/>
      <c r="W368" s="2952"/>
      <c r="X368" s="2952"/>
      <c r="Y368" s="2952"/>
      <c r="Z368" s="2952"/>
      <c r="AA368" s="2952"/>
      <c r="AB368" s="2952"/>
      <c r="AC368" s="2942">
        <f t="shared" si="212"/>
        <v>0</v>
      </c>
      <c r="AD368" s="2962"/>
      <c r="AE368" s="2962"/>
      <c r="AF368" s="2962"/>
      <c r="AG368" s="2962"/>
      <c r="AH368" s="2962"/>
      <c r="AI368" s="2962"/>
      <c r="AJ368" s="2962"/>
      <c r="AK368" s="2962"/>
      <c r="AL368" s="2962"/>
      <c r="AM368" s="2962"/>
      <c r="AN368" s="2962"/>
      <c r="AO368" s="2962"/>
      <c r="AP368" s="2962"/>
      <c r="AQ368" s="2962"/>
      <c r="AR368" s="2962"/>
      <c r="AS368" s="2962"/>
      <c r="AT368" s="2972"/>
      <c r="AU368" s="2973"/>
      <c r="AV368" s="1120">
        <f t="shared" si="236"/>
        <v>0</v>
      </c>
      <c r="AW368" s="1120">
        <f t="shared" si="237"/>
        <v>0</v>
      </c>
      <c r="AX368" s="1120">
        <f t="shared" si="238"/>
        <v>0</v>
      </c>
      <c r="AY368" s="2987">
        <f t="shared" si="213"/>
        <v>0</v>
      </c>
      <c r="AZ368" s="2942">
        <f t="shared" si="214"/>
        <v>0</v>
      </c>
      <c r="BA368" s="2942">
        <f t="shared" si="215"/>
        <v>0</v>
      </c>
      <c r="BB368" s="2942">
        <f t="shared" si="216"/>
        <v>0</v>
      </c>
      <c r="BC368" s="2942">
        <f t="shared" si="217"/>
        <v>0</v>
      </c>
      <c r="BD368" s="2942">
        <f t="shared" si="218"/>
        <v>0</v>
      </c>
      <c r="BE368" s="2942">
        <f t="shared" si="219"/>
        <v>0</v>
      </c>
      <c r="BF368" s="2942">
        <f t="shared" si="220"/>
        <v>0</v>
      </c>
      <c r="BG368" s="2942">
        <f t="shared" si="221"/>
        <v>0</v>
      </c>
      <c r="BH368" s="2942">
        <f t="shared" si="222"/>
        <v>0</v>
      </c>
      <c r="BI368" s="2942">
        <f t="shared" si="223"/>
        <v>0</v>
      </c>
      <c r="BJ368" s="2942">
        <f t="shared" si="224"/>
        <v>0</v>
      </c>
      <c r="BK368" s="2942">
        <f t="shared" si="225"/>
        <v>0</v>
      </c>
      <c r="BL368" s="2942">
        <f t="shared" si="226"/>
        <v>0</v>
      </c>
      <c r="BM368" s="2942">
        <f t="shared" si="227"/>
        <v>0</v>
      </c>
      <c r="BN368" s="2942">
        <f t="shared" si="228"/>
        <v>0</v>
      </c>
      <c r="BO368" s="2942">
        <f t="shared" si="229"/>
        <v>0</v>
      </c>
      <c r="BP368" s="2942">
        <f t="shared" si="230"/>
        <v>0</v>
      </c>
      <c r="BQ368" s="2942">
        <f t="shared" si="231"/>
        <v>0</v>
      </c>
      <c r="BR368" s="2942">
        <f t="shared" si="232"/>
        <v>0</v>
      </c>
      <c r="BS368" s="2942">
        <f t="shared" si="233"/>
        <v>0</v>
      </c>
      <c r="BT368" s="2994">
        <f t="shared" si="234"/>
        <v>0</v>
      </c>
    </row>
    <row r="369" spans="1:72">
      <c r="A369" s="2939"/>
      <c r="B369" s="2940"/>
      <c r="C369" s="2940"/>
      <c r="D369" s="2941"/>
      <c r="E369" s="2942">
        <f t="shared" si="235"/>
        <v>0</v>
      </c>
      <c r="F369" s="2943"/>
      <c r="G369" s="2944">
        <f t="shared" si="210"/>
        <v>0</v>
      </c>
      <c r="H369" s="2945">
        <f t="shared" si="211"/>
        <v>0</v>
      </c>
      <c r="I369" s="2952"/>
      <c r="J369" s="2952"/>
      <c r="K369" s="2952"/>
      <c r="L369" s="2952"/>
      <c r="M369" s="2952"/>
      <c r="N369" s="2952"/>
      <c r="O369" s="2952"/>
      <c r="P369" s="2952"/>
      <c r="Q369" s="2952"/>
      <c r="R369" s="2952"/>
      <c r="S369" s="2952"/>
      <c r="T369" s="2952"/>
      <c r="U369" s="2952"/>
      <c r="V369" s="2952"/>
      <c r="W369" s="2952"/>
      <c r="X369" s="2952"/>
      <c r="Y369" s="2952"/>
      <c r="Z369" s="2952"/>
      <c r="AA369" s="2952"/>
      <c r="AB369" s="2952"/>
      <c r="AC369" s="2942">
        <f t="shared" si="212"/>
        <v>0</v>
      </c>
      <c r="AD369" s="2962"/>
      <c r="AE369" s="2962"/>
      <c r="AF369" s="2962"/>
      <c r="AG369" s="2962"/>
      <c r="AH369" s="2962"/>
      <c r="AI369" s="2962"/>
      <c r="AJ369" s="2962"/>
      <c r="AK369" s="2962"/>
      <c r="AL369" s="2962"/>
      <c r="AM369" s="2962"/>
      <c r="AN369" s="2962"/>
      <c r="AO369" s="2962"/>
      <c r="AP369" s="2962"/>
      <c r="AQ369" s="2962"/>
      <c r="AR369" s="2962"/>
      <c r="AS369" s="2962"/>
      <c r="AT369" s="2972"/>
      <c r="AU369" s="2973"/>
      <c r="AV369" s="1120">
        <f t="shared" si="236"/>
        <v>0</v>
      </c>
      <c r="AW369" s="1120">
        <f t="shared" si="237"/>
        <v>0</v>
      </c>
      <c r="AX369" s="1120">
        <f t="shared" si="238"/>
        <v>0</v>
      </c>
      <c r="AY369" s="2987">
        <f t="shared" si="213"/>
        <v>0</v>
      </c>
      <c r="AZ369" s="2942">
        <f t="shared" si="214"/>
        <v>0</v>
      </c>
      <c r="BA369" s="2942">
        <f t="shared" si="215"/>
        <v>0</v>
      </c>
      <c r="BB369" s="2942">
        <f t="shared" si="216"/>
        <v>0</v>
      </c>
      <c r="BC369" s="2942">
        <f t="shared" si="217"/>
        <v>0</v>
      </c>
      <c r="BD369" s="2942">
        <f t="shared" si="218"/>
        <v>0</v>
      </c>
      <c r="BE369" s="2942">
        <f t="shared" si="219"/>
        <v>0</v>
      </c>
      <c r="BF369" s="2942">
        <f t="shared" si="220"/>
        <v>0</v>
      </c>
      <c r="BG369" s="2942">
        <f t="shared" si="221"/>
        <v>0</v>
      </c>
      <c r="BH369" s="2942">
        <f t="shared" si="222"/>
        <v>0</v>
      </c>
      <c r="BI369" s="2942">
        <f t="shared" si="223"/>
        <v>0</v>
      </c>
      <c r="BJ369" s="2942">
        <f t="shared" si="224"/>
        <v>0</v>
      </c>
      <c r="BK369" s="2942">
        <f t="shared" si="225"/>
        <v>0</v>
      </c>
      <c r="BL369" s="2942">
        <f t="shared" si="226"/>
        <v>0</v>
      </c>
      <c r="BM369" s="2942">
        <f t="shared" si="227"/>
        <v>0</v>
      </c>
      <c r="BN369" s="2942">
        <f t="shared" si="228"/>
        <v>0</v>
      </c>
      <c r="BO369" s="2942">
        <f t="shared" si="229"/>
        <v>0</v>
      </c>
      <c r="BP369" s="2942">
        <f t="shared" si="230"/>
        <v>0</v>
      </c>
      <c r="BQ369" s="2942">
        <f t="shared" si="231"/>
        <v>0</v>
      </c>
      <c r="BR369" s="2942">
        <f t="shared" si="232"/>
        <v>0</v>
      </c>
      <c r="BS369" s="2942">
        <f t="shared" si="233"/>
        <v>0</v>
      </c>
      <c r="BT369" s="2994">
        <f t="shared" si="234"/>
        <v>0</v>
      </c>
    </row>
    <row r="370" spans="1:72">
      <c r="A370" s="2939"/>
      <c r="B370" s="2940"/>
      <c r="C370" s="2940"/>
      <c r="D370" s="2941"/>
      <c r="E370" s="2942">
        <f t="shared" si="235"/>
        <v>0</v>
      </c>
      <c r="F370" s="2943"/>
      <c r="G370" s="2944">
        <f t="shared" si="210"/>
        <v>0</v>
      </c>
      <c r="H370" s="2945">
        <f t="shared" si="211"/>
        <v>0</v>
      </c>
      <c r="I370" s="2952"/>
      <c r="J370" s="2952"/>
      <c r="K370" s="2952"/>
      <c r="L370" s="2952"/>
      <c r="M370" s="2952"/>
      <c r="N370" s="2952"/>
      <c r="O370" s="2952"/>
      <c r="P370" s="2952"/>
      <c r="Q370" s="2952"/>
      <c r="R370" s="2952"/>
      <c r="S370" s="2952"/>
      <c r="T370" s="2952"/>
      <c r="U370" s="2952"/>
      <c r="V370" s="2952"/>
      <c r="W370" s="2952"/>
      <c r="X370" s="2952"/>
      <c r="Y370" s="2952"/>
      <c r="Z370" s="2952"/>
      <c r="AA370" s="2952"/>
      <c r="AB370" s="2952"/>
      <c r="AC370" s="2942">
        <f t="shared" si="212"/>
        <v>0</v>
      </c>
      <c r="AD370" s="2962"/>
      <c r="AE370" s="2962"/>
      <c r="AF370" s="2962"/>
      <c r="AG370" s="2962"/>
      <c r="AH370" s="2962"/>
      <c r="AI370" s="2962"/>
      <c r="AJ370" s="2962"/>
      <c r="AK370" s="2962"/>
      <c r="AL370" s="2962"/>
      <c r="AM370" s="2962"/>
      <c r="AN370" s="2962"/>
      <c r="AO370" s="2962"/>
      <c r="AP370" s="2962"/>
      <c r="AQ370" s="2962"/>
      <c r="AR370" s="2962"/>
      <c r="AS370" s="2962"/>
      <c r="AT370" s="2972"/>
      <c r="AU370" s="2973"/>
      <c r="AV370" s="1120">
        <f t="shared" si="236"/>
        <v>0</v>
      </c>
      <c r="AW370" s="1120">
        <f t="shared" si="237"/>
        <v>0</v>
      </c>
      <c r="AX370" s="1120">
        <f t="shared" si="238"/>
        <v>0</v>
      </c>
      <c r="AY370" s="2987">
        <f t="shared" si="213"/>
        <v>0</v>
      </c>
      <c r="AZ370" s="2942">
        <f t="shared" si="214"/>
        <v>0</v>
      </c>
      <c r="BA370" s="2942">
        <f t="shared" si="215"/>
        <v>0</v>
      </c>
      <c r="BB370" s="2942">
        <f t="shared" si="216"/>
        <v>0</v>
      </c>
      <c r="BC370" s="2942">
        <f t="shared" si="217"/>
        <v>0</v>
      </c>
      <c r="BD370" s="2942">
        <f t="shared" si="218"/>
        <v>0</v>
      </c>
      <c r="BE370" s="2942">
        <f t="shared" si="219"/>
        <v>0</v>
      </c>
      <c r="BF370" s="2942">
        <f t="shared" si="220"/>
        <v>0</v>
      </c>
      <c r="BG370" s="2942">
        <f t="shared" si="221"/>
        <v>0</v>
      </c>
      <c r="BH370" s="2942">
        <f t="shared" si="222"/>
        <v>0</v>
      </c>
      <c r="BI370" s="2942">
        <f t="shared" si="223"/>
        <v>0</v>
      </c>
      <c r="BJ370" s="2942">
        <f t="shared" si="224"/>
        <v>0</v>
      </c>
      <c r="BK370" s="2942">
        <f t="shared" si="225"/>
        <v>0</v>
      </c>
      <c r="BL370" s="2942">
        <f t="shared" si="226"/>
        <v>0</v>
      </c>
      <c r="BM370" s="2942">
        <f t="shared" si="227"/>
        <v>0</v>
      </c>
      <c r="BN370" s="2942">
        <f t="shared" si="228"/>
        <v>0</v>
      </c>
      <c r="BO370" s="2942">
        <f t="shared" si="229"/>
        <v>0</v>
      </c>
      <c r="BP370" s="2942">
        <f t="shared" si="230"/>
        <v>0</v>
      </c>
      <c r="BQ370" s="2942">
        <f t="shared" si="231"/>
        <v>0</v>
      </c>
      <c r="BR370" s="2942">
        <f t="shared" si="232"/>
        <v>0</v>
      </c>
      <c r="BS370" s="2942">
        <f t="shared" si="233"/>
        <v>0</v>
      </c>
      <c r="BT370" s="2994">
        <f t="shared" si="234"/>
        <v>0</v>
      </c>
    </row>
    <row r="371" spans="1:72">
      <c r="A371" s="2939"/>
      <c r="B371" s="2940"/>
      <c r="C371" s="2940"/>
      <c r="D371" s="2941"/>
      <c r="E371" s="2942">
        <f t="shared" si="235"/>
        <v>0</v>
      </c>
      <c r="F371" s="2943"/>
      <c r="G371" s="2944">
        <f t="shared" si="210"/>
        <v>0</v>
      </c>
      <c r="H371" s="2945">
        <f t="shared" si="211"/>
        <v>0</v>
      </c>
      <c r="I371" s="2952"/>
      <c r="J371" s="2952"/>
      <c r="K371" s="2952"/>
      <c r="L371" s="2952"/>
      <c r="M371" s="2952"/>
      <c r="N371" s="2952"/>
      <c r="O371" s="2952"/>
      <c r="P371" s="2952"/>
      <c r="Q371" s="2952"/>
      <c r="R371" s="2952"/>
      <c r="S371" s="2952"/>
      <c r="T371" s="2952"/>
      <c r="U371" s="2952"/>
      <c r="V371" s="2952"/>
      <c r="W371" s="2952"/>
      <c r="X371" s="2952"/>
      <c r="Y371" s="2952"/>
      <c r="Z371" s="2952"/>
      <c r="AA371" s="2952"/>
      <c r="AB371" s="2952"/>
      <c r="AC371" s="2942">
        <f t="shared" si="212"/>
        <v>0</v>
      </c>
      <c r="AD371" s="2962"/>
      <c r="AE371" s="2962"/>
      <c r="AF371" s="2962"/>
      <c r="AG371" s="2962"/>
      <c r="AH371" s="2962"/>
      <c r="AI371" s="2962"/>
      <c r="AJ371" s="2962"/>
      <c r="AK371" s="2962"/>
      <c r="AL371" s="2962"/>
      <c r="AM371" s="2962"/>
      <c r="AN371" s="2962"/>
      <c r="AO371" s="2962"/>
      <c r="AP371" s="2962"/>
      <c r="AQ371" s="2962"/>
      <c r="AR371" s="2962"/>
      <c r="AS371" s="2962"/>
      <c r="AT371" s="2972"/>
      <c r="AU371" s="2973"/>
      <c r="AV371" s="1120">
        <f t="shared" si="236"/>
        <v>0</v>
      </c>
      <c r="AW371" s="1120">
        <f t="shared" si="237"/>
        <v>0</v>
      </c>
      <c r="AX371" s="1120">
        <f t="shared" si="238"/>
        <v>0</v>
      </c>
      <c r="AY371" s="2987">
        <f t="shared" si="213"/>
        <v>0</v>
      </c>
      <c r="AZ371" s="2942">
        <f t="shared" si="214"/>
        <v>0</v>
      </c>
      <c r="BA371" s="2942">
        <f t="shared" si="215"/>
        <v>0</v>
      </c>
      <c r="BB371" s="2942">
        <f t="shared" si="216"/>
        <v>0</v>
      </c>
      <c r="BC371" s="2942">
        <f t="shared" si="217"/>
        <v>0</v>
      </c>
      <c r="BD371" s="2942">
        <f t="shared" si="218"/>
        <v>0</v>
      </c>
      <c r="BE371" s="2942">
        <f t="shared" si="219"/>
        <v>0</v>
      </c>
      <c r="BF371" s="2942">
        <f t="shared" si="220"/>
        <v>0</v>
      </c>
      <c r="BG371" s="2942">
        <f t="shared" si="221"/>
        <v>0</v>
      </c>
      <c r="BH371" s="2942">
        <f t="shared" si="222"/>
        <v>0</v>
      </c>
      <c r="BI371" s="2942">
        <f t="shared" si="223"/>
        <v>0</v>
      </c>
      <c r="BJ371" s="2942">
        <f t="shared" si="224"/>
        <v>0</v>
      </c>
      <c r="BK371" s="2942">
        <f t="shared" si="225"/>
        <v>0</v>
      </c>
      <c r="BL371" s="2942">
        <f t="shared" si="226"/>
        <v>0</v>
      </c>
      <c r="BM371" s="2942">
        <f t="shared" si="227"/>
        <v>0</v>
      </c>
      <c r="BN371" s="2942">
        <f t="shared" si="228"/>
        <v>0</v>
      </c>
      <c r="BO371" s="2942">
        <f t="shared" si="229"/>
        <v>0</v>
      </c>
      <c r="BP371" s="2942">
        <f t="shared" si="230"/>
        <v>0</v>
      </c>
      <c r="BQ371" s="2942">
        <f t="shared" si="231"/>
        <v>0</v>
      </c>
      <c r="BR371" s="2942">
        <f t="shared" si="232"/>
        <v>0</v>
      </c>
      <c r="BS371" s="2942">
        <f t="shared" si="233"/>
        <v>0</v>
      </c>
      <c r="BT371" s="2994">
        <f t="shared" si="234"/>
        <v>0</v>
      </c>
    </row>
    <row r="372" spans="1:72">
      <c r="A372" s="2939"/>
      <c r="B372" s="2940"/>
      <c r="C372" s="2940"/>
      <c r="D372" s="2941"/>
      <c r="E372" s="2942">
        <f t="shared" si="235"/>
        <v>0</v>
      </c>
      <c r="F372" s="2943"/>
      <c r="G372" s="2944">
        <f t="shared" si="210"/>
        <v>0</v>
      </c>
      <c r="H372" s="2945">
        <f t="shared" si="211"/>
        <v>0</v>
      </c>
      <c r="I372" s="2952"/>
      <c r="J372" s="2952"/>
      <c r="K372" s="2952"/>
      <c r="L372" s="2952"/>
      <c r="M372" s="2952"/>
      <c r="N372" s="2952"/>
      <c r="O372" s="2952"/>
      <c r="P372" s="2952"/>
      <c r="Q372" s="2952"/>
      <c r="R372" s="2952"/>
      <c r="S372" s="2952"/>
      <c r="T372" s="2952"/>
      <c r="U372" s="2952"/>
      <c r="V372" s="2952"/>
      <c r="W372" s="2952"/>
      <c r="X372" s="2952"/>
      <c r="Y372" s="2952"/>
      <c r="Z372" s="2952"/>
      <c r="AA372" s="2952"/>
      <c r="AB372" s="2952"/>
      <c r="AC372" s="2942">
        <f t="shared" si="212"/>
        <v>0</v>
      </c>
      <c r="AD372" s="2962"/>
      <c r="AE372" s="2962"/>
      <c r="AF372" s="2962"/>
      <c r="AG372" s="2962"/>
      <c r="AH372" s="2962"/>
      <c r="AI372" s="2962"/>
      <c r="AJ372" s="2962"/>
      <c r="AK372" s="2962"/>
      <c r="AL372" s="2962"/>
      <c r="AM372" s="2962"/>
      <c r="AN372" s="2962"/>
      <c r="AO372" s="2962"/>
      <c r="AP372" s="2962"/>
      <c r="AQ372" s="2962"/>
      <c r="AR372" s="2962"/>
      <c r="AS372" s="2962"/>
      <c r="AT372" s="2972"/>
      <c r="AU372" s="2973"/>
      <c r="AV372" s="1120">
        <f t="shared" si="236"/>
        <v>0</v>
      </c>
      <c r="AW372" s="1120">
        <f t="shared" si="237"/>
        <v>0</v>
      </c>
      <c r="AX372" s="1120">
        <f t="shared" si="238"/>
        <v>0</v>
      </c>
      <c r="AY372" s="2987">
        <f t="shared" si="213"/>
        <v>0</v>
      </c>
      <c r="AZ372" s="2942">
        <f t="shared" si="214"/>
        <v>0</v>
      </c>
      <c r="BA372" s="2942">
        <f t="shared" si="215"/>
        <v>0</v>
      </c>
      <c r="BB372" s="2942">
        <f t="shared" si="216"/>
        <v>0</v>
      </c>
      <c r="BC372" s="2942">
        <f t="shared" si="217"/>
        <v>0</v>
      </c>
      <c r="BD372" s="2942">
        <f t="shared" si="218"/>
        <v>0</v>
      </c>
      <c r="BE372" s="2942">
        <f t="shared" si="219"/>
        <v>0</v>
      </c>
      <c r="BF372" s="2942">
        <f t="shared" si="220"/>
        <v>0</v>
      </c>
      <c r="BG372" s="2942">
        <f t="shared" si="221"/>
        <v>0</v>
      </c>
      <c r="BH372" s="2942">
        <f t="shared" si="222"/>
        <v>0</v>
      </c>
      <c r="BI372" s="2942">
        <f t="shared" si="223"/>
        <v>0</v>
      </c>
      <c r="BJ372" s="2942">
        <f t="shared" si="224"/>
        <v>0</v>
      </c>
      <c r="BK372" s="2942">
        <f t="shared" si="225"/>
        <v>0</v>
      </c>
      <c r="BL372" s="2942">
        <f t="shared" si="226"/>
        <v>0</v>
      </c>
      <c r="BM372" s="2942">
        <f t="shared" si="227"/>
        <v>0</v>
      </c>
      <c r="BN372" s="2942">
        <f t="shared" si="228"/>
        <v>0</v>
      </c>
      <c r="BO372" s="2942">
        <f t="shared" si="229"/>
        <v>0</v>
      </c>
      <c r="BP372" s="2942">
        <f t="shared" si="230"/>
        <v>0</v>
      </c>
      <c r="BQ372" s="2942">
        <f t="shared" si="231"/>
        <v>0</v>
      </c>
      <c r="BR372" s="2942">
        <f t="shared" si="232"/>
        <v>0</v>
      </c>
      <c r="BS372" s="2942">
        <f t="shared" si="233"/>
        <v>0</v>
      </c>
      <c r="BT372" s="2994">
        <f t="shared" si="234"/>
        <v>0</v>
      </c>
    </row>
    <row r="373" spans="1:72">
      <c r="A373" s="2939"/>
      <c r="B373" s="2940"/>
      <c r="C373" s="2940"/>
      <c r="D373" s="2941"/>
      <c r="E373" s="2942">
        <f t="shared" si="235"/>
        <v>0</v>
      </c>
      <c r="F373" s="2943"/>
      <c r="G373" s="2944">
        <f t="shared" si="210"/>
        <v>0</v>
      </c>
      <c r="H373" s="2945">
        <f t="shared" si="211"/>
        <v>0</v>
      </c>
      <c r="I373" s="2952"/>
      <c r="J373" s="2952"/>
      <c r="K373" s="2952"/>
      <c r="L373" s="2952"/>
      <c r="M373" s="2952"/>
      <c r="N373" s="2952"/>
      <c r="O373" s="2952"/>
      <c r="P373" s="2952"/>
      <c r="Q373" s="2952"/>
      <c r="R373" s="2952"/>
      <c r="S373" s="2952"/>
      <c r="T373" s="2952"/>
      <c r="U373" s="2952"/>
      <c r="V373" s="2952"/>
      <c r="W373" s="2952"/>
      <c r="X373" s="2952"/>
      <c r="Y373" s="2952"/>
      <c r="Z373" s="2952"/>
      <c r="AA373" s="2952"/>
      <c r="AB373" s="2952"/>
      <c r="AC373" s="2942">
        <f t="shared" si="212"/>
        <v>0</v>
      </c>
      <c r="AD373" s="2962"/>
      <c r="AE373" s="2962"/>
      <c r="AF373" s="2962"/>
      <c r="AG373" s="2962"/>
      <c r="AH373" s="2962"/>
      <c r="AI373" s="2962"/>
      <c r="AJ373" s="2962"/>
      <c r="AK373" s="2962"/>
      <c r="AL373" s="2962"/>
      <c r="AM373" s="2962"/>
      <c r="AN373" s="2962"/>
      <c r="AO373" s="2962"/>
      <c r="AP373" s="2962"/>
      <c r="AQ373" s="2962"/>
      <c r="AR373" s="2962"/>
      <c r="AS373" s="2962"/>
      <c r="AT373" s="2972"/>
      <c r="AU373" s="2973"/>
      <c r="AV373" s="1120">
        <f t="shared" si="236"/>
        <v>0</v>
      </c>
      <c r="AW373" s="1120">
        <f t="shared" si="237"/>
        <v>0</v>
      </c>
      <c r="AX373" s="1120">
        <f t="shared" si="238"/>
        <v>0</v>
      </c>
      <c r="AY373" s="2987">
        <f t="shared" si="213"/>
        <v>0</v>
      </c>
      <c r="AZ373" s="2942">
        <f t="shared" si="214"/>
        <v>0</v>
      </c>
      <c r="BA373" s="2942">
        <f t="shared" si="215"/>
        <v>0</v>
      </c>
      <c r="BB373" s="2942">
        <f t="shared" si="216"/>
        <v>0</v>
      </c>
      <c r="BC373" s="2942">
        <f t="shared" si="217"/>
        <v>0</v>
      </c>
      <c r="BD373" s="2942">
        <f t="shared" si="218"/>
        <v>0</v>
      </c>
      <c r="BE373" s="2942">
        <f t="shared" si="219"/>
        <v>0</v>
      </c>
      <c r="BF373" s="2942">
        <f t="shared" si="220"/>
        <v>0</v>
      </c>
      <c r="BG373" s="2942">
        <f t="shared" si="221"/>
        <v>0</v>
      </c>
      <c r="BH373" s="2942">
        <f t="shared" si="222"/>
        <v>0</v>
      </c>
      <c r="BI373" s="2942">
        <f t="shared" si="223"/>
        <v>0</v>
      </c>
      <c r="BJ373" s="2942">
        <f t="shared" si="224"/>
        <v>0</v>
      </c>
      <c r="BK373" s="2942">
        <f t="shared" si="225"/>
        <v>0</v>
      </c>
      <c r="BL373" s="2942">
        <f t="shared" si="226"/>
        <v>0</v>
      </c>
      <c r="BM373" s="2942">
        <f t="shared" si="227"/>
        <v>0</v>
      </c>
      <c r="BN373" s="2942">
        <f t="shared" si="228"/>
        <v>0</v>
      </c>
      <c r="BO373" s="2942">
        <f t="shared" si="229"/>
        <v>0</v>
      </c>
      <c r="BP373" s="2942">
        <f t="shared" si="230"/>
        <v>0</v>
      </c>
      <c r="BQ373" s="2942">
        <f t="shared" si="231"/>
        <v>0</v>
      </c>
      <c r="BR373" s="2942">
        <f t="shared" si="232"/>
        <v>0</v>
      </c>
      <c r="BS373" s="2942">
        <f t="shared" si="233"/>
        <v>0</v>
      </c>
      <c r="BT373" s="2994">
        <f t="shared" si="234"/>
        <v>0</v>
      </c>
    </row>
    <row r="374" spans="1:72">
      <c r="A374" s="2939"/>
      <c r="B374" s="2940"/>
      <c r="C374" s="2940"/>
      <c r="D374" s="2941"/>
      <c r="E374" s="2942">
        <f t="shared" si="235"/>
        <v>0</v>
      </c>
      <c r="F374" s="2943"/>
      <c r="G374" s="2944">
        <f t="shared" si="210"/>
        <v>0</v>
      </c>
      <c r="H374" s="2945">
        <f t="shared" si="211"/>
        <v>0</v>
      </c>
      <c r="I374" s="2952"/>
      <c r="J374" s="2952"/>
      <c r="K374" s="2952"/>
      <c r="L374" s="2952"/>
      <c r="M374" s="2952"/>
      <c r="N374" s="2952"/>
      <c r="O374" s="2952"/>
      <c r="P374" s="2952"/>
      <c r="Q374" s="2952"/>
      <c r="R374" s="2952"/>
      <c r="S374" s="2952"/>
      <c r="T374" s="2952"/>
      <c r="U374" s="2952"/>
      <c r="V374" s="2952"/>
      <c r="W374" s="2952"/>
      <c r="X374" s="2952"/>
      <c r="Y374" s="2952"/>
      <c r="Z374" s="2952"/>
      <c r="AA374" s="2952"/>
      <c r="AB374" s="2952"/>
      <c r="AC374" s="2942">
        <f t="shared" si="212"/>
        <v>0</v>
      </c>
      <c r="AD374" s="2962"/>
      <c r="AE374" s="2962"/>
      <c r="AF374" s="2962"/>
      <c r="AG374" s="2962"/>
      <c r="AH374" s="2962"/>
      <c r="AI374" s="2962"/>
      <c r="AJ374" s="2962"/>
      <c r="AK374" s="2962"/>
      <c r="AL374" s="2962"/>
      <c r="AM374" s="2962"/>
      <c r="AN374" s="2962"/>
      <c r="AO374" s="2962"/>
      <c r="AP374" s="2962"/>
      <c r="AQ374" s="2962"/>
      <c r="AR374" s="2962"/>
      <c r="AS374" s="2962"/>
      <c r="AT374" s="2972"/>
      <c r="AU374" s="2973"/>
      <c r="AV374" s="1120">
        <f t="shared" si="236"/>
        <v>0</v>
      </c>
      <c r="AW374" s="1120">
        <f t="shared" si="237"/>
        <v>0</v>
      </c>
      <c r="AX374" s="1120">
        <f t="shared" si="238"/>
        <v>0</v>
      </c>
      <c r="AY374" s="2987">
        <f t="shared" si="213"/>
        <v>0</v>
      </c>
      <c r="AZ374" s="2942">
        <f t="shared" si="214"/>
        <v>0</v>
      </c>
      <c r="BA374" s="2942">
        <f t="shared" si="215"/>
        <v>0</v>
      </c>
      <c r="BB374" s="2942">
        <f t="shared" si="216"/>
        <v>0</v>
      </c>
      <c r="BC374" s="2942">
        <f t="shared" si="217"/>
        <v>0</v>
      </c>
      <c r="BD374" s="2942">
        <f t="shared" si="218"/>
        <v>0</v>
      </c>
      <c r="BE374" s="2942">
        <f t="shared" si="219"/>
        <v>0</v>
      </c>
      <c r="BF374" s="2942">
        <f t="shared" si="220"/>
        <v>0</v>
      </c>
      <c r="BG374" s="2942">
        <f t="shared" si="221"/>
        <v>0</v>
      </c>
      <c r="BH374" s="2942">
        <f t="shared" si="222"/>
        <v>0</v>
      </c>
      <c r="BI374" s="2942">
        <f t="shared" si="223"/>
        <v>0</v>
      </c>
      <c r="BJ374" s="2942">
        <f t="shared" si="224"/>
        <v>0</v>
      </c>
      <c r="BK374" s="2942">
        <f t="shared" si="225"/>
        <v>0</v>
      </c>
      <c r="BL374" s="2942">
        <f t="shared" si="226"/>
        <v>0</v>
      </c>
      <c r="BM374" s="2942">
        <f t="shared" si="227"/>
        <v>0</v>
      </c>
      <c r="BN374" s="2942">
        <f t="shared" si="228"/>
        <v>0</v>
      </c>
      <c r="BO374" s="2942">
        <f t="shared" si="229"/>
        <v>0</v>
      </c>
      <c r="BP374" s="2942">
        <f t="shared" si="230"/>
        <v>0</v>
      </c>
      <c r="BQ374" s="2942">
        <f t="shared" si="231"/>
        <v>0</v>
      </c>
      <c r="BR374" s="2942">
        <f t="shared" si="232"/>
        <v>0</v>
      </c>
      <c r="BS374" s="2942">
        <f t="shared" si="233"/>
        <v>0</v>
      </c>
      <c r="BT374" s="2994">
        <f t="shared" si="234"/>
        <v>0</v>
      </c>
    </row>
    <row r="375" spans="1:72">
      <c r="A375" s="2939"/>
      <c r="B375" s="2940"/>
      <c r="C375" s="2940"/>
      <c r="D375" s="2941"/>
      <c r="E375" s="2942">
        <f t="shared" si="235"/>
        <v>0</v>
      </c>
      <c r="F375" s="2943"/>
      <c r="G375" s="2944">
        <f t="shared" si="210"/>
        <v>0</v>
      </c>
      <c r="H375" s="2945">
        <f t="shared" si="211"/>
        <v>0</v>
      </c>
      <c r="I375" s="2952"/>
      <c r="J375" s="2952"/>
      <c r="K375" s="2952"/>
      <c r="L375" s="2952"/>
      <c r="M375" s="2952"/>
      <c r="N375" s="2952"/>
      <c r="O375" s="2952"/>
      <c r="P375" s="2952"/>
      <c r="Q375" s="2952"/>
      <c r="R375" s="2952"/>
      <c r="S375" s="2952"/>
      <c r="T375" s="2952"/>
      <c r="U375" s="2952"/>
      <c r="V375" s="2952"/>
      <c r="W375" s="2952"/>
      <c r="X375" s="2952"/>
      <c r="Y375" s="2952"/>
      <c r="Z375" s="2952"/>
      <c r="AA375" s="2952"/>
      <c r="AB375" s="2952"/>
      <c r="AC375" s="2942">
        <f t="shared" si="212"/>
        <v>0</v>
      </c>
      <c r="AD375" s="2962"/>
      <c r="AE375" s="2962"/>
      <c r="AF375" s="2962"/>
      <c r="AG375" s="2962"/>
      <c r="AH375" s="2962"/>
      <c r="AI375" s="2962"/>
      <c r="AJ375" s="2962"/>
      <c r="AK375" s="2962"/>
      <c r="AL375" s="2962"/>
      <c r="AM375" s="2962"/>
      <c r="AN375" s="2962"/>
      <c r="AO375" s="2962"/>
      <c r="AP375" s="2962"/>
      <c r="AQ375" s="2962"/>
      <c r="AR375" s="2962"/>
      <c r="AS375" s="2962"/>
      <c r="AT375" s="2972"/>
      <c r="AU375" s="2973"/>
      <c r="AV375" s="1120">
        <f t="shared" si="236"/>
        <v>0</v>
      </c>
      <c r="AW375" s="1120">
        <f t="shared" si="237"/>
        <v>0</v>
      </c>
      <c r="AX375" s="1120">
        <f t="shared" si="238"/>
        <v>0</v>
      </c>
      <c r="AY375" s="2987">
        <f t="shared" si="213"/>
        <v>0</v>
      </c>
      <c r="AZ375" s="2942">
        <f t="shared" si="214"/>
        <v>0</v>
      </c>
      <c r="BA375" s="2942">
        <f t="shared" si="215"/>
        <v>0</v>
      </c>
      <c r="BB375" s="2942">
        <f t="shared" si="216"/>
        <v>0</v>
      </c>
      <c r="BC375" s="2942">
        <f t="shared" si="217"/>
        <v>0</v>
      </c>
      <c r="BD375" s="2942">
        <f t="shared" si="218"/>
        <v>0</v>
      </c>
      <c r="BE375" s="2942">
        <f t="shared" si="219"/>
        <v>0</v>
      </c>
      <c r="BF375" s="2942">
        <f t="shared" si="220"/>
        <v>0</v>
      </c>
      <c r="BG375" s="2942">
        <f t="shared" si="221"/>
        <v>0</v>
      </c>
      <c r="BH375" s="2942">
        <f t="shared" si="222"/>
        <v>0</v>
      </c>
      <c r="BI375" s="2942">
        <f t="shared" si="223"/>
        <v>0</v>
      </c>
      <c r="BJ375" s="2942">
        <f t="shared" si="224"/>
        <v>0</v>
      </c>
      <c r="BK375" s="2942">
        <f t="shared" si="225"/>
        <v>0</v>
      </c>
      <c r="BL375" s="2942">
        <f t="shared" si="226"/>
        <v>0</v>
      </c>
      <c r="BM375" s="2942">
        <f t="shared" si="227"/>
        <v>0</v>
      </c>
      <c r="BN375" s="2942">
        <f t="shared" si="228"/>
        <v>0</v>
      </c>
      <c r="BO375" s="2942">
        <f t="shared" si="229"/>
        <v>0</v>
      </c>
      <c r="BP375" s="2942">
        <f t="shared" si="230"/>
        <v>0</v>
      </c>
      <c r="BQ375" s="2942">
        <f t="shared" si="231"/>
        <v>0</v>
      </c>
      <c r="BR375" s="2942">
        <f t="shared" si="232"/>
        <v>0</v>
      </c>
      <c r="BS375" s="2942">
        <f t="shared" si="233"/>
        <v>0</v>
      </c>
      <c r="BT375" s="2994">
        <f t="shared" si="234"/>
        <v>0</v>
      </c>
    </row>
    <row r="376" spans="1:72">
      <c r="A376" s="2939"/>
      <c r="B376" s="2940"/>
      <c r="C376" s="2940"/>
      <c r="D376" s="2941"/>
      <c r="E376" s="2942">
        <f t="shared" si="235"/>
        <v>0</v>
      </c>
      <c r="F376" s="2943"/>
      <c r="G376" s="2944">
        <f t="shared" si="210"/>
        <v>0</v>
      </c>
      <c r="H376" s="2945">
        <f t="shared" si="211"/>
        <v>0</v>
      </c>
      <c r="I376" s="2952"/>
      <c r="J376" s="2952"/>
      <c r="K376" s="2952"/>
      <c r="L376" s="2952"/>
      <c r="M376" s="2952"/>
      <c r="N376" s="2952"/>
      <c r="O376" s="2952"/>
      <c r="P376" s="2952"/>
      <c r="Q376" s="2952"/>
      <c r="R376" s="2952"/>
      <c r="S376" s="2952"/>
      <c r="T376" s="2952"/>
      <c r="U376" s="2952"/>
      <c r="V376" s="2952"/>
      <c r="W376" s="2952"/>
      <c r="X376" s="2952"/>
      <c r="Y376" s="2952"/>
      <c r="Z376" s="2952"/>
      <c r="AA376" s="2952"/>
      <c r="AB376" s="2952"/>
      <c r="AC376" s="2942">
        <f t="shared" si="212"/>
        <v>0</v>
      </c>
      <c r="AD376" s="2962"/>
      <c r="AE376" s="2962"/>
      <c r="AF376" s="2962"/>
      <c r="AG376" s="2962"/>
      <c r="AH376" s="2962"/>
      <c r="AI376" s="2962"/>
      <c r="AJ376" s="2962"/>
      <c r="AK376" s="2962"/>
      <c r="AL376" s="2962"/>
      <c r="AM376" s="2962"/>
      <c r="AN376" s="2962"/>
      <c r="AO376" s="2962"/>
      <c r="AP376" s="2962"/>
      <c r="AQ376" s="2962"/>
      <c r="AR376" s="2962"/>
      <c r="AS376" s="2962"/>
      <c r="AT376" s="2972"/>
      <c r="AU376" s="2973"/>
      <c r="AV376" s="1120">
        <f t="shared" si="236"/>
        <v>0</v>
      </c>
      <c r="AW376" s="1120">
        <f t="shared" si="237"/>
        <v>0</v>
      </c>
      <c r="AX376" s="1120">
        <f t="shared" si="238"/>
        <v>0</v>
      </c>
      <c r="AY376" s="2987">
        <f t="shared" si="213"/>
        <v>0</v>
      </c>
      <c r="AZ376" s="2942">
        <f t="shared" si="214"/>
        <v>0</v>
      </c>
      <c r="BA376" s="2942">
        <f t="shared" si="215"/>
        <v>0</v>
      </c>
      <c r="BB376" s="2942">
        <f t="shared" si="216"/>
        <v>0</v>
      </c>
      <c r="BC376" s="2942">
        <f t="shared" si="217"/>
        <v>0</v>
      </c>
      <c r="BD376" s="2942">
        <f t="shared" si="218"/>
        <v>0</v>
      </c>
      <c r="BE376" s="2942">
        <f t="shared" si="219"/>
        <v>0</v>
      </c>
      <c r="BF376" s="2942">
        <f t="shared" si="220"/>
        <v>0</v>
      </c>
      <c r="BG376" s="2942">
        <f t="shared" si="221"/>
        <v>0</v>
      </c>
      <c r="BH376" s="2942">
        <f t="shared" si="222"/>
        <v>0</v>
      </c>
      <c r="BI376" s="2942">
        <f t="shared" si="223"/>
        <v>0</v>
      </c>
      <c r="BJ376" s="2942">
        <f t="shared" si="224"/>
        <v>0</v>
      </c>
      <c r="BK376" s="2942">
        <f t="shared" si="225"/>
        <v>0</v>
      </c>
      <c r="BL376" s="2942">
        <f t="shared" si="226"/>
        <v>0</v>
      </c>
      <c r="BM376" s="2942">
        <f t="shared" si="227"/>
        <v>0</v>
      </c>
      <c r="BN376" s="2942">
        <f t="shared" si="228"/>
        <v>0</v>
      </c>
      <c r="BO376" s="2942">
        <f t="shared" si="229"/>
        <v>0</v>
      </c>
      <c r="BP376" s="2942">
        <f t="shared" si="230"/>
        <v>0</v>
      </c>
      <c r="BQ376" s="2942">
        <f t="shared" si="231"/>
        <v>0</v>
      </c>
      <c r="BR376" s="2942">
        <f t="shared" si="232"/>
        <v>0</v>
      </c>
      <c r="BS376" s="2942">
        <f t="shared" si="233"/>
        <v>0</v>
      </c>
      <c r="BT376" s="2994">
        <f t="shared" si="234"/>
        <v>0</v>
      </c>
    </row>
    <row r="377" spans="1:72">
      <c r="A377" s="2939"/>
      <c r="B377" s="2940"/>
      <c r="C377" s="2940"/>
      <c r="D377" s="2941"/>
      <c r="E377" s="2942">
        <f t="shared" si="235"/>
        <v>0</v>
      </c>
      <c r="F377" s="2943"/>
      <c r="G377" s="2944">
        <f t="shared" si="210"/>
        <v>0</v>
      </c>
      <c r="H377" s="2945">
        <f t="shared" si="211"/>
        <v>0</v>
      </c>
      <c r="I377" s="2952"/>
      <c r="J377" s="2952"/>
      <c r="K377" s="2952"/>
      <c r="L377" s="2952"/>
      <c r="M377" s="2952"/>
      <c r="N377" s="2952"/>
      <c r="O377" s="2952"/>
      <c r="P377" s="2952"/>
      <c r="Q377" s="2952"/>
      <c r="R377" s="2952"/>
      <c r="S377" s="2952"/>
      <c r="T377" s="2952"/>
      <c r="U377" s="2952"/>
      <c r="V377" s="2952"/>
      <c r="W377" s="2952"/>
      <c r="X377" s="2952"/>
      <c r="Y377" s="2952"/>
      <c r="Z377" s="2952"/>
      <c r="AA377" s="2952"/>
      <c r="AB377" s="2952"/>
      <c r="AC377" s="2942">
        <f t="shared" si="212"/>
        <v>0</v>
      </c>
      <c r="AD377" s="2962"/>
      <c r="AE377" s="2962"/>
      <c r="AF377" s="2962"/>
      <c r="AG377" s="2962"/>
      <c r="AH377" s="2962"/>
      <c r="AI377" s="2962"/>
      <c r="AJ377" s="2962"/>
      <c r="AK377" s="2962"/>
      <c r="AL377" s="2962"/>
      <c r="AM377" s="2962"/>
      <c r="AN377" s="2962"/>
      <c r="AO377" s="2962"/>
      <c r="AP377" s="2962"/>
      <c r="AQ377" s="2962"/>
      <c r="AR377" s="2962"/>
      <c r="AS377" s="2962"/>
      <c r="AT377" s="2972"/>
      <c r="AU377" s="2973"/>
      <c r="AV377" s="1120">
        <f t="shared" si="236"/>
        <v>0</v>
      </c>
      <c r="AW377" s="1120">
        <f t="shared" si="237"/>
        <v>0</v>
      </c>
      <c r="AX377" s="1120">
        <f t="shared" si="238"/>
        <v>0</v>
      </c>
      <c r="AY377" s="2987">
        <f t="shared" si="213"/>
        <v>0</v>
      </c>
      <c r="AZ377" s="2942">
        <f t="shared" si="214"/>
        <v>0</v>
      </c>
      <c r="BA377" s="2942">
        <f t="shared" si="215"/>
        <v>0</v>
      </c>
      <c r="BB377" s="2942">
        <f t="shared" si="216"/>
        <v>0</v>
      </c>
      <c r="BC377" s="2942">
        <f t="shared" si="217"/>
        <v>0</v>
      </c>
      <c r="BD377" s="2942">
        <f t="shared" si="218"/>
        <v>0</v>
      </c>
      <c r="BE377" s="2942">
        <f t="shared" si="219"/>
        <v>0</v>
      </c>
      <c r="BF377" s="2942">
        <f t="shared" si="220"/>
        <v>0</v>
      </c>
      <c r="BG377" s="2942">
        <f t="shared" si="221"/>
        <v>0</v>
      </c>
      <c r="BH377" s="2942">
        <f t="shared" si="222"/>
        <v>0</v>
      </c>
      <c r="BI377" s="2942">
        <f t="shared" si="223"/>
        <v>0</v>
      </c>
      <c r="BJ377" s="2942">
        <f t="shared" si="224"/>
        <v>0</v>
      </c>
      <c r="BK377" s="2942">
        <f t="shared" si="225"/>
        <v>0</v>
      </c>
      <c r="BL377" s="2942">
        <f t="shared" si="226"/>
        <v>0</v>
      </c>
      <c r="BM377" s="2942">
        <f t="shared" si="227"/>
        <v>0</v>
      </c>
      <c r="BN377" s="2942">
        <f t="shared" si="228"/>
        <v>0</v>
      </c>
      <c r="BO377" s="2942">
        <f t="shared" si="229"/>
        <v>0</v>
      </c>
      <c r="BP377" s="2942">
        <f t="shared" si="230"/>
        <v>0</v>
      </c>
      <c r="BQ377" s="2942">
        <f t="shared" si="231"/>
        <v>0</v>
      </c>
      <c r="BR377" s="2942">
        <f t="shared" si="232"/>
        <v>0</v>
      </c>
      <c r="BS377" s="2942">
        <f t="shared" si="233"/>
        <v>0</v>
      </c>
      <c r="BT377" s="2994">
        <f t="shared" si="234"/>
        <v>0</v>
      </c>
    </row>
    <row r="378" spans="1:72">
      <c r="A378" s="2939"/>
      <c r="B378" s="2940"/>
      <c r="C378" s="2940"/>
      <c r="D378" s="2941"/>
      <c r="E378" s="2942">
        <f t="shared" si="235"/>
        <v>0</v>
      </c>
      <c r="F378" s="2943"/>
      <c r="G378" s="2944">
        <f t="shared" si="210"/>
        <v>0</v>
      </c>
      <c r="H378" s="2945">
        <f t="shared" si="211"/>
        <v>0</v>
      </c>
      <c r="I378" s="2952"/>
      <c r="J378" s="2952"/>
      <c r="K378" s="2952"/>
      <c r="L378" s="2952"/>
      <c r="M378" s="2952"/>
      <c r="N378" s="2952"/>
      <c r="O378" s="2952"/>
      <c r="P378" s="2952"/>
      <c r="Q378" s="2952"/>
      <c r="R378" s="2952"/>
      <c r="S378" s="2952"/>
      <c r="T378" s="2952"/>
      <c r="U378" s="2952"/>
      <c r="V378" s="2952"/>
      <c r="W378" s="2952"/>
      <c r="X378" s="2952"/>
      <c r="Y378" s="2952"/>
      <c r="Z378" s="2952"/>
      <c r="AA378" s="2952"/>
      <c r="AB378" s="2952"/>
      <c r="AC378" s="2942">
        <f t="shared" si="212"/>
        <v>0</v>
      </c>
      <c r="AD378" s="2962"/>
      <c r="AE378" s="2962"/>
      <c r="AF378" s="2962"/>
      <c r="AG378" s="2962"/>
      <c r="AH378" s="2962"/>
      <c r="AI378" s="2962"/>
      <c r="AJ378" s="2962"/>
      <c r="AK378" s="2962"/>
      <c r="AL378" s="2962"/>
      <c r="AM378" s="2962"/>
      <c r="AN378" s="2962"/>
      <c r="AO378" s="2962"/>
      <c r="AP378" s="2962"/>
      <c r="AQ378" s="2962"/>
      <c r="AR378" s="2962"/>
      <c r="AS378" s="2962"/>
      <c r="AT378" s="2972"/>
      <c r="AU378" s="2973"/>
      <c r="AV378" s="1120">
        <f t="shared" si="236"/>
        <v>0</v>
      </c>
      <c r="AW378" s="1120">
        <f t="shared" si="237"/>
        <v>0</v>
      </c>
      <c r="AX378" s="1120">
        <f t="shared" si="238"/>
        <v>0</v>
      </c>
      <c r="AY378" s="2987">
        <f t="shared" si="213"/>
        <v>0</v>
      </c>
      <c r="AZ378" s="2942">
        <f t="shared" si="214"/>
        <v>0</v>
      </c>
      <c r="BA378" s="2942">
        <f t="shared" si="215"/>
        <v>0</v>
      </c>
      <c r="BB378" s="2942">
        <f t="shared" si="216"/>
        <v>0</v>
      </c>
      <c r="BC378" s="2942">
        <f t="shared" si="217"/>
        <v>0</v>
      </c>
      <c r="BD378" s="2942">
        <f t="shared" si="218"/>
        <v>0</v>
      </c>
      <c r="BE378" s="2942">
        <f t="shared" si="219"/>
        <v>0</v>
      </c>
      <c r="BF378" s="2942">
        <f t="shared" si="220"/>
        <v>0</v>
      </c>
      <c r="BG378" s="2942">
        <f t="shared" si="221"/>
        <v>0</v>
      </c>
      <c r="BH378" s="2942">
        <f t="shared" si="222"/>
        <v>0</v>
      </c>
      <c r="BI378" s="2942">
        <f t="shared" si="223"/>
        <v>0</v>
      </c>
      <c r="BJ378" s="2942">
        <f t="shared" si="224"/>
        <v>0</v>
      </c>
      <c r="BK378" s="2942">
        <f t="shared" si="225"/>
        <v>0</v>
      </c>
      <c r="BL378" s="2942">
        <f t="shared" si="226"/>
        <v>0</v>
      </c>
      <c r="BM378" s="2942">
        <f t="shared" si="227"/>
        <v>0</v>
      </c>
      <c r="BN378" s="2942">
        <f t="shared" si="228"/>
        <v>0</v>
      </c>
      <c r="BO378" s="2942">
        <f t="shared" si="229"/>
        <v>0</v>
      </c>
      <c r="BP378" s="2942">
        <f t="shared" si="230"/>
        <v>0</v>
      </c>
      <c r="BQ378" s="2942">
        <f t="shared" si="231"/>
        <v>0</v>
      </c>
      <c r="BR378" s="2942">
        <f t="shared" si="232"/>
        <v>0</v>
      </c>
      <c r="BS378" s="2942">
        <f t="shared" si="233"/>
        <v>0</v>
      </c>
      <c r="BT378" s="2994">
        <f t="shared" si="234"/>
        <v>0</v>
      </c>
    </row>
    <row r="379" spans="1:72">
      <c r="A379" s="2939"/>
      <c r="B379" s="2940"/>
      <c r="C379" s="2940"/>
      <c r="D379" s="2941"/>
      <c r="E379" s="2942">
        <f t="shared" si="235"/>
        <v>0</v>
      </c>
      <c r="F379" s="2943"/>
      <c r="G379" s="2944">
        <f t="shared" si="210"/>
        <v>0</v>
      </c>
      <c r="H379" s="2945">
        <f t="shared" si="211"/>
        <v>0</v>
      </c>
      <c r="I379" s="2952"/>
      <c r="J379" s="2952"/>
      <c r="K379" s="2952"/>
      <c r="L379" s="2952"/>
      <c r="M379" s="2952"/>
      <c r="N379" s="2952"/>
      <c r="O379" s="2952"/>
      <c r="P379" s="2952"/>
      <c r="Q379" s="2952"/>
      <c r="R379" s="2952"/>
      <c r="S379" s="2952"/>
      <c r="T379" s="2952"/>
      <c r="U379" s="2952"/>
      <c r="V379" s="2952"/>
      <c r="W379" s="2952"/>
      <c r="X379" s="2952"/>
      <c r="Y379" s="2952"/>
      <c r="Z379" s="2952"/>
      <c r="AA379" s="2952"/>
      <c r="AB379" s="2952"/>
      <c r="AC379" s="2942">
        <f t="shared" si="212"/>
        <v>0</v>
      </c>
      <c r="AD379" s="2962"/>
      <c r="AE379" s="2962"/>
      <c r="AF379" s="2962"/>
      <c r="AG379" s="2962"/>
      <c r="AH379" s="2962"/>
      <c r="AI379" s="2962"/>
      <c r="AJ379" s="2962"/>
      <c r="AK379" s="2962"/>
      <c r="AL379" s="2962"/>
      <c r="AM379" s="2962"/>
      <c r="AN379" s="2962"/>
      <c r="AO379" s="2962"/>
      <c r="AP379" s="2962"/>
      <c r="AQ379" s="2962"/>
      <c r="AR379" s="2962"/>
      <c r="AS379" s="2962"/>
      <c r="AT379" s="2972"/>
      <c r="AU379" s="2973"/>
      <c r="AV379" s="1120">
        <f t="shared" si="236"/>
        <v>0</v>
      </c>
      <c r="AW379" s="1120">
        <f t="shared" si="237"/>
        <v>0</v>
      </c>
      <c r="AX379" s="1120">
        <f t="shared" si="238"/>
        <v>0</v>
      </c>
      <c r="AY379" s="2987">
        <f t="shared" si="213"/>
        <v>0</v>
      </c>
      <c r="AZ379" s="2942">
        <f t="shared" si="214"/>
        <v>0</v>
      </c>
      <c r="BA379" s="2942">
        <f t="shared" si="215"/>
        <v>0</v>
      </c>
      <c r="BB379" s="2942">
        <f t="shared" si="216"/>
        <v>0</v>
      </c>
      <c r="BC379" s="2942">
        <f t="shared" si="217"/>
        <v>0</v>
      </c>
      <c r="BD379" s="2942">
        <f t="shared" si="218"/>
        <v>0</v>
      </c>
      <c r="BE379" s="2942">
        <f t="shared" si="219"/>
        <v>0</v>
      </c>
      <c r="BF379" s="2942">
        <f t="shared" si="220"/>
        <v>0</v>
      </c>
      <c r="BG379" s="2942">
        <f t="shared" si="221"/>
        <v>0</v>
      </c>
      <c r="BH379" s="2942">
        <f t="shared" si="222"/>
        <v>0</v>
      </c>
      <c r="BI379" s="2942">
        <f t="shared" si="223"/>
        <v>0</v>
      </c>
      <c r="BJ379" s="2942">
        <f t="shared" si="224"/>
        <v>0</v>
      </c>
      <c r="BK379" s="2942">
        <f t="shared" si="225"/>
        <v>0</v>
      </c>
      <c r="BL379" s="2942">
        <f t="shared" si="226"/>
        <v>0</v>
      </c>
      <c r="BM379" s="2942">
        <f t="shared" si="227"/>
        <v>0</v>
      </c>
      <c r="BN379" s="2942">
        <f t="shared" si="228"/>
        <v>0</v>
      </c>
      <c r="BO379" s="2942">
        <f t="shared" si="229"/>
        <v>0</v>
      </c>
      <c r="BP379" s="2942">
        <f t="shared" si="230"/>
        <v>0</v>
      </c>
      <c r="BQ379" s="2942">
        <f t="shared" si="231"/>
        <v>0</v>
      </c>
      <c r="BR379" s="2942">
        <f t="shared" si="232"/>
        <v>0</v>
      </c>
      <c r="BS379" s="2942">
        <f t="shared" si="233"/>
        <v>0</v>
      </c>
      <c r="BT379" s="2994">
        <f t="shared" si="234"/>
        <v>0</v>
      </c>
    </row>
    <row r="380" spans="1:72">
      <c r="A380" s="2939"/>
      <c r="B380" s="2940"/>
      <c r="C380" s="2940"/>
      <c r="D380" s="2941"/>
      <c r="E380" s="2942">
        <f t="shared" si="235"/>
        <v>0</v>
      </c>
      <c r="F380" s="2943"/>
      <c r="G380" s="2944">
        <f t="shared" si="210"/>
        <v>0</v>
      </c>
      <c r="H380" s="2945">
        <f t="shared" si="211"/>
        <v>0</v>
      </c>
      <c r="I380" s="2952"/>
      <c r="J380" s="2952"/>
      <c r="K380" s="2952"/>
      <c r="L380" s="2952"/>
      <c r="M380" s="2952"/>
      <c r="N380" s="2952"/>
      <c r="O380" s="2952"/>
      <c r="P380" s="2952"/>
      <c r="Q380" s="2952"/>
      <c r="R380" s="2952"/>
      <c r="S380" s="2952"/>
      <c r="T380" s="2952"/>
      <c r="U380" s="2952"/>
      <c r="V380" s="2952"/>
      <c r="W380" s="2952"/>
      <c r="X380" s="2952"/>
      <c r="Y380" s="2952"/>
      <c r="Z380" s="2952"/>
      <c r="AA380" s="2952"/>
      <c r="AB380" s="2952"/>
      <c r="AC380" s="2942">
        <f t="shared" si="212"/>
        <v>0</v>
      </c>
      <c r="AD380" s="2962"/>
      <c r="AE380" s="2962"/>
      <c r="AF380" s="2962"/>
      <c r="AG380" s="2962"/>
      <c r="AH380" s="2962"/>
      <c r="AI380" s="2962"/>
      <c r="AJ380" s="2962"/>
      <c r="AK380" s="2962"/>
      <c r="AL380" s="2962"/>
      <c r="AM380" s="2962"/>
      <c r="AN380" s="2962"/>
      <c r="AO380" s="2962"/>
      <c r="AP380" s="2962"/>
      <c r="AQ380" s="2962"/>
      <c r="AR380" s="2962"/>
      <c r="AS380" s="2962"/>
      <c r="AT380" s="2972"/>
      <c r="AU380" s="2973"/>
      <c r="AV380" s="1120">
        <f t="shared" si="236"/>
        <v>0</v>
      </c>
      <c r="AW380" s="1120">
        <f t="shared" si="237"/>
        <v>0</v>
      </c>
      <c r="AX380" s="1120">
        <f t="shared" si="238"/>
        <v>0</v>
      </c>
      <c r="AY380" s="2987">
        <f t="shared" si="213"/>
        <v>0</v>
      </c>
      <c r="AZ380" s="2942">
        <f t="shared" si="214"/>
        <v>0</v>
      </c>
      <c r="BA380" s="2942">
        <f t="shared" si="215"/>
        <v>0</v>
      </c>
      <c r="BB380" s="2942">
        <f t="shared" si="216"/>
        <v>0</v>
      </c>
      <c r="BC380" s="2942">
        <f t="shared" si="217"/>
        <v>0</v>
      </c>
      <c r="BD380" s="2942">
        <f t="shared" si="218"/>
        <v>0</v>
      </c>
      <c r="BE380" s="2942">
        <f t="shared" si="219"/>
        <v>0</v>
      </c>
      <c r="BF380" s="2942">
        <f t="shared" si="220"/>
        <v>0</v>
      </c>
      <c r="BG380" s="2942">
        <f t="shared" si="221"/>
        <v>0</v>
      </c>
      <c r="BH380" s="2942">
        <f t="shared" si="222"/>
        <v>0</v>
      </c>
      <c r="BI380" s="2942">
        <f t="shared" si="223"/>
        <v>0</v>
      </c>
      <c r="BJ380" s="2942">
        <f t="shared" si="224"/>
        <v>0</v>
      </c>
      <c r="BK380" s="2942">
        <f t="shared" si="225"/>
        <v>0</v>
      </c>
      <c r="BL380" s="2942">
        <f t="shared" si="226"/>
        <v>0</v>
      </c>
      <c r="BM380" s="2942">
        <f t="shared" si="227"/>
        <v>0</v>
      </c>
      <c r="BN380" s="2942">
        <f t="shared" si="228"/>
        <v>0</v>
      </c>
      <c r="BO380" s="2942">
        <f t="shared" si="229"/>
        <v>0</v>
      </c>
      <c r="BP380" s="2942">
        <f t="shared" si="230"/>
        <v>0</v>
      </c>
      <c r="BQ380" s="2942">
        <f t="shared" si="231"/>
        <v>0</v>
      </c>
      <c r="BR380" s="2942">
        <f t="shared" si="232"/>
        <v>0</v>
      </c>
      <c r="BS380" s="2942">
        <f t="shared" si="233"/>
        <v>0</v>
      </c>
      <c r="BT380" s="2994">
        <f t="shared" si="234"/>
        <v>0</v>
      </c>
    </row>
    <row r="381" spans="1:72">
      <c r="A381" s="2939"/>
      <c r="B381" s="2940"/>
      <c r="C381" s="2940"/>
      <c r="D381" s="2941"/>
      <c r="E381" s="2942">
        <f t="shared" si="235"/>
        <v>0</v>
      </c>
      <c r="F381" s="2943"/>
      <c r="G381" s="2944">
        <f t="shared" si="210"/>
        <v>0</v>
      </c>
      <c r="H381" s="2945">
        <f t="shared" si="211"/>
        <v>0</v>
      </c>
      <c r="I381" s="2952"/>
      <c r="J381" s="2952"/>
      <c r="K381" s="2952"/>
      <c r="L381" s="2952"/>
      <c r="M381" s="2952"/>
      <c r="N381" s="2952"/>
      <c r="O381" s="2952"/>
      <c r="P381" s="2952"/>
      <c r="Q381" s="2952"/>
      <c r="R381" s="2952"/>
      <c r="S381" s="2952"/>
      <c r="T381" s="2952"/>
      <c r="U381" s="2952"/>
      <c r="V381" s="2952"/>
      <c r="W381" s="2952"/>
      <c r="X381" s="2952"/>
      <c r="Y381" s="2952"/>
      <c r="Z381" s="2952"/>
      <c r="AA381" s="2952"/>
      <c r="AB381" s="2952"/>
      <c r="AC381" s="2942">
        <f t="shared" si="212"/>
        <v>0</v>
      </c>
      <c r="AD381" s="2962"/>
      <c r="AE381" s="2962"/>
      <c r="AF381" s="2962"/>
      <c r="AG381" s="2962"/>
      <c r="AH381" s="2962"/>
      <c r="AI381" s="2962"/>
      <c r="AJ381" s="2962"/>
      <c r="AK381" s="2962"/>
      <c r="AL381" s="2962"/>
      <c r="AM381" s="2962"/>
      <c r="AN381" s="2962"/>
      <c r="AO381" s="2962"/>
      <c r="AP381" s="2962"/>
      <c r="AQ381" s="2962"/>
      <c r="AR381" s="2962"/>
      <c r="AS381" s="2962"/>
      <c r="AT381" s="2972"/>
      <c r="AU381" s="2973"/>
      <c r="AV381" s="1120">
        <f t="shared" si="236"/>
        <v>0</v>
      </c>
      <c r="AW381" s="1120">
        <f t="shared" si="237"/>
        <v>0</v>
      </c>
      <c r="AX381" s="1120">
        <f t="shared" si="238"/>
        <v>0</v>
      </c>
      <c r="AY381" s="2987">
        <f t="shared" si="213"/>
        <v>0</v>
      </c>
      <c r="AZ381" s="2942">
        <f t="shared" si="214"/>
        <v>0</v>
      </c>
      <c r="BA381" s="2942">
        <f t="shared" si="215"/>
        <v>0</v>
      </c>
      <c r="BB381" s="2942">
        <f t="shared" si="216"/>
        <v>0</v>
      </c>
      <c r="BC381" s="2942">
        <f t="shared" si="217"/>
        <v>0</v>
      </c>
      <c r="BD381" s="2942">
        <f t="shared" si="218"/>
        <v>0</v>
      </c>
      <c r="BE381" s="2942">
        <f t="shared" si="219"/>
        <v>0</v>
      </c>
      <c r="BF381" s="2942">
        <f t="shared" si="220"/>
        <v>0</v>
      </c>
      <c r="BG381" s="2942">
        <f t="shared" si="221"/>
        <v>0</v>
      </c>
      <c r="BH381" s="2942">
        <f t="shared" si="222"/>
        <v>0</v>
      </c>
      <c r="BI381" s="2942">
        <f t="shared" si="223"/>
        <v>0</v>
      </c>
      <c r="BJ381" s="2942">
        <f t="shared" si="224"/>
        <v>0</v>
      </c>
      <c r="BK381" s="2942">
        <f t="shared" si="225"/>
        <v>0</v>
      </c>
      <c r="BL381" s="2942">
        <f t="shared" si="226"/>
        <v>0</v>
      </c>
      <c r="BM381" s="2942">
        <f t="shared" si="227"/>
        <v>0</v>
      </c>
      <c r="BN381" s="2942">
        <f t="shared" si="228"/>
        <v>0</v>
      </c>
      <c r="BO381" s="2942">
        <f t="shared" si="229"/>
        <v>0</v>
      </c>
      <c r="BP381" s="2942">
        <f t="shared" si="230"/>
        <v>0</v>
      </c>
      <c r="BQ381" s="2942">
        <f t="shared" si="231"/>
        <v>0</v>
      </c>
      <c r="BR381" s="2942">
        <f t="shared" si="232"/>
        <v>0</v>
      </c>
      <c r="BS381" s="2942">
        <f t="shared" si="233"/>
        <v>0</v>
      </c>
      <c r="BT381" s="2994">
        <f t="shared" si="234"/>
        <v>0</v>
      </c>
    </row>
    <row r="382" spans="1:72">
      <c r="A382" s="2939"/>
      <c r="B382" s="2940"/>
      <c r="C382" s="2940"/>
      <c r="D382" s="2941"/>
      <c r="E382" s="2942">
        <f t="shared" si="235"/>
        <v>0</v>
      </c>
      <c r="F382" s="2943"/>
      <c r="G382" s="2944">
        <f t="shared" si="210"/>
        <v>0</v>
      </c>
      <c r="H382" s="2945">
        <f t="shared" si="211"/>
        <v>0</v>
      </c>
      <c r="I382" s="2952"/>
      <c r="J382" s="2952"/>
      <c r="K382" s="2952"/>
      <c r="L382" s="2952"/>
      <c r="M382" s="2952"/>
      <c r="N382" s="2952"/>
      <c r="O382" s="2952"/>
      <c r="P382" s="2952"/>
      <c r="Q382" s="2952"/>
      <c r="R382" s="2952"/>
      <c r="S382" s="2952"/>
      <c r="T382" s="2952"/>
      <c r="U382" s="2952"/>
      <c r="V382" s="2952"/>
      <c r="W382" s="2952"/>
      <c r="X382" s="2952"/>
      <c r="Y382" s="2952"/>
      <c r="Z382" s="2952"/>
      <c r="AA382" s="2952"/>
      <c r="AB382" s="2952"/>
      <c r="AC382" s="2942">
        <f t="shared" si="212"/>
        <v>0</v>
      </c>
      <c r="AD382" s="2962"/>
      <c r="AE382" s="2962"/>
      <c r="AF382" s="2962"/>
      <c r="AG382" s="2962"/>
      <c r="AH382" s="2962"/>
      <c r="AI382" s="2962"/>
      <c r="AJ382" s="2962"/>
      <c r="AK382" s="2962"/>
      <c r="AL382" s="2962"/>
      <c r="AM382" s="2962"/>
      <c r="AN382" s="2962"/>
      <c r="AO382" s="2962"/>
      <c r="AP382" s="2962"/>
      <c r="AQ382" s="2962"/>
      <c r="AR382" s="2962"/>
      <c r="AS382" s="2962"/>
      <c r="AT382" s="2972"/>
      <c r="AU382" s="2973"/>
      <c r="AV382" s="1120">
        <f t="shared" si="236"/>
        <v>0</v>
      </c>
      <c r="AW382" s="1120">
        <f t="shared" si="237"/>
        <v>0</v>
      </c>
      <c r="AX382" s="1120">
        <f t="shared" si="238"/>
        <v>0</v>
      </c>
      <c r="AY382" s="2987">
        <f t="shared" si="213"/>
        <v>0</v>
      </c>
      <c r="AZ382" s="2942">
        <f t="shared" si="214"/>
        <v>0</v>
      </c>
      <c r="BA382" s="2942">
        <f t="shared" si="215"/>
        <v>0</v>
      </c>
      <c r="BB382" s="2942">
        <f t="shared" si="216"/>
        <v>0</v>
      </c>
      <c r="BC382" s="2942">
        <f t="shared" si="217"/>
        <v>0</v>
      </c>
      <c r="BD382" s="2942">
        <f t="shared" si="218"/>
        <v>0</v>
      </c>
      <c r="BE382" s="2942">
        <f t="shared" si="219"/>
        <v>0</v>
      </c>
      <c r="BF382" s="2942">
        <f t="shared" si="220"/>
        <v>0</v>
      </c>
      <c r="BG382" s="2942">
        <f t="shared" si="221"/>
        <v>0</v>
      </c>
      <c r="BH382" s="2942">
        <f t="shared" si="222"/>
        <v>0</v>
      </c>
      <c r="BI382" s="2942">
        <f t="shared" si="223"/>
        <v>0</v>
      </c>
      <c r="BJ382" s="2942">
        <f t="shared" si="224"/>
        <v>0</v>
      </c>
      <c r="BK382" s="2942">
        <f t="shared" si="225"/>
        <v>0</v>
      </c>
      <c r="BL382" s="2942">
        <f t="shared" si="226"/>
        <v>0</v>
      </c>
      <c r="BM382" s="2942">
        <f t="shared" si="227"/>
        <v>0</v>
      </c>
      <c r="BN382" s="2942">
        <f t="shared" si="228"/>
        <v>0</v>
      </c>
      <c r="BO382" s="2942">
        <f t="shared" si="229"/>
        <v>0</v>
      </c>
      <c r="BP382" s="2942">
        <f t="shared" si="230"/>
        <v>0</v>
      </c>
      <c r="BQ382" s="2942">
        <f t="shared" si="231"/>
        <v>0</v>
      </c>
      <c r="BR382" s="2942">
        <f t="shared" si="232"/>
        <v>0</v>
      </c>
      <c r="BS382" s="2942">
        <f t="shared" si="233"/>
        <v>0</v>
      </c>
      <c r="BT382" s="2994">
        <f t="shared" si="234"/>
        <v>0</v>
      </c>
    </row>
    <row r="383" spans="1:72">
      <c r="A383" s="2939"/>
      <c r="B383" s="2940"/>
      <c r="C383" s="2940"/>
      <c r="D383" s="2941"/>
      <c r="E383" s="2942">
        <f t="shared" si="235"/>
        <v>0</v>
      </c>
      <c r="F383" s="2943"/>
      <c r="G383" s="2944">
        <f t="shared" si="210"/>
        <v>0</v>
      </c>
      <c r="H383" s="2945">
        <f t="shared" si="211"/>
        <v>0</v>
      </c>
      <c r="I383" s="2952"/>
      <c r="J383" s="2952"/>
      <c r="K383" s="2952"/>
      <c r="L383" s="2952"/>
      <c r="M383" s="2952"/>
      <c r="N383" s="2952"/>
      <c r="O383" s="2952"/>
      <c r="P383" s="2952"/>
      <c r="Q383" s="2952"/>
      <c r="R383" s="2952"/>
      <c r="S383" s="2952"/>
      <c r="T383" s="2952"/>
      <c r="U383" s="2952"/>
      <c r="V383" s="2952"/>
      <c r="W383" s="2952"/>
      <c r="X383" s="2952"/>
      <c r="Y383" s="2952"/>
      <c r="Z383" s="2952"/>
      <c r="AA383" s="2952"/>
      <c r="AB383" s="2952"/>
      <c r="AC383" s="2942">
        <f t="shared" si="212"/>
        <v>0</v>
      </c>
      <c r="AD383" s="2962"/>
      <c r="AE383" s="2962"/>
      <c r="AF383" s="2962"/>
      <c r="AG383" s="2962"/>
      <c r="AH383" s="2962"/>
      <c r="AI383" s="2962"/>
      <c r="AJ383" s="2962"/>
      <c r="AK383" s="2962"/>
      <c r="AL383" s="2962"/>
      <c r="AM383" s="2962"/>
      <c r="AN383" s="2962"/>
      <c r="AO383" s="2962"/>
      <c r="AP383" s="2962"/>
      <c r="AQ383" s="2962"/>
      <c r="AR383" s="2962"/>
      <c r="AS383" s="2962"/>
      <c r="AT383" s="2972"/>
      <c r="AU383" s="2973"/>
      <c r="AV383" s="1120">
        <f t="shared" si="236"/>
        <v>0</v>
      </c>
      <c r="AW383" s="1120">
        <f t="shared" si="237"/>
        <v>0</v>
      </c>
      <c r="AX383" s="1120">
        <f t="shared" si="238"/>
        <v>0</v>
      </c>
      <c r="AY383" s="2987">
        <f t="shared" si="213"/>
        <v>0</v>
      </c>
      <c r="AZ383" s="2942">
        <f t="shared" si="214"/>
        <v>0</v>
      </c>
      <c r="BA383" s="2942">
        <f t="shared" si="215"/>
        <v>0</v>
      </c>
      <c r="BB383" s="2942">
        <f t="shared" si="216"/>
        <v>0</v>
      </c>
      <c r="BC383" s="2942">
        <f t="shared" si="217"/>
        <v>0</v>
      </c>
      <c r="BD383" s="2942">
        <f t="shared" si="218"/>
        <v>0</v>
      </c>
      <c r="BE383" s="2942">
        <f t="shared" si="219"/>
        <v>0</v>
      </c>
      <c r="BF383" s="2942">
        <f t="shared" si="220"/>
        <v>0</v>
      </c>
      <c r="BG383" s="2942">
        <f t="shared" si="221"/>
        <v>0</v>
      </c>
      <c r="BH383" s="2942">
        <f t="shared" si="222"/>
        <v>0</v>
      </c>
      <c r="BI383" s="2942">
        <f t="shared" si="223"/>
        <v>0</v>
      </c>
      <c r="BJ383" s="2942">
        <f t="shared" si="224"/>
        <v>0</v>
      </c>
      <c r="BK383" s="2942">
        <f t="shared" si="225"/>
        <v>0</v>
      </c>
      <c r="BL383" s="2942">
        <f t="shared" si="226"/>
        <v>0</v>
      </c>
      <c r="BM383" s="2942">
        <f t="shared" si="227"/>
        <v>0</v>
      </c>
      <c r="BN383" s="2942">
        <f t="shared" si="228"/>
        <v>0</v>
      </c>
      <c r="BO383" s="2942">
        <f t="shared" si="229"/>
        <v>0</v>
      </c>
      <c r="BP383" s="2942">
        <f t="shared" si="230"/>
        <v>0</v>
      </c>
      <c r="BQ383" s="2942">
        <f t="shared" si="231"/>
        <v>0</v>
      </c>
      <c r="BR383" s="2942">
        <f t="shared" si="232"/>
        <v>0</v>
      </c>
      <c r="BS383" s="2942">
        <f t="shared" si="233"/>
        <v>0</v>
      </c>
      <c r="BT383" s="2994">
        <f t="shared" si="234"/>
        <v>0</v>
      </c>
    </row>
    <row r="384" spans="1:72">
      <c r="A384" s="2939"/>
      <c r="B384" s="2940"/>
      <c r="C384" s="2940"/>
      <c r="D384" s="2941"/>
      <c r="E384" s="2942">
        <f t="shared" si="235"/>
        <v>0</v>
      </c>
      <c r="F384" s="2943"/>
      <c r="G384" s="2944">
        <f t="shared" si="210"/>
        <v>0</v>
      </c>
      <c r="H384" s="2945">
        <f t="shared" si="211"/>
        <v>0</v>
      </c>
      <c r="I384" s="2952"/>
      <c r="J384" s="2952"/>
      <c r="K384" s="2952"/>
      <c r="L384" s="2952"/>
      <c r="M384" s="2952"/>
      <c r="N384" s="2952"/>
      <c r="O384" s="2952"/>
      <c r="P384" s="2952"/>
      <c r="Q384" s="2952"/>
      <c r="R384" s="2952"/>
      <c r="S384" s="2952"/>
      <c r="T384" s="2952"/>
      <c r="U384" s="2952"/>
      <c r="V384" s="2952"/>
      <c r="W384" s="2952"/>
      <c r="X384" s="2952"/>
      <c r="Y384" s="2952"/>
      <c r="Z384" s="2952"/>
      <c r="AA384" s="2952"/>
      <c r="AB384" s="2952"/>
      <c r="AC384" s="2942">
        <f t="shared" si="212"/>
        <v>0</v>
      </c>
      <c r="AD384" s="2962"/>
      <c r="AE384" s="2962"/>
      <c r="AF384" s="2962"/>
      <c r="AG384" s="2962"/>
      <c r="AH384" s="2962"/>
      <c r="AI384" s="2962"/>
      <c r="AJ384" s="2962"/>
      <c r="AK384" s="2962"/>
      <c r="AL384" s="2962"/>
      <c r="AM384" s="2962"/>
      <c r="AN384" s="2962"/>
      <c r="AO384" s="2962"/>
      <c r="AP384" s="2962"/>
      <c r="AQ384" s="2962"/>
      <c r="AR384" s="2962"/>
      <c r="AS384" s="2962"/>
      <c r="AT384" s="2972"/>
      <c r="AU384" s="2973"/>
      <c r="AV384" s="1120">
        <f t="shared" si="236"/>
        <v>0</v>
      </c>
      <c r="AW384" s="1120">
        <f t="shared" si="237"/>
        <v>0</v>
      </c>
      <c r="AX384" s="1120">
        <f t="shared" si="238"/>
        <v>0</v>
      </c>
      <c r="AY384" s="2987">
        <f t="shared" si="213"/>
        <v>0</v>
      </c>
      <c r="AZ384" s="2942">
        <f t="shared" si="214"/>
        <v>0</v>
      </c>
      <c r="BA384" s="2942">
        <f t="shared" si="215"/>
        <v>0</v>
      </c>
      <c r="BB384" s="2942">
        <f t="shared" si="216"/>
        <v>0</v>
      </c>
      <c r="BC384" s="2942">
        <f t="shared" si="217"/>
        <v>0</v>
      </c>
      <c r="BD384" s="2942">
        <f t="shared" si="218"/>
        <v>0</v>
      </c>
      <c r="BE384" s="2942">
        <f t="shared" si="219"/>
        <v>0</v>
      </c>
      <c r="BF384" s="2942">
        <f t="shared" si="220"/>
        <v>0</v>
      </c>
      <c r="BG384" s="2942">
        <f t="shared" si="221"/>
        <v>0</v>
      </c>
      <c r="BH384" s="2942">
        <f t="shared" si="222"/>
        <v>0</v>
      </c>
      <c r="BI384" s="2942">
        <f t="shared" si="223"/>
        <v>0</v>
      </c>
      <c r="BJ384" s="2942">
        <f t="shared" si="224"/>
        <v>0</v>
      </c>
      <c r="BK384" s="2942">
        <f t="shared" si="225"/>
        <v>0</v>
      </c>
      <c r="BL384" s="2942">
        <f t="shared" si="226"/>
        <v>0</v>
      </c>
      <c r="BM384" s="2942">
        <f t="shared" si="227"/>
        <v>0</v>
      </c>
      <c r="BN384" s="2942">
        <f t="shared" si="228"/>
        <v>0</v>
      </c>
      <c r="BO384" s="2942">
        <f t="shared" si="229"/>
        <v>0</v>
      </c>
      <c r="BP384" s="2942">
        <f t="shared" si="230"/>
        <v>0</v>
      </c>
      <c r="BQ384" s="2942">
        <f t="shared" si="231"/>
        <v>0</v>
      </c>
      <c r="BR384" s="2942">
        <f t="shared" si="232"/>
        <v>0</v>
      </c>
      <c r="BS384" s="2942">
        <f t="shared" si="233"/>
        <v>0</v>
      </c>
      <c r="BT384" s="2994">
        <f t="shared" si="234"/>
        <v>0</v>
      </c>
    </row>
    <row r="385" spans="1:72">
      <c r="A385" s="2939"/>
      <c r="B385" s="2940"/>
      <c r="C385" s="2940"/>
      <c r="D385" s="2941"/>
      <c r="E385" s="2942">
        <f t="shared" si="235"/>
        <v>0</v>
      </c>
      <c r="F385" s="2943"/>
      <c r="G385" s="2944">
        <f t="shared" si="210"/>
        <v>0</v>
      </c>
      <c r="H385" s="2945">
        <f t="shared" si="211"/>
        <v>0</v>
      </c>
      <c r="I385" s="2952"/>
      <c r="J385" s="2952"/>
      <c r="K385" s="2952"/>
      <c r="L385" s="2952"/>
      <c r="M385" s="2952"/>
      <c r="N385" s="2952"/>
      <c r="O385" s="2952"/>
      <c r="P385" s="2952"/>
      <c r="Q385" s="2952"/>
      <c r="R385" s="2952"/>
      <c r="S385" s="2952"/>
      <c r="T385" s="2952"/>
      <c r="U385" s="2952"/>
      <c r="V385" s="2952"/>
      <c r="W385" s="2952"/>
      <c r="X385" s="2952"/>
      <c r="Y385" s="2952"/>
      <c r="Z385" s="2952"/>
      <c r="AA385" s="2952"/>
      <c r="AB385" s="2952"/>
      <c r="AC385" s="2942">
        <f t="shared" si="212"/>
        <v>0</v>
      </c>
      <c r="AD385" s="2962"/>
      <c r="AE385" s="2962"/>
      <c r="AF385" s="2962"/>
      <c r="AG385" s="2962"/>
      <c r="AH385" s="2962"/>
      <c r="AI385" s="2962"/>
      <c r="AJ385" s="2962"/>
      <c r="AK385" s="2962"/>
      <c r="AL385" s="2962"/>
      <c r="AM385" s="2962"/>
      <c r="AN385" s="2962"/>
      <c r="AO385" s="2962"/>
      <c r="AP385" s="2962"/>
      <c r="AQ385" s="2962"/>
      <c r="AR385" s="2962"/>
      <c r="AS385" s="2962"/>
      <c r="AT385" s="2972"/>
      <c r="AU385" s="2973"/>
      <c r="AV385" s="1120">
        <f t="shared" si="236"/>
        <v>0</v>
      </c>
      <c r="AW385" s="1120">
        <f t="shared" si="237"/>
        <v>0</v>
      </c>
      <c r="AX385" s="1120">
        <f t="shared" si="238"/>
        <v>0</v>
      </c>
      <c r="AY385" s="2987">
        <f t="shared" si="213"/>
        <v>0</v>
      </c>
      <c r="AZ385" s="2942">
        <f t="shared" si="214"/>
        <v>0</v>
      </c>
      <c r="BA385" s="2942">
        <f t="shared" si="215"/>
        <v>0</v>
      </c>
      <c r="BB385" s="2942">
        <f t="shared" si="216"/>
        <v>0</v>
      </c>
      <c r="BC385" s="2942">
        <f t="shared" si="217"/>
        <v>0</v>
      </c>
      <c r="BD385" s="2942">
        <f t="shared" si="218"/>
        <v>0</v>
      </c>
      <c r="BE385" s="2942">
        <f t="shared" si="219"/>
        <v>0</v>
      </c>
      <c r="BF385" s="2942">
        <f t="shared" si="220"/>
        <v>0</v>
      </c>
      <c r="BG385" s="2942">
        <f t="shared" si="221"/>
        <v>0</v>
      </c>
      <c r="BH385" s="2942">
        <f t="shared" si="222"/>
        <v>0</v>
      </c>
      <c r="BI385" s="2942">
        <f t="shared" si="223"/>
        <v>0</v>
      </c>
      <c r="BJ385" s="2942">
        <f t="shared" si="224"/>
        <v>0</v>
      </c>
      <c r="BK385" s="2942">
        <f t="shared" si="225"/>
        <v>0</v>
      </c>
      <c r="BL385" s="2942">
        <f t="shared" si="226"/>
        <v>0</v>
      </c>
      <c r="BM385" s="2942">
        <f t="shared" si="227"/>
        <v>0</v>
      </c>
      <c r="BN385" s="2942">
        <f t="shared" si="228"/>
        <v>0</v>
      </c>
      <c r="BO385" s="2942">
        <f t="shared" si="229"/>
        <v>0</v>
      </c>
      <c r="BP385" s="2942">
        <f t="shared" si="230"/>
        <v>0</v>
      </c>
      <c r="BQ385" s="2942">
        <f t="shared" si="231"/>
        <v>0</v>
      </c>
      <c r="BR385" s="2942">
        <f t="shared" si="232"/>
        <v>0</v>
      </c>
      <c r="BS385" s="2942">
        <f t="shared" si="233"/>
        <v>0</v>
      </c>
      <c r="BT385" s="2994">
        <f t="shared" si="234"/>
        <v>0</v>
      </c>
    </row>
    <row r="386" spans="1:72">
      <c r="A386" s="2939"/>
      <c r="B386" s="2940"/>
      <c r="C386" s="2940"/>
      <c r="D386" s="2941"/>
      <c r="E386" s="2942">
        <f t="shared" si="235"/>
        <v>0</v>
      </c>
      <c r="F386" s="2943"/>
      <c r="G386" s="2944">
        <f t="shared" si="210"/>
        <v>0</v>
      </c>
      <c r="H386" s="2945">
        <f t="shared" si="211"/>
        <v>0</v>
      </c>
      <c r="I386" s="2952"/>
      <c r="J386" s="2952"/>
      <c r="K386" s="2952"/>
      <c r="L386" s="2952"/>
      <c r="M386" s="2952"/>
      <c r="N386" s="2952"/>
      <c r="O386" s="2952"/>
      <c r="P386" s="2952"/>
      <c r="Q386" s="2952"/>
      <c r="R386" s="2952"/>
      <c r="S386" s="2952"/>
      <c r="T386" s="2952"/>
      <c r="U386" s="2952"/>
      <c r="V386" s="2952"/>
      <c r="W386" s="2952"/>
      <c r="X386" s="2952"/>
      <c r="Y386" s="2952"/>
      <c r="Z386" s="2952"/>
      <c r="AA386" s="2952"/>
      <c r="AB386" s="2952"/>
      <c r="AC386" s="2942">
        <f t="shared" si="212"/>
        <v>0</v>
      </c>
      <c r="AD386" s="2962"/>
      <c r="AE386" s="2962"/>
      <c r="AF386" s="2962"/>
      <c r="AG386" s="2962"/>
      <c r="AH386" s="2962"/>
      <c r="AI386" s="2962"/>
      <c r="AJ386" s="2962"/>
      <c r="AK386" s="2962"/>
      <c r="AL386" s="2962"/>
      <c r="AM386" s="2962"/>
      <c r="AN386" s="2962"/>
      <c r="AO386" s="2962"/>
      <c r="AP386" s="2962"/>
      <c r="AQ386" s="2962"/>
      <c r="AR386" s="2962"/>
      <c r="AS386" s="2962"/>
      <c r="AT386" s="2972"/>
      <c r="AU386" s="2973"/>
      <c r="AV386" s="1120">
        <f t="shared" si="236"/>
        <v>0</v>
      </c>
      <c r="AW386" s="1120">
        <f t="shared" si="237"/>
        <v>0</v>
      </c>
      <c r="AX386" s="1120">
        <f t="shared" si="238"/>
        <v>0</v>
      </c>
      <c r="AY386" s="2987">
        <f t="shared" si="213"/>
        <v>0</v>
      </c>
      <c r="AZ386" s="2942">
        <f t="shared" si="214"/>
        <v>0</v>
      </c>
      <c r="BA386" s="2942">
        <f t="shared" si="215"/>
        <v>0</v>
      </c>
      <c r="BB386" s="2942">
        <f t="shared" si="216"/>
        <v>0</v>
      </c>
      <c r="BC386" s="2942">
        <f t="shared" si="217"/>
        <v>0</v>
      </c>
      <c r="BD386" s="2942">
        <f t="shared" si="218"/>
        <v>0</v>
      </c>
      <c r="BE386" s="2942">
        <f t="shared" si="219"/>
        <v>0</v>
      </c>
      <c r="BF386" s="2942">
        <f t="shared" si="220"/>
        <v>0</v>
      </c>
      <c r="BG386" s="2942">
        <f t="shared" si="221"/>
        <v>0</v>
      </c>
      <c r="BH386" s="2942">
        <f t="shared" si="222"/>
        <v>0</v>
      </c>
      <c r="BI386" s="2942">
        <f t="shared" si="223"/>
        <v>0</v>
      </c>
      <c r="BJ386" s="2942">
        <f t="shared" si="224"/>
        <v>0</v>
      </c>
      <c r="BK386" s="2942">
        <f t="shared" si="225"/>
        <v>0</v>
      </c>
      <c r="BL386" s="2942">
        <f t="shared" si="226"/>
        <v>0</v>
      </c>
      <c r="BM386" s="2942">
        <f t="shared" si="227"/>
        <v>0</v>
      </c>
      <c r="BN386" s="2942">
        <f t="shared" si="228"/>
        <v>0</v>
      </c>
      <c r="BO386" s="2942">
        <f t="shared" si="229"/>
        <v>0</v>
      </c>
      <c r="BP386" s="2942">
        <f t="shared" si="230"/>
        <v>0</v>
      </c>
      <c r="BQ386" s="2942">
        <f t="shared" si="231"/>
        <v>0</v>
      </c>
      <c r="BR386" s="2942">
        <f t="shared" si="232"/>
        <v>0</v>
      </c>
      <c r="BS386" s="2942">
        <f t="shared" si="233"/>
        <v>0</v>
      </c>
      <c r="BT386" s="2994">
        <f t="shared" si="234"/>
        <v>0</v>
      </c>
    </row>
    <row r="387" spans="1:72">
      <c r="A387" s="2939"/>
      <c r="B387" s="2940"/>
      <c r="C387" s="2940"/>
      <c r="D387" s="2941"/>
      <c r="E387" s="2942">
        <f t="shared" si="235"/>
        <v>0</v>
      </c>
      <c r="F387" s="2943"/>
      <c r="G387" s="2944">
        <f t="shared" si="210"/>
        <v>0</v>
      </c>
      <c r="H387" s="2945">
        <f t="shared" si="211"/>
        <v>0</v>
      </c>
      <c r="I387" s="2952"/>
      <c r="J387" s="2952"/>
      <c r="K387" s="2952"/>
      <c r="L387" s="2952"/>
      <c r="M387" s="2952"/>
      <c r="N387" s="2952"/>
      <c r="O387" s="2952"/>
      <c r="P387" s="2952"/>
      <c r="Q387" s="2952"/>
      <c r="R387" s="2952"/>
      <c r="S387" s="2952"/>
      <c r="T387" s="2952"/>
      <c r="U387" s="2952"/>
      <c r="V387" s="2952"/>
      <c r="W387" s="2952"/>
      <c r="X387" s="2952"/>
      <c r="Y387" s="2952"/>
      <c r="Z387" s="2952"/>
      <c r="AA387" s="2952"/>
      <c r="AB387" s="2952"/>
      <c r="AC387" s="2942">
        <f t="shared" si="212"/>
        <v>0</v>
      </c>
      <c r="AD387" s="2962"/>
      <c r="AE387" s="2962"/>
      <c r="AF387" s="2962"/>
      <c r="AG387" s="2962"/>
      <c r="AH387" s="2962"/>
      <c r="AI387" s="2962"/>
      <c r="AJ387" s="2962"/>
      <c r="AK387" s="2962"/>
      <c r="AL387" s="2962"/>
      <c r="AM387" s="2962"/>
      <c r="AN387" s="2962"/>
      <c r="AO387" s="2962"/>
      <c r="AP387" s="2962"/>
      <c r="AQ387" s="2962"/>
      <c r="AR387" s="2962"/>
      <c r="AS387" s="2962"/>
      <c r="AT387" s="2972"/>
      <c r="AU387" s="2973"/>
      <c r="AV387" s="1120">
        <f t="shared" si="236"/>
        <v>0</v>
      </c>
      <c r="AW387" s="1120">
        <f t="shared" si="237"/>
        <v>0</v>
      </c>
      <c r="AX387" s="1120">
        <f t="shared" si="238"/>
        <v>0</v>
      </c>
      <c r="AY387" s="2987">
        <f t="shared" si="213"/>
        <v>0</v>
      </c>
      <c r="AZ387" s="2942">
        <f t="shared" si="214"/>
        <v>0</v>
      </c>
      <c r="BA387" s="2942">
        <f t="shared" si="215"/>
        <v>0</v>
      </c>
      <c r="BB387" s="2942">
        <f t="shared" si="216"/>
        <v>0</v>
      </c>
      <c r="BC387" s="2942">
        <f t="shared" si="217"/>
        <v>0</v>
      </c>
      <c r="BD387" s="2942">
        <f t="shared" si="218"/>
        <v>0</v>
      </c>
      <c r="BE387" s="2942">
        <f t="shared" si="219"/>
        <v>0</v>
      </c>
      <c r="BF387" s="2942">
        <f t="shared" si="220"/>
        <v>0</v>
      </c>
      <c r="BG387" s="2942">
        <f t="shared" si="221"/>
        <v>0</v>
      </c>
      <c r="BH387" s="2942">
        <f t="shared" si="222"/>
        <v>0</v>
      </c>
      <c r="BI387" s="2942">
        <f t="shared" si="223"/>
        <v>0</v>
      </c>
      <c r="BJ387" s="2942">
        <f t="shared" si="224"/>
        <v>0</v>
      </c>
      <c r="BK387" s="2942">
        <f t="shared" si="225"/>
        <v>0</v>
      </c>
      <c r="BL387" s="2942">
        <f t="shared" si="226"/>
        <v>0</v>
      </c>
      <c r="BM387" s="2942">
        <f t="shared" si="227"/>
        <v>0</v>
      </c>
      <c r="BN387" s="2942">
        <f t="shared" si="228"/>
        <v>0</v>
      </c>
      <c r="BO387" s="2942">
        <f t="shared" si="229"/>
        <v>0</v>
      </c>
      <c r="BP387" s="2942">
        <f t="shared" si="230"/>
        <v>0</v>
      </c>
      <c r="BQ387" s="2942">
        <f t="shared" si="231"/>
        <v>0</v>
      </c>
      <c r="BR387" s="2942">
        <f t="shared" si="232"/>
        <v>0</v>
      </c>
      <c r="BS387" s="2942">
        <f t="shared" si="233"/>
        <v>0</v>
      </c>
      <c r="BT387" s="2994">
        <f t="shared" si="234"/>
        <v>0</v>
      </c>
    </row>
    <row r="388" spans="1:72">
      <c r="A388" s="2939"/>
      <c r="B388" s="2940"/>
      <c r="C388" s="2940"/>
      <c r="D388" s="2941"/>
      <c r="E388" s="2942">
        <f t="shared" si="235"/>
        <v>0</v>
      </c>
      <c r="F388" s="2943"/>
      <c r="G388" s="2944">
        <f t="shared" si="210"/>
        <v>0</v>
      </c>
      <c r="H388" s="2945">
        <f t="shared" si="211"/>
        <v>0</v>
      </c>
      <c r="I388" s="2952"/>
      <c r="J388" s="2952"/>
      <c r="K388" s="2952"/>
      <c r="L388" s="2952"/>
      <c r="M388" s="2952"/>
      <c r="N388" s="2952"/>
      <c r="O388" s="2952"/>
      <c r="P388" s="2952"/>
      <c r="Q388" s="2952"/>
      <c r="R388" s="2952"/>
      <c r="S388" s="2952"/>
      <c r="T388" s="2952"/>
      <c r="U388" s="2952"/>
      <c r="V388" s="2952"/>
      <c r="W388" s="2952"/>
      <c r="X388" s="2952"/>
      <c r="Y388" s="2952"/>
      <c r="Z388" s="2952"/>
      <c r="AA388" s="2952"/>
      <c r="AB388" s="2952"/>
      <c r="AC388" s="2942">
        <f t="shared" si="212"/>
        <v>0</v>
      </c>
      <c r="AD388" s="2962"/>
      <c r="AE388" s="2962"/>
      <c r="AF388" s="2962"/>
      <c r="AG388" s="2962"/>
      <c r="AH388" s="2962"/>
      <c r="AI388" s="2962"/>
      <c r="AJ388" s="2962"/>
      <c r="AK388" s="2962"/>
      <c r="AL388" s="2962"/>
      <c r="AM388" s="2962"/>
      <c r="AN388" s="2962"/>
      <c r="AO388" s="2962"/>
      <c r="AP388" s="2962"/>
      <c r="AQ388" s="2962"/>
      <c r="AR388" s="2962"/>
      <c r="AS388" s="2962"/>
      <c r="AT388" s="2972"/>
      <c r="AU388" s="2973"/>
      <c r="AV388" s="1120">
        <f t="shared" si="236"/>
        <v>0</v>
      </c>
      <c r="AW388" s="1120">
        <f t="shared" si="237"/>
        <v>0</v>
      </c>
      <c r="AX388" s="1120">
        <f t="shared" si="238"/>
        <v>0</v>
      </c>
      <c r="AY388" s="2987">
        <f t="shared" si="213"/>
        <v>0</v>
      </c>
      <c r="AZ388" s="2942">
        <f t="shared" si="214"/>
        <v>0</v>
      </c>
      <c r="BA388" s="2942">
        <f t="shared" si="215"/>
        <v>0</v>
      </c>
      <c r="BB388" s="2942">
        <f t="shared" si="216"/>
        <v>0</v>
      </c>
      <c r="BC388" s="2942">
        <f t="shared" si="217"/>
        <v>0</v>
      </c>
      <c r="BD388" s="2942">
        <f t="shared" si="218"/>
        <v>0</v>
      </c>
      <c r="BE388" s="2942">
        <f t="shared" si="219"/>
        <v>0</v>
      </c>
      <c r="BF388" s="2942">
        <f t="shared" si="220"/>
        <v>0</v>
      </c>
      <c r="BG388" s="2942">
        <f t="shared" si="221"/>
        <v>0</v>
      </c>
      <c r="BH388" s="2942">
        <f t="shared" si="222"/>
        <v>0</v>
      </c>
      <c r="BI388" s="2942">
        <f t="shared" si="223"/>
        <v>0</v>
      </c>
      <c r="BJ388" s="2942">
        <f t="shared" si="224"/>
        <v>0</v>
      </c>
      <c r="BK388" s="2942">
        <f t="shared" si="225"/>
        <v>0</v>
      </c>
      <c r="BL388" s="2942">
        <f t="shared" si="226"/>
        <v>0</v>
      </c>
      <c r="BM388" s="2942">
        <f t="shared" si="227"/>
        <v>0</v>
      </c>
      <c r="BN388" s="2942">
        <f t="shared" si="228"/>
        <v>0</v>
      </c>
      <c r="BO388" s="2942">
        <f t="shared" si="229"/>
        <v>0</v>
      </c>
      <c r="BP388" s="2942">
        <f t="shared" si="230"/>
        <v>0</v>
      </c>
      <c r="BQ388" s="2942">
        <f t="shared" si="231"/>
        <v>0</v>
      </c>
      <c r="BR388" s="2942">
        <f t="shared" si="232"/>
        <v>0</v>
      </c>
      <c r="BS388" s="2942">
        <f t="shared" si="233"/>
        <v>0</v>
      </c>
      <c r="BT388" s="2994">
        <f t="shared" si="234"/>
        <v>0</v>
      </c>
    </row>
    <row r="389" spans="1:72">
      <c r="A389" s="2939"/>
      <c r="B389" s="2940"/>
      <c r="C389" s="2940"/>
      <c r="D389" s="2941"/>
      <c r="E389" s="2942">
        <f t="shared" si="235"/>
        <v>0</v>
      </c>
      <c r="F389" s="2943"/>
      <c r="G389" s="2944">
        <f t="shared" si="210"/>
        <v>0</v>
      </c>
      <c r="H389" s="2945">
        <f t="shared" si="211"/>
        <v>0</v>
      </c>
      <c r="I389" s="2952"/>
      <c r="J389" s="2952"/>
      <c r="K389" s="2952"/>
      <c r="L389" s="2952"/>
      <c r="M389" s="2952"/>
      <c r="N389" s="2952"/>
      <c r="O389" s="2952"/>
      <c r="P389" s="2952"/>
      <c r="Q389" s="2952"/>
      <c r="R389" s="2952"/>
      <c r="S389" s="2952"/>
      <c r="T389" s="2952"/>
      <c r="U389" s="2952"/>
      <c r="V389" s="2952"/>
      <c r="W389" s="2952"/>
      <c r="X389" s="2952"/>
      <c r="Y389" s="2952"/>
      <c r="Z389" s="2952"/>
      <c r="AA389" s="2952"/>
      <c r="AB389" s="2952"/>
      <c r="AC389" s="2942">
        <f t="shared" si="212"/>
        <v>0</v>
      </c>
      <c r="AD389" s="2962"/>
      <c r="AE389" s="2962"/>
      <c r="AF389" s="2962"/>
      <c r="AG389" s="2962"/>
      <c r="AH389" s="2962"/>
      <c r="AI389" s="2962"/>
      <c r="AJ389" s="2962"/>
      <c r="AK389" s="2962"/>
      <c r="AL389" s="2962"/>
      <c r="AM389" s="2962"/>
      <c r="AN389" s="2962"/>
      <c r="AO389" s="2962"/>
      <c r="AP389" s="2962"/>
      <c r="AQ389" s="2962"/>
      <c r="AR389" s="2962"/>
      <c r="AS389" s="2962"/>
      <c r="AT389" s="2972"/>
      <c r="AU389" s="2973"/>
      <c r="AV389" s="1120">
        <f t="shared" si="236"/>
        <v>0</v>
      </c>
      <c r="AW389" s="1120">
        <f t="shared" si="237"/>
        <v>0</v>
      </c>
      <c r="AX389" s="1120">
        <f t="shared" si="238"/>
        <v>0</v>
      </c>
      <c r="AY389" s="2987">
        <f t="shared" si="213"/>
        <v>0</v>
      </c>
      <c r="AZ389" s="2942">
        <f t="shared" si="214"/>
        <v>0</v>
      </c>
      <c r="BA389" s="2942">
        <f t="shared" si="215"/>
        <v>0</v>
      </c>
      <c r="BB389" s="2942">
        <f t="shared" si="216"/>
        <v>0</v>
      </c>
      <c r="BC389" s="2942">
        <f t="shared" si="217"/>
        <v>0</v>
      </c>
      <c r="BD389" s="2942">
        <f t="shared" si="218"/>
        <v>0</v>
      </c>
      <c r="BE389" s="2942">
        <f t="shared" si="219"/>
        <v>0</v>
      </c>
      <c r="BF389" s="2942">
        <f t="shared" si="220"/>
        <v>0</v>
      </c>
      <c r="BG389" s="2942">
        <f t="shared" si="221"/>
        <v>0</v>
      </c>
      <c r="BH389" s="2942">
        <f t="shared" si="222"/>
        <v>0</v>
      </c>
      <c r="BI389" s="2942">
        <f t="shared" si="223"/>
        <v>0</v>
      </c>
      <c r="BJ389" s="2942">
        <f t="shared" si="224"/>
        <v>0</v>
      </c>
      <c r="BK389" s="2942">
        <f t="shared" si="225"/>
        <v>0</v>
      </c>
      <c r="BL389" s="2942">
        <f t="shared" si="226"/>
        <v>0</v>
      </c>
      <c r="BM389" s="2942">
        <f t="shared" si="227"/>
        <v>0</v>
      </c>
      <c r="BN389" s="2942">
        <f t="shared" si="228"/>
        <v>0</v>
      </c>
      <c r="BO389" s="2942">
        <f t="shared" si="229"/>
        <v>0</v>
      </c>
      <c r="BP389" s="2942">
        <f t="shared" si="230"/>
        <v>0</v>
      </c>
      <c r="BQ389" s="2942">
        <f t="shared" si="231"/>
        <v>0</v>
      </c>
      <c r="BR389" s="2942">
        <f t="shared" si="232"/>
        <v>0</v>
      </c>
      <c r="BS389" s="2942">
        <f t="shared" si="233"/>
        <v>0</v>
      </c>
      <c r="BT389" s="2994">
        <f t="shared" si="234"/>
        <v>0</v>
      </c>
    </row>
    <row r="390" spans="1:72">
      <c r="A390" s="2939"/>
      <c r="B390" s="2940"/>
      <c r="C390" s="2940"/>
      <c r="D390" s="2941"/>
      <c r="E390" s="2942">
        <f t="shared" si="235"/>
        <v>0</v>
      </c>
      <c r="F390" s="2943"/>
      <c r="G390" s="2944">
        <f t="shared" si="210"/>
        <v>0</v>
      </c>
      <c r="H390" s="2945">
        <f t="shared" si="211"/>
        <v>0</v>
      </c>
      <c r="I390" s="2952"/>
      <c r="J390" s="2952"/>
      <c r="K390" s="2952"/>
      <c r="L390" s="2952"/>
      <c r="M390" s="2952"/>
      <c r="N390" s="2952"/>
      <c r="O390" s="2952"/>
      <c r="P390" s="2952"/>
      <c r="Q390" s="2952"/>
      <c r="R390" s="2952"/>
      <c r="S390" s="2952"/>
      <c r="T390" s="2952"/>
      <c r="U390" s="2952"/>
      <c r="V390" s="2952"/>
      <c r="W390" s="2952"/>
      <c r="X390" s="2952"/>
      <c r="Y390" s="2952"/>
      <c r="Z390" s="2952"/>
      <c r="AA390" s="2952"/>
      <c r="AB390" s="2952"/>
      <c r="AC390" s="2942">
        <f t="shared" si="212"/>
        <v>0</v>
      </c>
      <c r="AD390" s="2962"/>
      <c r="AE390" s="2962"/>
      <c r="AF390" s="2962"/>
      <c r="AG390" s="2962"/>
      <c r="AH390" s="2962"/>
      <c r="AI390" s="2962"/>
      <c r="AJ390" s="2962"/>
      <c r="AK390" s="2962"/>
      <c r="AL390" s="2962"/>
      <c r="AM390" s="2962"/>
      <c r="AN390" s="2962"/>
      <c r="AO390" s="2962"/>
      <c r="AP390" s="2962"/>
      <c r="AQ390" s="2962"/>
      <c r="AR390" s="2962"/>
      <c r="AS390" s="2962"/>
      <c r="AT390" s="2972"/>
      <c r="AU390" s="2973"/>
      <c r="AV390" s="1120">
        <f t="shared" si="236"/>
        <v>0</v>
      </c>
      <c r="AW390" s="1120">
        <f t="shared" si="237"/>
        <v>0</v>
      </c>
      <c r="AX390" s="1120">
        <f t="shared" si="238"/>
        <v>0</v>
      </c>
      <c r="AY390" s="2987">
        <f t="shared" si="213"/>
        <v>0</v>
      </c>
      <c r="AZ390" s="2942">
        <f t="shared" si="214"/>
        <v>0</v>
      </c>
      <c r="BA390" s="2942">
        <f t="shared" si="215"/>
        <v>0</v>
      </c>
      <c r="BB390" s="2942">
        <f t="shared" si="216"/>
        <v>0</v>
      </c>
      <c r="BC390" s="2942">
        <f t="shared" si="217"/>
        <v>0</v>
      </c>
      <c r="BD390" s="2942">
        <f t="shared" si="218"/>
        <v>0</v>
      </c>
      <c r="BE390" s="2942">
        <f t="shared" si="219"/>
        <v>0</v>
      </c>
      <c r="BF390" s="2942">
        <f t="shared" si="220"/>
        <v>0</v>
      </c>
      <c r="BG390" s="2942">
        <f t="shared" si="221"/>
        <v>0</v>
      </c>
      <c r="BH390" s="2942">
        <f t="shared" si="222"/>
        <v>0</v>
      </c>
      <c r="BI390" s="2942">
        <f t="shared" si="223"/>
        <v>0</v>
      </c>
      <c r="BJ390" s="2942">
        <f t="shared" si="224"/>
        <v>0</v>
      </c>
      <c r="BK390" s="2942">
        <f t="shared" si="225"/>
        <v>0</v>
      </c>
      <c r="BL390" s="2942">
        <f t="shared" si="226"/>
        <v>0</v>
      </c>
      <c r="BM390" s="2942">
        <f t="shared" si="227"/>
        <v>0</v>
      </c>
      <c r="BN390" s="2942">
        <f t="shared" si="228"/>
        <v>0</v>
      </c>
      <c r="BO390" s="2942">
        <f t="shared" si="229"/>
        <v>0</v>
      </c>
      <c r="BP390" s="2942">
        <f t="shared" si="230"/>
        <v>0</v>
      </c>
      <c r="BQ390" s="2942">
        <f t="shared" si="231"/>
        <v>0</v>
      </c>
      <c r="BR390" s="2942">
        <f t="shared" si="232"/>
        <v>0</v>
      </c>
      <c r="BS390" s="2942">
        <f t="shared" si="233"/>
        <v>0</v>
      </c>
      <c r="BT390" s="2994">
        <f t="shared" si="234"/>
        <v>0</v>
      </c>
    </row>
    <row r="391" spans="1:72">
      <c r="A391" s="2939"/>
      <c r="B391" s="2940"/>
      <c r="C391" s="2940"/>
      <c r="D391" s="2941"/>
      <c r="E391" s="2942">
        <f t="shared" si="235"/>
        <v>0</v>
      </c>
      <c r="F391" s="2943"/>
      <c r="G391" s="2944">
        <f t="shared" si="210"/>
        <v>0</v>
      </c>
      <c r="H391" s="2945">
        <f t="shared" si="211"/>
        <v>0</v>
      </c>
      <c r="I391" s="2952"/>
      <c r="J391" s="2952"/>
      <c r="K391" s="2952"/>
      <c r="L391" s="2952"/>
      <c r="M391" s="2952"/>
      <c r="N391" s="2952"/>
      <c r="O391" s="2952"/>
      <c r="P391" s="2952"/>
      <c r="Q391" s="2952"/>
      <c r="R391" s="2952"/>
      <c r="S391" s="2952"/>
      <c r="T391" s="2952"/>
      <c r="U391" s="2952"/>
      <c r="V391" s="2952"/>
      <c r="W391" s="2952"/>
      <c r="X391" s="2952"/>
      <c r="Y391" s="2952"/>
      <c r="Z391" s="2952"/>
      <c r="AA391" s="2952"/>
      <c r="AB391" s="2952"/>
      <c r="AC391" s="2942">
        <f t="shared" si="212"/>
        <v>0</v>
      </c>
      <c r="AD391" s="2962"/>
      <c r="AE391" s="2962"/>
      <c r="AF391" s="2962"/>
      <c r="AG391" s="2962"/>
      <c r="AH391" s="2962"/>
      <c r="AI391" s="2962"/>
      <c r="AJ391" s="2962"/>
      <c r="AK391" s="2962"/>
      <c r="AL391" s="2962"/>
      <c r="AM391" s="2962"/>
      <c r="AN391" s="2962"/>
      <c r="AO391" s="2962"/>
      <c r="AP391" s="2962"/>
      <c r="AQ391" s="2962"/>
      <c r="AR391" s="2962"/>
      <c r="AS391" s="2962"/>
      <c r="AT391" s="2972"/>
      <c r="AU391" s="2973"/>
      <c r="AV391" s="1120">
        <f t="shared" si="236"/>
        <v>0</v>
      </c>
      <c r="AW391" s="1120">
        <f t="shared" si="237"/>
        <v>0</v>
      </c>
      <c r="AX391" s="1120">
        <f t="shared" si="238"/>
        <v>0</v>
      </c>
      <c r="AY391" s="2987">
        <f t="shared" si="213"/>
        <v>0</v>
      </c>
      <c r="AZ391" s="2942">
        <f t="shared" si="214"/>
        <v>0</v>
      </c>
      <c r="BA391" s="2942">
        <f t="shared" si="215"/>
        <v>0</v>
      </c>
      <c r="BB391" s="2942">
        <f t="shared" si="216"/>
        <v>0</v>
      </c>
      <c r="BC391" s="2942">
        <f t="shared" si="217"/>
        <v>0</v>
      </c>
      <c r="BD391" s="2942">
        <f t="shared" si="218"/>
        <v>0</v>
      </c>
      <c r="BE391" s="2942">
        <f t="shared" si="219"/>
        <v>0</v>
      </c>
      <c r="BF391" s="2942">
        <f t="shared" si="220"/>
        <v>0</v>
      </c>
      <c r="BG391" s="2942">
        <f t="shared" si="221"/>
        <v>0</v>
      </c>
      <c r="BH391" s="2942">
        <f t="shared" si="222"/>
        <v>0</v>
      </c>
      <c r="BI391" s="2942">
        <f t="shared" si="223"/>
        <v>0</v>
      </c>
      <c r="BJ391" s="2942">
        <f t="shared" si="224"/>
        <v>0</v>
      </c>
      <c r="BK391" s="2942">
        <f t="shared" si="225"/>
        <v>0</v>
      </c>
      <c r="BL391" s="2942">
        <f t="shared" si="226"/>
        <v>0</v>
      </c>
      <c r="BM391" s="2942">
        <f t="shared" si="227"/>
        <v>0</v>
      </c>
      <c r="BN391" s="2942">
        <f t="shared" si="228"/>
        <v>0</v>
      </c>
      <c r="BO391" s="2942">
        <f t="shared" si="229"/>
        <v>0</v>
      </c>
      <c r="BP391" s="2942">
        <f t="shared" si="230"/>
        <v>0</v>
      </c>
      <c r="BQ391" s="2942">
        <f t="shared" si="231"/>
        <v>0</v>
      </c>
      <c r="BR391" s="2942">
        <f t="shared" si="232"/>
        <v>0</v>
      </c>
      <c r="BS391" s="2942">
        <f t="shared" si="233"/>
        <v>0</v>
      </c>
      <c r="BT391" s="2994">
        <f t="shared" si="234"/>
        <v>0</v>
      </c>
    </row>
    <row r="392" spans="1:72">
      <c r="A392" s="2939"/>
      <c r="B392" s="2940"/>
      <c r="C392" s="2940"/>
      <c r="D392" s="2941"/>
      <c r="E392" s="2942">
        <f t="shared" si="235"/>
        <v>0</v>
      </c>
      <c r="F392" s="2943"/>
      <c r="G392" s="2944">
        <f t="shared" si="210"/>
        <v>0</v>
      </c>
      <c r="H392" s="2945">
        <f t="shared" si="211"/>
        <v>0</v>
      </c>
      <c r="I392" s="2952"/>
      <c r="J392" s="2952"/>
      <c r="K392" s="2952"/>
      <c r="L392" s="2952"/>
      <c r="M392" s="2952"/>
      <c r="N392" s="2952"/>
      <c r="O392" s="2952"/>
      <c r="P392" s="2952"/>
      <c r="Q392" s="2952"/>
      <c r="R392" s="2952"/>
      <c r="S392" s="2952"/>
      <c r="T392" s="2952"/>
      <c r="U392" s="2952"/>
      <c r="V392" s="2952"/>
      <c r="W392" s="2952"/>
      <c r="X392" s="2952"/>
      <c r="Y392" s="2952"/>
      <c r="Z392" s="2952"/>
      <c r="AA392" s="2952"/>
      <c r="AB392" s="2952"/>
      <c r="AC392" s="2942">
        <f t="shared" si="212"/>
        <v>0</v>
      </c>
      <c r="AD392" s="2962"/>
      <c r="AE392" s="2962"/>
      <c r="AF392" s="2962"/>
      <c r="AG392" s="2962"/>
      <c r="AH392" s="2962"/>
      <c r="AI392" s="2962"/>
      <c r="AJ392" s="2962"/>
      <c r="AK392" s="2962"/>
      <c r="AL392" s="2962"/>
      <c r="AM392" s="2962"/>
      <c r="AN392" s="2962"/>
      <c r="AO392" s="2962"/>
      <c r="AP392" s="2962"/>
      <c r="AQ392" s="2962"/>
      <c r="AR392" s="2962"/>
      <c r="AS392" s="2962"/>
      <c r="AT392" s="2972"/>
      <c r="AU392" s="2973"/>
      <c r="AV392" s="1120">
        <f t="shared" si="236"/>
        <v>0</v>
      </c>
      <c r="AW392" s="1120">
        <f t="shared" si="237"/>
        <v>0</v>
      </c>
      <c r="AX392" s="1120">
        <f t="shared" si="238"/>
        <v>0</v>
      </c>
      <c r="AY392" s="2987">
        <f t="shared" si="213"/>
        <v>0</v>
      </c>
      <c r="AZ392" s="2942">
        <f t="shared" si="214"/>
        <v>0</v>
      </c>
      <c r="BA392" s="2942">
        <f t="shared" si="215"/>
        <v>0</v>
      </c>
      <c r="BB392" s="2942">
        <f t="shared" si="216"/>
        <v>0</v>
      </c>
      <c r="BC392" s="2942">
        <f t="shared" si="217"/>
        <v>0</v>
      </c>
      <c r="BD392" s="2942">
        <f t="shared" si="218"/>
        <v>0</v>
      </c>
      <c r="BE392" s="2942">
        <f t="shared" si="219"/>
        <v>0</v>
      </c>
      <c r="BF392" s="2942">
        <f t="shared" si="220"/>
        <v>0</v>
      </c>
      <c r="BG392" s="2942">
        <f t="shared" si="221"/>
        <v>0</v>
      </c>
      <c r="BH392" s="2942">
        <f t="shared" si="222"/>
        <v>0</v>
      </c>
      <c r="BI392" s="2942">
        <f t="shared" si="223"/>
        <v>0</v>
      </c>
      <c r="BJ392" s="2942">
        <f t="shared" si="224"/>
        <v>0</v>
      </c>
      <c r="BK392" s="2942">
        <f t="shared" si="225"/>
        <v>0</v>
      </c>
      <c r="BL392" s="2942">
        <f t="shared" si="226"/>
        <v>0</v>
      </c>
      <c r="BM392" s="2942">
        <f t="shared" si="227"/>
        <v>0</v>
      </c>
      <c r="BN392" s="2942">
        <f t="shared" si="228"/>
        <v>0</v>
      </c>
      <c r="BO392" s="2942">
        <f t="shared" si="229"/>
        <v>0</v>
      </c>
      <c r="BP392" s="2942">
        <f t="shared" si="230"/>
        <v>0</v>
      </c>
      <c r="BQ392" s="2942">
        <f t="shared" si="231"/>
        <v>0</v>
      </c>
      <c r="BR392" s="2942">
        <f t="shared" si="232"/>
        <v>0</v>
      </c>
      <c r="BS392" s="2942">
        <f t="shared" si="233"/>
        <v>0</v>
      </c>
      <c r="BT392" s="2994">
        <f t="shared" si="234"/>
        <v>0</v>
      </c>
    </row>
    <row r="393" spans="1:72">
      <c r="A393" s="2939"/>
      <c r="B393" s="2940"/>
      <c r="C393" s="2940"/>
      <c r="D393" s="2941"/>
      <c r="E393" s="2942">
        <f t="shared" si="235"/>
        <v>0</v>
      </c>
      <c r="F393" s="2943"/>
      <c r="G393" s="2944">
        <f t="shared" si="210"/>
        <v>0</v>
      </c>
      <c r="H393" s="2945">
        <f t="shared" si="211"/>
        <v>0</v>
      </c>
      <c r="I393" s="2952"/>
      <c r="J393" s="2952"/>
      <c r="K393" s="2952"/>
      <c r="L393" s="2952"/>
      <c r="M393" s="2952"/>
      <c r="N393" s="2952"/>
      <c r="O393" s="2952"/>
      <c r="P393" s="2952"/>
      <c r="Q393" s="2952"/>
      <c r="R393" s="2952"/>
      <c r="S393" s="2952"/>
      <c r="T393" s="2952"/>
      <c r="U393" s="2952"/>
      <c r="V393" s="2952"/>
      <c r="W393" s="2952"/>
      <c r="X393" s="2952"/>
      <c r="Y393" s="2952"/>
      <c r="Z393" s="2952"/>
      <c r="AA393" s="2952"/>
      <c r="AB393" s="2952"/>
      <c r="AC393" s="2942">
        <f t="shared" si="212"/>
        <v>0</v>
      </c>
      <c r="AD393" s="2962"/>
      <c r="AE393" s="2962"/>
      <c r="AF393" s="2962"/>
      <c r="AG393" s="2962"/>
      <c r="AH393" s="2962"/>
      <c r="AI393" s="2962"/>
      <c r="AJ393" s="2962"/>
      <c r="AK393" s="2962"/>
      <c r="AL393" s="2962"/>
      <c r="AM393" s="2962"/>
      <c r="AN393" s="2962"/>
      <c r="AO393" s="2962"/>
      <c r="AP393" s="2962"/>
      <c r="AQ393" s="2962"/>
      <c r="AR393" s="2962"/>
      <c r="AS393" s="2962"/>
      <c r="AT393" s="2972"/>
      <c r="AU393" s="2973"/>
      <c r="AV393" s="1120">
        <f t="shared" si="236"/>
        <v>0</v>
      </c>
      <c r="AW393" s="1120">
        <f t="shared" si="237"/>
        <v>0</v>
      </c>
      <c r="AX393" s="1120">
        <f t="shared" si="238"/>
        <v>0</v>
      </c>
      <c r="AY393" s="2987">
        <f t="shared" si="213"/>
        <v>0</v>
      </c>
      <c r="AZ393" s="2942">
        <f t="shared" si="214"/>
        <v>0</v>
      </c>
      <c r="BA393" s="2942">
        <f t="shared" si="215"/>
        <v>0</v>
      </c>
      <c r="BB393" s="2942">
        <f t="shared" si="216"/>
        <v>0</v>
      </c>
      <c r="BC393" s="2942">
        <f t="shared" si="217"/>
        <v>0</v>
      </c>
      <c r="BD393" s="2942">
        <f t="shared" si="218"/>
        <v>0</v>
      </c>
      <c r="BE393" s="2942">
        <f t="shared" si="219"/>
        <v>0</v>
      </c>
      <c r="BF393" s="2942">
        <f t="shared" si="220"/>
        <v>0</v>
      </c>
      <c r="BG393" s="2942">
        <f t="shared" si="221"/>
        <v>0</v>
      </c>
      <c r="BH393" s="2942">
        <f t="shared" si="222"/>
        <v>0</v>
      </c>
      <c r="BI393" s="2942">
        <f t="shared" si="223"/>
        <v>0</v>
      </c>
      <c r="BJ393" s="2942">
        <f t="shared" si="224"/>
        <v>0</v>
      </c>
      <c r="BK393" s="2942">
        <f t="shared" si="225"/>
        <v>0</v>
      </c>
      <c r="BL393" s="2942">
        <f t="shared" si="226"/>
        <v>0</v>
      </c>
      <c r="BM393" s="2942">
        <f t="shared" si="227"/>
        <v>0</v>
      </c>
      <c r="BN393" s="2942">
        <f t="shared" si="228"/>
        <v>0</v>
      </c>
      <c r="BO393" s="2942">
        <f t="shared" si="229"/>
        <v>0</v>
      </c>
      <c r="BP393" s="2942">
        <f t="shared" si="230"/>
        <v>0</v>
      </c>
      <c r="BQ393" s="2942">
        <f t="shared" si="231"/>
        <v>0</v>
      </c>
      <c r="BR393" s="2942">
        <f t="shared" si="232"/>
        <v>0</v>
      </c>
      <c r="BS393" s="2942">
        <f t="shared" si="233"/>
        <v>0</v>
      </c>
      <c r="BT393" s="2994">
        <f t="shared" si="234"/>
        <v>0</v>
      </c>
    </row>
    <row r="394" spans="1:72">
      <c r="A394" s="2939"/>
      <c r="B394" s="2940"/>
      <c r="C394" s="2940"/>
      <c r="D394" s="2941"/>
      <c r="E394" s="2942">
        <f t="shared" si="235"/>
        <v>0</v>
      </c>
      <c r="F394" s="2943"/>
      <c r="G394" s="2944">
        <f t="shared" si="210"/>
        <v>0</v>
      </c>
      <c r="H394" s="2945">
        <f t="shared" si="211"/>
        <v>0</v>
      </c>
      <c r="I394" s="2952"/>
      <c r="J394" s="2952"/>
      <c r="K394" s="2952"/>
      <c r="L394" s="2952"/>
      <c r="M394" s="2952"/>
      <c r="N394" s="2952"/>
      <c r="O394" s="2952"/>
      <c r="P394" s="2952"/>
      <c r="Q394" s="2952"/>
      <c r="R394" s="2952"/>
      <c r="S394" s="2952"/>
      <c r="T394" s="2952"/>
      <c r="U394" s="2952"/>
      <c r="V394" s="2952"/>
      <c r="W394" s="2952"/>
      <c r="X394" s="2952"/>
      <c r="Y394" s="2952"/>
      <c r="Z394" s="2952"/>
      <c r="AA394" s="2952"/>
      <c r="AB394" s="2952"/>
      <c r="AC394" s="2942">
        <f t="shared" si="212"/>
        <v>0</v>
      </c>
      <c r="AD394" s="2962"/>
      <c r="AE394" s="2962"/>
      <c r="AF394" s="2962"/>
      <c r="AG394" s="2962"/>
      <c r="AH394" s="2962"/>
      <c r="AI394" s="2962"/>
      <c r="AJ394" s="2962"/>
      <c r="AK394" s="2962"/>
      <c r="AL394" s="2962"/>
      <c r="AM394" s="2962"/>
      <c r="AN394" s="2962"/>
      <c r="AO394" s="2962"/>
      <c r="AP394" s="2962"/>
      <c r="AQ394" s="2962"/>
      <c r="AR394" s="2962"/>
      <c r="AS394" s="2962"/>
      <c r="AT394" s="2972"/>
      <c r="AU394" s="2973"/>
      <c r="AV394" s="1120">
        <f t="shared" si="236"/>
        <v>0</v>
      </c>
      <c r="AW394" s="1120">
        <f t="shared" si="237"/>
        <v>0</v>
      </c>
      <c r="AX394" s="1120">
        <f t="shared" si="238"/>
        <v>0</v>
      </c>
      <c r="AY394" s="2987">
        <f t="shared" si="213"/>
        <v>0</v>
      </c>
      <c r="AZ394" s="2942">
        <f t="shared" si="214"/>
        <v>0</v>
      </c>
      <c r="BA394" s="2942">
        <f t="shared" si="215"/>
        <v>0</v>
      </c>
      <c r="BB394" s="2942">
        <f t="shared" si="216"/>
        <v>0</v>
      </c>
      <c r="BC394" s="2942">
        <f t="shared" si="217"/>
        <v>0</v>
      </c>
      <c r="BD394" s="2942">
        <f t="shared" si="218"/>
        <v>0</v>
      </c>
      <c r="BE394" s="2942">
        <f t="shared" si="219"/>
        <v>0</v>
      </c>
      <c r="BF394" s="2942">
        <f t="shared" si="220"/>
        <v>0</v>
      </c>
      <c r="BG394" s="2942">
        <f t="shared" si="221"/>
        <v>0</v>
      </c>
      <c r="BH394" s="2942">
        <f t="shared" si="222"/>
        <v>0</v>
      </c>
      <c r="BI394" s="2942">
        <f t="shared" si="223"/>
        <v>0</v>
      </c>
      <c r="BJ394" s="2942">
        <f t="shared" si="224"/>
        <v>0</v>
      </c>
      <c r="BK394" s="2942">
        <f t="shared" si="225"/>
        <v>0</v>
      </c>
      <c r="BL394" s="2942">
        <f t="shared" si="226"/>
        <v>0</v>
      </c>
      <c r="BM394" s="2942">
        <f t="shared" si="227"/>
        <v>0</v>
      </c>
      <c r="BN394" s="2942">
        <f t="shared" si="228"/>
        <v>0</v>
      </c>
      <c r="BO394" s="2942">
        <f t="shared" si="229"/>
        <v>0</v>
      </c>
      <c r="BP394" s="2942">
        <f t="shared" si="230"/>
        <v>0</v>
      </c>
      <c r="BQ394" s="2942">
        <f t="shared" si="231"/>
        <v>0</v>
      </c>
      <c r="BR394" s="2942">
        <f t="shared" si="232"/>
        <v>0</v>
      </c>
      <c r="BS394" s="2942">
        <f t="shared" si="233"/>
        <v>0</v>
      </c>
      <c r="BT394" s="2994">
        <f t="shared" si="234"/>
        <v>0</v>
      </c>
    </row>
    <row r="395" spans="1:72">
      <c r="A395" s="2939"/>
      <c r="B395" s="2939"/>
      <c r="C395" s="2939"/>
      <c r="D395" s="2941"/>
      <c r="E395" s="2942">
        <f t="shared" si="235"/>
        <v>0</v>
      </c>
      <c r="F395" s="2995"/>
      <c r="G395" s="2944">
        <f t="shared" si="210"/>
        <v>0</v>
      </c>
      <c r="H395" s="2945">
        <f t="shared" si="211"/>
        <v>0</v>
      </c>
      <c r="I395" s="2996"/>
      <c r="J395" s="2996"/>
      <c r="K395" s="2952"/>
      <c r="L395" s="2952"/>
      <c r="M395" s="2952"/>
      <c r="N395" s="2952"/>
      <c r="O395" s="2952"/>
      <c r="P395" s="2952"/>
      <c r="Q395" s="2952"/>
      <c r="R395" s="2952"/>
      <c r="S395" s="2952"/>
      <c r="T395" s="2952"/>
      <c r="U395" s="2952"/>
      <c r="V395" s="2952"/>
      <c r="W395" s="2952"/>
      <c r="X395" s="2952"/>
      <c r="Y395" s="2952"/>
      <c r="Z395" s="2952"/>
      <c r="AA395" s="2952"/>
      <c r="AB395" s="2952"/>
      <c r="AC395" s="2942">
        <f t="shared" si="212"/>
        <v>0</v>
      </c>
      <c r="AD395" s="2962"/>
      <c r="AE395" s="2962"/>
      <c r="AF395" s="2962"/>
      <c r="AG395" s="2962"/>
      <c r="AH395" s="2962"/>
      <c r="AI395" s="2962"/>
      <c r="AJ395" s="2962"/>
      <c r="AK395" s="2962"/>
      <c r="AL395" s="2962"/>
      <c r="AM395" s="2962"/>
      <c r="AN395" s="2962"/>
      <c r="AO395" s="2962"/>
      <c r="AP395" s="2962"/>
      <c r="AQ395" s="2962"/>
      <c r="AR395" s="2962"/>
      <c r="AS395" s="2962"/>
      <c r="AT395" s="2962"/>
      <c r="AU395" s="2997"/>
      <c r="AV395" s="1120">
        <f t="shared" si="236"/>
        <v>0</v>
      </c>
      <c r="AW395" s="1120">
        <f t="shared" si="237"/>
        <v>0</v>
      </c>
      <c r="AX395" s="1120">
        <f t="shared" si="238"/>
        <v>0</v>
      </c>
      <c r="AY395" s="2987">
        <f t="shared" si="213"/>
        <v>0</v>
      </c>
      <c r="AZ395" s="2942">
        <f t="shared" si="214"/>
        <v>0</v>
      </c>
      <c r="BA395" s="2942">
        <f t="shared" si="215"/>
        <v>0</v>
      </c>
      <c r="BB395" s="2942">
        <f t="shared" si="216"/>
        <v>0</v>
      </c>
      <c r="BC395" s="2942">
        <f t="shared" si="217"/>
        <v>0</v>
      </c>
      <c r="BD395" s="2942">
        <f t="shared" si="218"/>
        <v>0</v>
      </c>
      <c r="BE395" s="2942">
        <f t="shared" si="219"/>
        <v>0</v>
      </c>
      <c r="BF395" s="2942">
        <f t="shared" si="220"/>
        <v>0</v>
      </c>
      <c r="BG395" s="2942">
        <f t="shared" si="221"/>
        <v>0</v>
      </c>
      <c r="BH395" s="2942">
        <f t="shared" si="222"/>
        <v>0</v>
      </c>
      <c r="BI395" s="2942">
        <f t="shared" si="223"/>
        <v>0</v>
      </c>
      <c r="BJ395" s="2942">
        <f t="shared" si="224"/>
        <v>0</v>
      </c>
      <c r="BK395" s="2942">
        <f t="shared" si="225"/>
        <v>0</v>
      </c>
      <c r="BL395" s="2942">
        <f t="shared" si="226"/>
        <v>0</v>
      </c>
      <c r="BM395" s="2942">
        <f t="shared" si="227"/>
        <v>0</v>
      </c>
      <c r="BN395" s="2942">
        <f t="shared" si="228"/>
        <v>0</v>
      </c>
      <c r="BO395" s="2942">
        <f t="shared" si="229"/>
        <v>0</v>
      </c>
      <c r="BP395" s="2942">
        <f t="shared" si="230"/>
        <v>0</v>
      </c>
      <c r="BQ395" s="2942">
        <f t="shared" si="231"/>
        <v>0</v>
      </c>
      <c r="BR395" s="2942">
        <f t="shared" si="232"/>
        <v>0</v>
      </c>
      <c r="BS395" s="2942">
        <f t="shared" si="233"/>
        <v>0</v>
      </c>
      <c r="BT395" s="2994">
        <f t="shared" si="234"/>
        <v>0</v>
      </c>
    </row>
    <row r="396" spans="1:72">
      <c r="A396" s="2939"/>
      <c r="B396" s="2939"/>
      <c r="C396" s="2939"/>
      <c r="D396" s="2941"/>
      <c r="E396" s="2942">
        <f t="shared" si="235"/>
        <v>0</v>
      </c>
      <c r="F396" s="2995"/>
      <c r="G396" s="2944">
        <f t="shared" si="210"/>
        <v>0</v>
      </c>
      <c r="H396" s="2945">
        <f t="shared" si="211"/>
        <v>0</v>
      </c>
      <c r="I396" s="2952"/>
      <c r="J396" s="2952"/>
      <c r="K396" s="2952"/>
      <c r="L396" s="2952"/>
      <c r="M396" s="2952"/>
      <c r="N396" s="2952"/>
      <c r="O396" s="2952"/>
      <c r="P396" s="2952"/>
      <c r="Q396" s="2952"/>
      <c r="R396" s="2952"/>
      <c r="S396" s="2952"/>
      <c r="T396" s="2952"/>
      <c r="U396" s="2952"/>
      <c r="V396" s="2952"/>
      <c r="W396" s="2952"/>
      <c r="X396" s="2952"/>
      <c r="Y396" s="2952"/>
      <c r="Z396" s="2952"/>
      <c r="AA396" s="2952"/>
      <c r="AB396" s="2952"/>
      <c r="AC396" s="2942">
        <f t="shared" si="212"/>
        <v>0</v>
      </c>
      <c r="AD396" s="2962"/>
      <c r="AE396" s="2962"/>
      <c r="AF396" s="2962"/>
      <c r="AG396" s="2962"/>
      <c r="AH396" s="2962"/>
      <c r="AI396" s="2962"/>
      <c r="AJ396" s="2962"/>
      <c r="AK396" s="2962"/>
      <c r="AL396" s="2962"/>
      <c r="AM396" s="2962"/>
      <c r="AN396" s="2962"/>
      <c r="AO396" s="2962"/>
      <c r="AP396" s="2962"/>
      <c r="AQ396" s="2962"/>
      <c r="AR396" s="2962"/>
      <c r="AS396" s="2962"/>
      <c r="AT396" s="2962"/>
      <c r="AU396" s="2997"/>
      <c r="AV396" s="1120">
        <f t="shared" si="236"/>
        <v>0</v>
      </c>
      <c r="AW396" s="1120">
        <f t="shared" si="237"/>
        <v>0</v>
      </c>
      <c r="AX396" s="1120">
        <f t="shared" si="238"/>
        <v>0</v>
      </c>
      <c r="AY396" s="2987">
        <f t="shared" si="213"/>
        <v>0</v>
      </c>
      <c r="AZ396" s="2942">
        <f t="shared" si="214"/>
        <v>0</v>
      </c>
      <c r="BA396" s="2942">
        <f t="shared" si="215"/>
        <v>0</v>
      </c>
      <c r="BB396" s="2942">
        <f t="shared" si="216"/>
        <v>0</v>
      </c>
      <c r="BC396" s="2942">
        <f t="shared" si="217"/>
        <v>0</v>
      </c>
      <c r="BD396" s="2942">
        <f t="shared" si="218"/>
        <v>0</v>
      </c>
      <c r="BE396" s="2942">
        <f t="shared" si="219"/>
        <v>0</v>
      </c>
      <c r="BF396" s="2942">
        <f t="shared" si="220"/>
        <v>0</v>
      </c>
      <c r="BG396" s="2942">
        <f t="shared" si="221"/>
        <v>0</v>
      </c>
      <c r="BH396" s="2942">
        <f t="shared" si="222"/>
        <v>0</v>
      </c>
      <c r="BI396" s="2942">
        <f t="shared" si="223"/>
        <v>0</v>
      </c>
      <c r="BJ396" s="2942">
        <f t="shared" si="224"/>
        <v>0</v>
      </c>
      <c r="BK396" s="2942">
        <f t="shared" si="225"/>
        <v>0</v>
      </c>
      <c r="BL396" s="2942">
        <f t="shared" si="226"/>
        <v>0</v>
      </c>
      <c r="BM396" s="2942">
        <f t="shared" si="227"/>
        <v>0</v>
      </c>
      <c r="BN396" s="2942">
        <f t="shared" si="228"/>
        <v>0</v>
      </c>
      <c r="BO396" s="2942">
        <f t="shared" si="229"/>
        <v>0</v>
      </c>
      <c r="BP396" s="2942">
        <f t="shared" si="230"/>
        <v>0</v>
      </c>
      <c r="BQ396" s="2942">
        <f t="shared" si="231"/>
        <v>0</v>
      </c>
      <c r="BR396" s="2942">
        <f t="shared" si="232"/>
        <v>0</v>
      </c>
      <c r="BS396" s="2942">
        <f t="shared" si="233"/>
        <v>0</v>
      </c>
      <c r="BT396" s="2994">
        <f t="shared" si="234"/>
        <v>0</v>
      </c>
    </row>
    <row r="397" spans="1:72">
      <c r="A397" s="2939"/>
      <c r="B397" s="2939"/>
      <c r="C397" s="2939"/>
      <c r="D397" s="2941"/>
      <c r="E397" s="2942">
        <f t="shared" si="235"/>
        <v>0</v>
      </c>
      <c r="F397" s="2995"/>
      <c r="G397" s="2944">
        <f t="shared" si="210"/>
        <v>0</v>
      </c>
      <c r="H397" s="2945">
        <f t="shared" si="211"/>
        <v>0</v>
      </c>
      <c r="I397" s="2952"/>
      <c r="J397" s="2952"/>
      <c r="K397" s="2952"/>
      <c r="L397" s="2952"/>
      <c r="M397" s="2952"/>
      <c r="N397" s="2952"/>
      <c r="O397" s="2952"/>
      <c r="P397" s="2952"/>
      <c r="Q397" s="2952"/>
      <c r="R397" s="2952"/>
      <c r="S397" s="2952"/>
      <c r="T397" s="2952"/>
      <c r="U397" s="2952"/>
      <c r="V397" s="2952"/>
      <c r="W397" s="2952"/>
      <c r="X397" s="2952"/>
      <c r="Y397" s="2952"/>
      <c r="Z397" s="2952"/>
      <c r="AA397" s="2952"/>
      <c r="AB397" s="2952"/>
      <c r="AC397" s="2942">
        <f t="shared" si="212"/>
        <v>0</v>
      </c>
      <c r="AD397" s="2962"/>
      <c r="AE397" s="2962"/>
      <c r="AF397" s="2962"/>
      <c r="AG397" s="2962"/>
      <c r="AH397" s="2962"/>
      <c r="AI397" s="2962"/>
      <c r="AJ397" s="2962"/>
      <c r="AK397" s="2962"/>
      <c r="AL397" s="2962"/>
      <c r="AM397" s="2962"/>
      <c r="AN397" s="2962"/>
      <c r="AO397" s="2962"/>
      <c r="AP397" s="2962"/>
      <c r="AQ397" s="2962"/>
      <c r="AR397" s="2962"/>
      <c r="AS397" s="2962"/>
      <c r="AT397" s="2962"/>
      <c r="AU397" s="2997"/>
      <c r="AV397" s="1120">
        <f t="shared" si="236"/>
        <v>0</v>
      </c>
      <c r="AW397" s="1120">
        <f t="shared" si="237"/>
        <v>0</v>
      </c>
      <c r="AX397" s="1120">
        <f t="shared" si="238"/>
        <v>0</v>
      </c>
      <c r="AY397" s="2987">
        <f t="shared" si="213"/>
        <v>0</v>
      </c>
      <c r="AZ397" s="2942">
        <f t="shared" si="214"/>
        <v>0</v>
      </c>
      <c r="BA397" s="2942">
        <f t="shared" si="215"/>
        <v>0</v>
      </c>
      <c r="BB397" s="2942">
        <f t="shared" si="216"/>
        <v>0</v>
      </c>
      <c r="BC397" s="2942">
        <f t="shared" si="217"/>
        <v>0</v>
      </c>
      <c r="BD397" s="2942">
        <f t="shared" si="218"/>
        <v>0</v>
      </c>
      <c r="BE397" s="2942">
        <f t="shared" si="219"/>
        <v>0</v>
      </c>
      <c r="BF397" s="2942">
        <f t="shared" si="220"/>
        <v>0</v>
      </c>
      <c r="BG397" s="2942">
        <f t="shared" si="221"/>
        <v>0</v>
      </c>
      <c r="BH397" s="2942">
        <f t="shared" si="222"/>
        <v>0</v>
      </c>
      <c r="BI397" s="2942">
        <f t="shared" si="223"/>
        <v>0</v>
      </c>
      <c r="BJ397" s="2942">
        <f t="shared" si="224"/>
        <v>0</v>
      </c>
      <c r="BK397" s="2942">
        <f t="shared" si="225"/>
        <v>0</v>
      </c>
      <c r="BL397" s="2942">
        <f t="shared" si="226"/>
        <v>0</v>
      </c>
      <c r="BM397" s="2942">
        <f t="shared" si="227"/>
        <v>0</v>
      </c>
      <c r="BN397" s="2942">
        <f t="shared" si="228"/>
        <v>0</v>
      </c>
      <c r="BO397" s="2942">
        <f t="shared" si="229"/>
        <v>0</v>
      </c>
      <c r="BP397" s="2942">
        <f t="shared" si="230"/>
        <v>0</v>
      </c>
      <c r="BQ397" s="2942">
        <f t="shared" si="231"/>
        <v>0</v>
      </c>
      <c r="BR397" s="2942">
        <f t="shared" si="232"/>
        <v>0</v>
      </c>
      <c r="BS397" s="2942">
        <f t="shared" si="233"/>
        <v>0</v>
      </c>
      <c r="BT397" s="2994">
        <f t="shared" si="234"/>
        <v>0</v>
      </c>
    </row>
    <row r="398" spans="1:72">
      <c r="A398" s="2939"/>
      <c r="B398" s="2940"/>
      <c r="C398" s="2940"/>
      <c r="D398" s="2941"/>
      <c r="E398" s="2942">
        <f t="shared" ref="E398:E492" si="239">IF($C$3="是",ROUND($A$3*G398/$B$3,2),ROUND($A$3*(G398-AT398)/$B$3,2))</f>
        <v>0</v>
      </c>
      <c r="F398" s="2943"/>
      <c r="G398" s="2944">
        <f t="shared" ref="G398:G489" si="240">H398+AC398+AT398</f>
        <v>0</v>
      </c>
      <c r="H398" s="2945">
        <f t="shared" ref="H398:H489" si="241">SUMIF(I$12:AB$12,"总值",I398:AB398)</f>
        <v>0</v>
      </c>
      <c r="I398" s="2952"/>
      <c r="J398" s="2952"/>
      <c r="K398" s="2952"/>
      <c r="L398" s="2952"/>
      <c r="M398" s="2952"/>
      <c r="N398" s="2952"/>
      <c r="O398" s="2952"/>
      <c r="P398" s="2952"/>
      <c r="Q398" s="2952"/>
      <c r="R398" s="2952"/>
      <c r="S398" s="2952"/>
      <c r="T398" s="2952"/>
      <c r="U398" s="2952"/>
      <c r="V398" s="2952"/>
      <c r="W398" s="2952"/>
      <c r="X398" s="2952"/>
      <c r="Y398" s="2952"/>
      <c r="Z398" s="2952"/>
      <c r="AA398" s="2952"/>
      <c r="AB398" s="2952"/>
      <c r="AC398" s="2942">
        <f t="shared" ref="AC398:AC489" si="242">SUMIF(AD$12:AS$12,"总值",AD398:AS398)</f>
        <v>0</v>
      </c>
      <c r="AD398" s="2962"/>
      <c r="AE398" s="2962"/>
      <c r="AF398" s="2962"/>
      <c r="AG398" s="2962"/>
      <c r="AH398" s="2962"/>
      <c r="AI398" s="2962"/>
      <c r="AJ398" s="2962"/>
      <c r="AK398" s="2962"/>
      <c r="AL398" s="2962"/>
      <c r="AM398" s="2962"/>
      <c r="AN398" s="2962"/>
      <c r="AO398" s="2962"/>
      <c r="AP398" s="2962"/>
      <c r="AQ398" s="2962"/>
      <c r="AR398" s="2962"/>
      <c r="AS398" s="2962"/>
      <c r="AT398" s="2972"/>
      <c r="AU398" s="2973"/>
      <c r="AV398" s="1120">
        <f t="shared" ref="AV398:AV492" si="243">A398</f>
        <v>0</v>
      </c>
      <c r="AW398" s="1120">
        <f t="shared" ref="AW398:AW492" si="244">B398</f>
        <v>0</v>
      </c>
      <c r="AX398" s="1120">
        <f t="shared" ref="AX398:AX492" si="245">C398</f>
        <v>0</v>
      </c>
      <c r="AY398" s="2987">
        <f t="shared" ref="AY398:AY489" si="246">ROUND($AY$6*AZ398/$AZ$5,2)</f>
        <v>0</v>
      </c>
      <c r="AZ398" s="2942">
        <f t="shared" ref="AZ398:AZ489" si="247">BA398+BL398</f>
        <v>0</v>
      </c>
      <c r="BA398" s="2942">
        <f t="shared" ref="BA398:BA489" si="248">SUM(BB398:BK398)</f>
        <v>0</v>
      </c>
      <c r="BB398" s="2942">
        <f t="shared" ref="BB398:BB489" si="249">IF($D398="是",I398-J398,0)</f>
        <v>0</v>
      </c>
      <c r="BC398" s="2942">
        <f t="shared" ref="BC398:BC489" si="250">IF($D398="是",K398-L398,0)</f>
        <v>0</v>
      </c>
      <c r="BD398" s="2942">
        <f t="shared" ref="BD398:BD489" si="251">IF($D398="是",M398-N398,0)</f>
        <v>0</v>
      </c>
      <c r="BE398" s="2942">
        <f t="shared" ref="BE398:BE489" si="252">IF($D398="是",O398-P398,0)</f>
        <v>0</v>
      </c>
      <c r="BF398" s="2942">
        <f t="shared" ref="BF398:BF489" si="253">IF($D398="是",Q398-R398,0)</f>
        <v>0</v>
      </c>
      <c r="BG398" s="2942">
        <f t="shared" ref="BG398:BG489" si="254">IF($D398="是",S398-T398,0)</f>
        <v>0</v>
      </c>
      <c r="BH398" s="2942">
        <f t="shared" ref="BH398:BH489" si="255">IF($D398="是",U398-V398,0)</f>
        <v>0</v>
      </c>
      <c r="BI398" s="2942">
        <f t="shared" ref="BI398:BI489" si="256">IF($D398="是",W398-X398,0)</f>
        <v>0</v>
      </c>
      <c r="BJ398" s="2942">
        <f t="shared" ref="BJ398:BJ489" si="257">IF($D398="是",Y398-Z398,0)</f>
        <v>0</v>
      </c>
      <c r="BK398" s="2942">
        <f t="shared" ref="BK398:BK489" si="258">IF($D398="是",AA398-AB398,0)</f>
        <v>0</v>
      </c>
      <c r="BL398" s="2942">
        <f t="shared" ref="BL398:BL489" si="259">SUM(BM398:BT398)</f>
        <v>0</v>
      </c>
      <c r="BM398" s="2942">
        <f t="shared" ref="BM398:BM489" si="260">IF($D398="是",AD398-AE398,0)</f>
        <v>0</v>
      </c>
      <c r="BN398" s="2942">
        <f t="shared" ref="BN398:BN489" si="261">IF($D398="是",AF398-AG398,0)</f>
        <v>0</v>
      </c>
      <c r="BO398" s="2942">
        <f t="shared" ref="BO398:BO489" si="262">IF($D398="是",AH398-AI398,0)</f>
        <v>0</v>
      </c>
      <c r="BP398" s="2942">
        <f t="shared" ref="BP398:BP489" si="263">IF($D398="是",AJ398-AK398,0)</f>
        <v>0</v>
      </c>
      <c r="BQ398" s="2942">
        <f t="shared" ref="BQ398:BQ489" si="264">IF($D398="是",AL398-AM398,0)</f>
        <v>0</v>
      </c>
      <c r="BR398" s="2942">
        <f t="shared" ref="BR398:BR489" si="265">IF($D398="是",AN398-AO398,0)</f>
        <v>0</v>
      </c>
      <c r="BS398" s="2942">
        <f t="shared" ref="BS398:BS489" si="266">IF($D398="是",AP398-AQ398,0)</f>
        <v>0</v>
      </c>
      <c r="BT398" s="2994">
        <f t="shared" ref="BT398:BT489" si="267">IF($D398="是",AR398-AS398,0)</f>
        <v>0</v>
      </c>
    </row>
    <row r="399" spans="1:72">
      <c r="A399" s="2939"/>
      <c r="B399" s="2940"/>
      <c r="C399" s="2940"/>
      <c r="D399" s="2941"/>
      <c r="E399" s="2942">
        <f t="shared" si="239"/>
        <v>0</v>
      </c>
      <c r="F399" s="2943"/>
      <c r="G399" s="2944">
        <f t="shared" si="240"/>
        <v>0</v>
      </c>
      <c r="H399" s="2945">
        <f t="shared" si="241"/>
        <v>0</v>
      </c>
      <c r="I399" s="2952"/>
      <c r="J399" s="2952"/>
      <c r="K399" s="2952"/>
      <c r="L399" s="2952"/>
      <c r="M399" s="2952"/>
      <c r="N399" s="2952"/>
      <c r="O399" s="2952"/>
      <c r="P399" s="2952"/>
      <c r="Q399" s="2952"/>
      <c r="R399" s="2952"/>
      <c r="S399" s="2952"/>
      <c r="T399" s="2952"/>
      <c r="U399" s="2952"/>
      <c r="V399" s="2952"/>
      <c r="W399" s="2952"/>
      <c r="X399" s="2952"/>
      <c r="Y399" s="2952"/>
      <c r="Z399" s="2952"/>
      <c r="AA399" s="2952"/>
      <c r="AB399" s="2952"/>
      <c r="AC399" s="2942">
        <f t="shared" si="242"/>
        <v>0</v>
      </c>
      <c r="AD399" s="2962"/>
      <c r="AE399" s="2962"/>
      <c r="AF399" s="2962"/>
      <c r="AG399" s="2962"/>
      <c r="AH399" s="2962"/>
      <c r="AI399" s="2962"/>
      <c r="AJ399" s="2962"/>
      <c r="AK399" s="2962"/>
      <c r="AL399" s="2962"/>
      <c r="AM399" s="2962"/>
      <c r="AN399" s="2962"/>
      <c r="AO399" s="2962"/>
      <c r="AP399" s="2962"/>
      <c r="AQ399" s="2962"/>
      <c r="AR399" s="2962"/>
      <c r="AS399" s="2962"/>
      <c r="AT399" s="2972"/>
      <c r="AU399" s="2973"/>
      <c r="AV399" s="1120">
        <f t="shared" si="243"/>
        <v>0</v>
      </c>
      <c r="AW399" s="1120">
        <f t="shared" si="244"/>
        <v>0</v>
      </c>
      <c r="AX399" s="1120">
        <f t="shared" si="245"/>
        <v>0</v>
      </c>
      <c r="AY399" s="2987">
        <f t="shared" si="246"/>
        <v>0</v>
      </c>
      <c r="AZ399" s="2942">
        <f t="shared" si="247"/>
        <v>0</v>
      </c>
      <c r="BA399" s="2942">
        <f t="shared" si="248"/>
        <v>0</v>
      </c>
      <c r="BB399" s="2942">
        <f t="shared" si="249"/>
        <v>0</v>
      </c>
      <c r="BC399" s="2942">
        <f t="shared" si="250"/>
        <v>0</v>
      </c>
      <c r="BD399" s="2942">
        <f t="shared" si="251"/>
        <v>0</v>
      </c>
      <c r="BE399" s="2942">
        <f t="shared" si="252"/>
        <v>0</v>
      </c>
      <c r="BF399" s="2942">
        <f t="shared" si="253"/>
        <v>0</v>
      </c>
      <c r="BG399" s="2942">
        <f t="shared" si="254"/>
        <v>0</v>
      </c>
      <c r="BH399" s="2942">
        <f t="shared" si="255"/>
        <v>0</v>
      </c>
      <c r="BI399" s="2942">
        <f t="shared" si="256"/>
        <v>0</v>
      </c>
      <c r="BJ399" s="2942">
        <f t="shared" si="257"/>
        <v>0</v>
      </c>
      <c r="BK399" s="2942">
        <f t="shared" si="258"/>
        <v>0</v>
      </c>
      <c r="BL399" s="2942">
        <f t="shared" si="259"/>
        <v>0</v>
      </c>
      <c r="BM399" s="2942">
        <f t="shared" si="260"/>
        <v>0</v>
      </c>
      <c r="BN399" s="2942">
        <f t="shared" si="261"/>
        <v>0</v>
      </c>
      <c r="BO399" s="2942">
        <f t="shared" si="262"/>
        <v>0</v>
      </c>
      <c r="BP399" s="2942">
        <f t="shared" si="263"/>
        <v>0</v>
      </c>
      <c r="BQ399" s="2942">
        <f t="shared" si="264"/>
        <v>0</v>
      </c>
      <c r="BR399" s="2942">
        <f t="shared" si="265"/>
        <v>0</v>
      </c>
      <c r="BS399" s="2942">
        <f t="shared" si="266"/>
        <v>0</v>
      </c>
      <c r="BT399" s="2994">
        <f t="shared" si="267"/>
        <v>0</v>
      </c>
    </row>
    <row r="400" spans="1:72">
      <c r="A400" s="2939"/>
      <c r="B400" s="2940"/>
      <c r="C400" s="2940"/>
      <c r="D400" s="2941"/>
      <c r="E400" s="2942">
        <f t="shared" si="239"/>
        <v>0</v>
      </c>
      <c r="F400" s="2943"/>
      <c r="G400" s="2944">
        <f t="shared" si="240"/>
        <v>0</v>
      </c>
      <c r="H400" s="2945">
        <f t="shared" si="241"/>
        <v>0</v>
      </c>
      <c r="I400" s="2952"/>
      <c r="J400" s="2952"/>
      <c r="K400" s="2952"/>
      <c r="L400" s="2952"/>
      <c r="M400" s="2952"/>
      <c r="N400" s="2952"/>
      <c r="O400" s="2952"/>
      <c r="P400" s="2952"/>
      <c r="Q400" s="2952"/>
      <c r="R400" s="2952"/>
      <c r="S400" s="2952"/>
      <c r="T400" s="2952"/>
      <c r="U400" s="2952"/>
      <c r="V400" s="2952"/>
      <c r="W400" s="2952"/>
      <c r="X400" s="2952"/>
      <c r="Y400" s="2952"/>
      <c r="Z400" s="2952"/>
      <c r="AA400" s="2952"/>
      <c r="AB400" s="2952"/>
      <c r="AC400" s="2942">
        <f t="shared" si="242"/>
        <v>0</v>
      </c>
      <c r="AD400" s="2962"/>
      <c r="AE400" s="2962"/>
      <c r="AF400" s="2962"/>
      <c r="AG400" s="2962"/>
      <c r="AH400" s="2962"/>
      <c r="AI400" s="2962"/>
      <c r="AJ400" s="2962"/>
      <c r="AK400" s="2962"/>
      <c r="AL400" s="2962"/>
      <c r="AM400" s="2962"/>
      <c r="AN400" s="2962"/>
      <c r="AO400" s="2962"/>
      <c r="AP400" s="2962"/>
      <c r="AQ400" s="2962"/>
      <c r="AR400" s="2962"/>
      <c r="AS400" s="2962"/>
      <c r="AT400" s="2972"/>
      <c r="AU400" s="2973"/>
      <c r="AV400" s="1120">
        <f t="shared" si="243"/>
        <v>0</v>
      </c>
      <c r="AW400" s="1120">
        <f t="shared" si="244"/>
        <v>0</v>
      </c>
      <c r="AX400" s="1120">
        <f t="shared" si="245"/>
        <v>0</v>
      </c>
      <c r="AY400" s="2987">
        <f t="shared" si="246"/>
        <v>0</v>
      </c>
      <c r="AZ400" s="2942">
        <f t="shared" si="247"/>
        <v>0</v>
      </c>
      <c r="BA400" s="2942">
        <f t="shared" si="248"/>
        <v>0</v>
      </c>
      <c r="BB400" s="2942">
        <f t="shared" si="249"/>
        <v>0</v>
      </c>
      <c r="BC400" s="2942">
        <f t="shared" si="250"/>
        <v>0</v>
      </c>
      <c r="BD400" s="2942">
        <f t="shared" si="251"/>
        <v>0</v>
      </c>
      <c r="BE400" s="2942">
        <f t="shared" si="252"/>
        <v>0</v>
      </c>
      <c r="BF400" s="2942">
        <f t="shared" si="253"/>
        <v>0</v>
      </c>
      <c r="BG400" s="2942">
        <f t="shared" si="254"/>
        <v>0</v>
      </c>
      <c r="BH400" s="2942">
        <f t="shared" si="255"/>
        <v>0</v>
      </c>
      <c r="BI400" s="2942">
        <f t="shared" si="256"/>
        <v>0</v>
      </c>
      <c r="BJ400" s="2942">
        <f t="shared" si="257"/>
        <v>0</v>
      </c>
      <c r="BK400" s="2942">
        <f t="shared" si="258"/>
        <v>0</v>
      </c>
      <c r="BL400" s="2942">
        <f t="shared" si="259"/>
        <v>0</v>
      </c>
      <c r="BM400" s="2942">
        <f t="shared" si="260"/>
        <v>0</v>
      </c>
      <c r="BN400" s="2942">
        <f t="shared" si="261"/>
        <v>0</v>
      </c>
      <c r="BO400" s="2942">
        <f t="shared" si="262"/>
        <v>0</v>
      </c>
      <c r="BP400" s="2942">
        <f t="shared" si="263"/>
        <v>0</v>
      </c>
      <c r="BQ400" s="2942">
        <f t="shared" si="264"/>
        <v>0</v>
      </c>
      <c r="BR400" s="2942">
        <f t="shared" si="265"/>
        <v>0</v>
      </c>
      <c r="BS400" s="2942">
        <f t="shared" si="266"/>
        <v>0</v>
      </c>
      <c r="BT400" s="2994">
        <f t="shared" si="267"/>
        <v>0</v>
      </c>
    </row>
    <row r="401" spans="1:72">
      <c r="A401" s="2939"/>
      <c r="B401" s="2940"/>
      <c r="C401" s="2940"/>
      <c r="D401" s="2941"/>
      <c r="E401" s="2942">
        <f t="shared" si="239"/>
        <v>0</v>
      </c>
      <c r="F401" s="2943"/>
      <c r="G401" s="2944">
        <f t="shared" si="240"/>
        <v>0</v>
      </c>
      <c r="H401" s="2945">
        <f t="shared" si="241"/>
        <v>0</v>
      </c>
      <c r="I401" s="2952"/>
      <c r="J401" s="2952"/>
      <c r="K401" s="2952"/>
      <c r="L401" s="2952"/>
      <c r="M401" s="2952"/>
      <c r="N401" s="2952"/>
      <c r="O401" s="2952"/>
      <c r="P401" s="2952"/>
      <c r="Q401" s="2952"/>
      <c r="R401" s="2952"/>
      <c r="S401" s="2952"/>
      <c r="T401" s="2952"/>
      <c r="U401" s="2952"/>
      <c r="V401" s="2952"/>
      <c r="W401" s="2952"/>
      <c r="X401" s="2952"/>
      <c r="Y401" s="2952"/>
      <c r="Z401" s="2952"/>
      <c r="AA401" s="2952"/>
      <c r="AB401" s="2952"/>
      <c r="AC401" s="2942">
        <f t="shared" si="242"/>
        <v>0</v>
      </c>
      <c r="AD401" s="2962"/>
      <c r="AE401" s="2962"/>
      <c r="AF401" s="2962"/>
      <c r="AG401" s="2962"/>
      <c r="AH401" s="2962"/>
      <c r="AI401" s="2962"/>
      <c r="AJ401" s="2962"/>
      <c r="AK401" s="2962"/>
      <c r="AL401" s="2962"/>
      <c r="AM401" s="2962"/>
      <c r="AN401" s="2962"/>
      <c r="AO401" s="2962"/>
      <c r="AP401" s="2962"/>
      <c r="AQ401" s="2962"/>
      <c r="AR401" s="2962"/>
      <c r="AS401" s="2962"/>
      <c r="AT401" s="2972"/>
      <c r="AU401" s="2973"/>
      <c r="AV401" s="1120">
        <f t="shared" si="243"/>
        <v>0</v>
      </c>
      <c r="AW401" s="1120">
        <f t="shared" si="244"/>
        <v>0</v>
      </c>
      <c r="AX401" s="1120">
        <f t="shared" si="245"/>
        <v>0</v>
      </c>
      <c r="AY401" s="2987">
        <f t="shared" si="246"/>
        <v>0</v>
      </c>
      <c r="AZ401" s="2942">
        <f t="shared" si="247"/>
        <v>0</v>
      </c>
      <c r="BA401" s="2942">
        <f t="shared" si="248"/>
        <v>0</v>
      </c>
      <c r="BB401" s="2942">
        <f t="shared" si="249"/>
        <v>0</v>
      </c>
      <c r="BC401" s="2942">
        <f t="shared" si="250"/>
        <v>0</v>
      </c>
      <c r="BD401" s="2942">
        <f t="shared" si="251"/>
        <v>0</v>
      </c>
      <c r="BE401" s="2942">
        <f t="shared" si="252"/>
        <v>0</v>
      </c>
      <c r="BF401" s="2942">
        <f t="shared" si="253"/>
        <v>0</v>
      </c>
      <c r="BG401" s="2942">
        <f t="shared" si="254"/>
        <v>0</v>
      </c>
      <c r="BH401" s="2942">
        <f t="shared" si="255"/>
        <v>0</v>
      </c>
      <c r="BI401" s="2942">
        <f t="shared" si="256"/>
        <v>0</v>
      </c>
      <c r="BJ401" s="2942">
        <f t="shared" si="257"/>
        <v>0</v>
      </c>
      <c r="BK401" s="2942">
        <f t="shared" si="258"/>
        <v>0</v>
      </c>
      <c r="BL401" s="2942">
        <f t="shared" si="259"/>
        <v>0</v>
      </c>
      <c r="BM401" s="2942">
        <f t="shared" si="260"/>
        <v>0</v>
      </c>
      <c r="BN401" s="2942">
        <f t="shared" si="261"/>
        <v>0</v>
      </c>
      <c r="BO401" s="2942">
        <f t="shared" si="262"/>
        <v>0</v>
      </c>
      <c r="BP401" s="2942">
        <f t="shared" si="263"/>
        <v>0</v>
      </c>
      <c r="BQ401" s="2942">
        <f t="shared" si="264"/>
        <v>0</v>
      </c>
      <c r="BR401" s="2942">
        <f t="shared" si="265"/>
        <v>0</v>
      </c>
      <c r="BS401" s="2942">
        <f t="shared" si="266"/>
        <v>0</v>
      </c>
      <c r="BT401" s="2994">
        <f t="shared" si="267"/>
        <v>0</v>
      </c>
    </row>
    <row r="402" spans="1:72">
      <c r="A402" s="2939"/>
      <c r="B402" s="2940"/>
      <c r="C402" s="2940"/>
      <c r="D402" s="2941"/>
      <c r="E402" s="2942">
        <f t="shared" si="239"/>
        <v>0</v>
      </c>
      <c r="F402" s="2943"/>
      <c r="G402" s="2944">
        <f t="shared" si="240"/>
        <v>0</v>
      </c>
      <c r="H402" s="2945">
        <f t="shared" si="241"/>
        <v>0</v>
      </c>
      <c r="I402" s="2952"/>
      <c r="J402" s="2952"/>
      <c r="K402" s="2952"/>
      <c r="L402" s="2952"/>
      <c r="M402" s="2952"/>
      <c r="N402" s="2952"/>
      <c r="O402" s="2952"/>
      <c r="P402" s="2952"/>
      <c r="Q402" s="2952"/>
      <c r="R402" s="2952"/>
      <c r="S402" s="2952"/>
      <c r="T402" s="2952"/>
      <c r="U402" s="2952"/>
      <c r="V402" s="2952"/>
      <c r="W402" s="2952"/>
      <c r="X402" s="2952"/>
      <c r="Y402" s="2952"/>
      <c r="Z402" s="2952"/>
      <c r="AA402" s="2952"/>
      <c r="AB402" s="2952"/>
      <c r="AC402" s="2942">
        <f t="shared" si="242"/>
        <v>0</v>
      </c>
      <c r="AD402" s="2962"/>
      <c r="AE402" s="2962"/>
      <c r="AF402" s="2962"/>
      <c r="AG402" s="2962"/>
      <c r="AH402" s="2962"/>
      <c r="AI402" s="2962"/>
      <c r="AJ402" s="2962"/>
      <c r="AK402" s="2962"/>
      <c r="AL402" s="2962"/>
      <c r="AM402" s="2962"/>
      <c r="AN402" s="2962"/>
      <c r="AO402" s="2962"/>
      <c r="AP402" s="2962"/>
      <c r="AQ402" s="2962"/>
      <c r="AR402" s="2962"/>
      <c r="AS402" s="2962"/>
      <c r="AT402" s="2972"/>
      <c r="AU402" s="2973"/>
      <c r="AV402" s="1120">
        <f t="shared" si="243"/>
        <v>0</v>
      </c>
      <c r="AW402" s="1120">
        <f t="shared" si="244"/>
        <v>0</v>
      </c>
      <c r="AX402" s="1120">
        <f t="shared" si="245"/>
        <v>0</v>
      </c>
      <c r="AY402" s="2987">
        <f t="shared" si="246"/>
        <v>0</v>
      </c>
      <c r="AZ402" s="2942">
        <f t="shared" si="247"/>
        <v>0</v>
      </c>
      <c r="BA402" s="2942">
        <f t="shared" si="248"/>
        <v>0</v>
      </c>
      <c r="BB402" s="2942">
        <f t="shared" si="249"/>
        <v>0</v>
      </c>
      <c r="BC402" s="2942">
        <f t="shared" si="250"/>
        <v>0</v>
      </c>
      <c r="BD402" s="2942">
        <f t="shared" si="251"/>
        <v>0</v>
      </c>
      <c r="BE402" s="2942">
        <f t="shared" si="252"/>
        <v>0</v>
      </c>
      <c r="BF402" s="2942">
        <f t="shared" si="253"/>
        <v>0</v>
      </c>
      <c r="BG402" s="2942">
        <f t="shared" si="254"/>
        <v>0</v>
      </c>
      <c r="BH402" s="2942">
        <f t="shared" si="255"/>
        <v>0</v>
      </c>
      <c r="BI402" s="2942">
        <f t="shared" si="256"/>
        <v>0</v>
      </c>
      <c r="BJ402" s="2942">
        <f t="shared" si="257"/>
        <v>0</v>
      </c>
      <c r="BK402" s="2942">
        <f t="shared" si="258"/>
        <v>0</v>
      </c>
      <c r="BL402" s="2942">
        <f t="shared" si="259"/>
        <v>0</v>
      </c>
      <c r="BM402" s="2942">
        <f t="shared" si="260"/>
        <v>0</v>
      </c>
      <c r="BN402" s="2942">
        <f t="shared" si="261"/>
        <v>0</v>
      </c>
      <c r="BO402" s="2942">
        <f t="shared" si="262"/>
        <v>0</v>
      </c>
      <c r="BP402" s="2942">
        <f t="shared" si="263"/>
        <v>0</v>
      </c>
      <c r="BQ402" s="2942">
        <f t="shared" si="264"/>
        <v>0</v>
      </c>
      <c r="BR402" s="2942">
        <f t="shared" si="265"/>
        <v>0</v>
      </c>
      <c r="BS402" s="2942">
        <f t="shared" si="266"/>
        <v>0</v>
      </c>
      <c r="BT402" s="2994">
        <f t="shared" si="267"/>
        <v>0</v>
      </c>
    </row>
    <row r="403" spans="1:72">
      <c r="A403" s="2939"/>
      <c r="B403" s="2940"/>
      <c r="C403" s="2940"/>
      <c r="D403" s="2941"/>
      <c r="E403" s="2942">
        <f t="shared" si="239"/>
        <v>0</v>
      </c>
      <c r="F403" s="2943"/>
      <c r="G403" s="2944">
        <f t="shared" si="240"/>
        <v>0</v>
      </c>
      <c r="H403" s="2945">
        <f t="shared" si="241"/>
        <v>0</v>
      </c>
      <c r="I403" s="2952"/>
      <c r="J403" s="2952"/>
      <c r="K403" s="2952"/>
      <c r="L403" s="2952"/>
      <c r="M403" s="2952"/>
      <c r="N403" s="2952"/>
      <c r="O403" s="2952"/>
      <c r="P403" s="2952"/>
      <c r="Q403" s="2952"/>
      <c r="R403" s="2952"/>
      <c r="S403" s="2952"/>
      <c r="T403" s="2952"/>
      <c r="U403" s="2952"/>
      <c r="V403" s="2952"/>
      <c r="W403" s="2952"/>
      <c r="X403" s="2952"/>
      <c r="Y403" s="2952"/>
      <c r="Z403" s="2952"/>
      <c r="AA403" s="2952"/>
      <c r="AB403" s="2952"/>
      <c r="AC403" s="2942">
        <f t="shared" si="242"/>
        <v>0</v>
      </c>
      <c r="AD403" s="2962"/>
      <c r="AE403" s="2962"/>
      <c r="AF403" s="2962"/>
      <c r="AG403" s="2962"/>
      <c r="AH403" s="2962"/>
      <c r="AI403" s="2962"/>
      <c r="AJ403" s="2962"/>
      <c r="AK403" s="2962"/>
      <c r="AL403" s="2962"/>
      <c r="AM403" s="2962"/>
      <c r="AN403" s="2962"/>
      <c r="AO403" s="2962"/>
      <c r="AP403" s="2962"/>
      <c r="AQ403" s="2962"/>
      <c r="AR403" s="2962"/>
      <c r="AS403" s="2962"/>
      <c r="AT403" s="2972"/>
      <c r="AU403" s="2973"/>
      <c r="AV403" s="1120">
        <f t="shared" si="243"/>
        <v>0</v>
      </c>
      <c r="AW403" s="1120">
        <f t="shared" si="244"/>
        <v>0</v>
      </c>
      <c r="AX403" s="1120">
        <f t="shared" si="245"/>
        <v>0</v>
      </c>
      <c r="AY403" s="2987">
        <f t="shared" si="246"/>
        <v>0</v>
      </c>
      <c r="AZ403" s="2942">
        <f t="shared" si="247"/>
        <v>0</v>
      </c>
      <c r="BA403" s="2942">
        <f t="shared" si="248"/>
        <v>0</v>
      </c>
      <c r="BB403" s="2942">
        <f t="shared" si="249"/>
        <v>0</v>
      </c>
      <c r="BC403" s="2942">
        <f t="shared" si="250"/>
        <v>0</v>
      </c>
      <c r="BD403" s="2942">
        <f t="shared" si="251"/>
        <v>0</v>
      </c>
      <c r="BE403" s="2942">
        <f t="shared" si="252"/>
        <v>0</v>
      </c>
      <c r="BF403" s="2942">
        <f t="shared" si="253"/>
        <v>0</v>
      </c>
      <c r="BG403" s="2942">
        <f t="shared" si="254"/>
        <v>0</v>
      </c>
      <c r="BH403" s="2942">
        <f t="shared" si="255"/>
        <v>0</v>
      </c>
      <c r="BI403" s="2942">
        <f t="shared" si="256"/>
        <v>0</v>
      </c>
      <c r="BJ403" s="2942">
        <f t="shared" si="257"/>
        <v>0</v>
      </c>
      <c r="BK403" s="2942">
        <f t="shared" si="258"/>
        <v>0</v>
      </c>
      <c r="BL403" s="2942">
        <f t="shared" si="259"/>
        <v>0</v>
      </c>
      <c r="BM403" s="2942">
        <f t="shared" si="260"/>
        <v>0</v>
      </c>
      <c r="BN403" s="2942">
        <f t="shared" si="261"/>
        <v>0</v>
      </c>
      <c r="BO403" s="2942">
        <f t="shared" si="262"/>
        <v>0</v>
      </c>
      <c r="BP403" s="2942">
        <f t="shared" si="263"/>
        <v>0</v>
      </c>
      <c r="BQ403" s="2942">
        <f t="shared" si="264"/>
        <v>0</v>
      </c>
      <c r="BR403" s="2942">
        <f t="shared" si="265"/>
        <v>0</v>
      </c>
      <c r="BS403" s="2942">
        <f t="shared" si="266"/>
        <v>0</v>
      </c>
      <c r="BT403" s="2994">
        <f t="shared" si="267"/>
        <v>0</v>
      </c>
    </row>
    <row r="404" spans="1:72">
      <c r="A404" s="2939"/>
      <c r="B404" s="2940"/>
      <c r="C404" s="2940"/>
      <c r="D404" s="2941"/>
      <c r="E404" s="2942">
        <f t="shared" si="239"/>
        <v>0</v>
      </c>
      <c r="F404" s="2943"/>
      <c r="G404" s="2944">
        <f t="shared" si="240"/>
        <v>0</v>
      </c>
      <c r="H404" s="2945">
        <f t="shared" si="241"/>
        <v>0</v>
      </c>
      <c r="I404" s="2952"/>
      <c r="J404" s="2952"/>
      <c r="K404" s="2952"/>
      <c r="L404" s="2952"/>
      <c r="M404" s="2952"/>
      <c r="N404" s="2952"/>
      <c r="O404" s="2952"/>
      <c r="P404" s="2952"/>
      <c r="Q404" s="2952"/>
      <c r="R404" s="2952"/>
      <c r="S404" s="2952"/>
      <c r="T404" s="2952"/>
      <c r="U404" s="2952"/>
      <c r="V404" s="2952"/>
      <c r="W404" s="2952"/>
      <c r="X404" s="2952"/>
      <c r="Y404" s="2952"/>
      <c r="Z404" s="2952"/>
      <c r="AA404" s="2952"/>
      <c r="AB404" s="2952"/>
      <c r="AC404" s="2942">
        <f t="shared" si="242"/>
        <v>0</v>
      </c>
      <c r="AD404" s="2962"/>
      <c r="AE404" s="2962"/>
      <c r="AF404" s="2962"/>
      <c r="AG404" s="2962"/>
      <c r="AH404" s="2962"/>
      <c r="AI404" s="2962"/>
      <c r="AJ404" s="2962"/>
      <c r="AK404" s="2962"/>
      <c r="AL404" s="2962"/>
      <c r="AM404" s="2962"/>
      <c r="AN404" s="2962"/>
      <c r="AO404" s="2962"/>
      <c r="AP404" s="2962"/>
      <c r="AQ404" s="2962"/>
      <c r="AR404" s="2962"/>
      <c r="AS404" s="2962"/>
      <c r="AT404" s="2972"/>
      <c r="AU404" s="2973"/>
      <c r="AV404" s="1120">
        <f t="shared" si="243"/>
        <v>0</v>
      </c>
      <c r="AW404" s="1120">
        <f t="shared" si="244"/>
        <v>0</v>
      </c>
      <c r="AX404" s="1120">
        <f t="shared" si="245"/>
        <v>0</v>
      </c>
      <c r="AY404" s="2987">
        <f t="shared" si="246"/>
        <v>0</v>
      </c>
      <c r="AZ404" s="2942">
        <f t="shared" si="247"/>
        <v>0</v>
      </c>
      <c r="BA404" s="2942">
        <f t="shared" si="248"/>
        <v>0</v>
      </c>
      <c r="BB404" s="2942">
        <f t="shared" si="249"/>
        <v>0</v>
      </c>
      <c r="BC404" s="2942">
        <f t="shared" si="250"/>
        <v>0</v>
      </c>
      <c r="BD404" s="2942">
        <f t="shared" si="251"/>
        <v>0</v>
      </c>
      <c r="BE404" s="2942">
        <f t="shared" si="252"/>
        <v>0</v>
      </c>
      <c r="BF404" s="2942">
        <f t="shared" si="253"/>
        <v>0</v>
      </c>
      <c r="BG404" s="2942">
        <f t="shared" si="254"/>
        <v>0</v>
      </c>
      <c r="BH404" s="2942">
        <f t="shared" si="255"/>
        <v>0</v>
      </c>
      <c r="BI404" s="2942">
        <f t="shared" si="256"/>
        <v>0</v>
      </c>
      <c r="BJ404" s="2942">
        <f t="shared" si="257"/>
        <v>0</v>
      </c>
      <c r="BK404" s="2942">
        <f t="shared" si="258"/>
        <v>0</v>
      </c>
      <c r="BL404" s="2942">
        <f t="shared" si="259"/>
        <v>0</v>
      </c>
      <c r="BM404" s="2942">
        <f t="shared" si="260"/>
        <v>0</v>
      </c>
      <c r="BN404" s="2942">
        <f t="shared" si="261"/>
        <v>0</v>
      </c>
      <c r="BO404" s="2942">
        <f t="shared" si="262"/>
        <v>0</v>
      </c>
      <c r="BP404" s="2942">
        <f t="shared" si="263"/>
        <v>0</v>
      </c>
      <c r="BQ404" s="2942">
        <f t="shared" si="264"/>
        <v>0</v>
      </c>
      <c r="BR404" s="2942">
        <f t="shared" si="265"/>
        <v>0</v>
      </c>
      <c r="BS404" s="2942">
        <f t="shared" si="266"/>
        <v>0</v>
      </c>
      <c r="BT404" s="2994">
        <f t="shared" si="267"/>
        <v>0</v>
      </c>
    </row>
    <row r="405" spans="1:72">
      <c r="A405" s="2939"/>
      <c r="B405" s="2940"/>
      <c r="C405" s="2940"/>
      <c r="D405" s="2941"/>
      <c r="E405" s="2942">
        <f t="shared" si="239"/>
        <v>0</v>
      </c>
      <c r="F405" s="2943"/>
      <c r="G405" s="2944">
        <f t="shared" si="240"/>
        <v>0</v>
      </c>
      <c r="H405" s="2945">
        <f t="shared" si="241"/>
        <v>0</v>
      </c>
      <c r="I405" s="2952"/>
      <c r="J405" s="2952"/>
      <c r="K405" s="2952"/>
      <c r="L405" s="2952"/>
      <c r="M405" s="2952"/>
      <c r="N405" s="2952"/>
      <c r="O405" s="2952"/>
      <c r="P405" s="2952"/>
      <c r="Q405" s="2952"/>
      <c r="R405" s="2952"/>
      <c r="S405" s="2952"/>
      <c r="T405" s="2952"/>
      <c r="U405" s="2952"/>
      <c r="V405" s="2952"/>
      <c r="W405" s="2952"/>
      <c r="X405" s="2952"/>
      <c r="Y405" s="2952"/>
      <c r="Z405" s="2952"/>
      <c r="AA405" s="2952"/>
      <c r="AB405" s="2952"/>
      <c r="AC405" s="2942">
        <f t="shared" si="242"/>
        <v>0</v>
      </c>
      <c r="AD405" s="2962"/>
      <c r="AE405" s="2962"/>
      <c r="AF405" s="2962"/>
      <c r="AG405" s="2962"/>
      <c r="AH405" s="2962"/>
      <c r="AI405" s="2962"/>
      <c r="AJ405" s="2962"/>
      <c r="AK405" s="2962"/>
      <c r="AL405" s="2962"/>
      <c r="AM405" s="2962"/>
      <c r="AN405" s="2962"/>
      <c r="AO405" s="2962"/>
      <c r="AP405" s="2962"/>
      <c r="AQ405" s="2962"/>
      <c r="AR405" s="2962"/>
      <c r="AS405" s="2962"/>
      <c r="AT405" s="2972"/>
      <c r="AU405" s="2973"/>
      <c r="AV405" s="1120">
        <f t="shared" si="243"/>
        <v>0</v>
      </c>
      <c r="AW405" s="1120">
        <f t="shared" si="244"/>
        <v>0</v>
      </c>
      <c r="AX405" s="1120">
        <f t="shared" si="245"/>
        <v>0</v>
      </c>
      <c r="AY405" s="2987">
        <f t="shared" si="246"/>
        <v>0</v>
      </c>
      <c r="AZ405" s="2942">
        <f t="shared" si="247"/>
        <v>0</v>
      </c>
      <c r="BA405" s="2942">
        <f t="shared" si="248"/>
        <v>0</v>
      </c>
      <c r="BB405" s="2942">
        <f t="shared" si="249"/>
        <v>0</v>
      </c>
      <c r="BC405" s="2942">
        <f t="shared" si="250"/>
        <v>0</v>
      </c>
      <c r="BD405" s="2942">
        <f t="shared" si="251"/>
        <v>0</v>
      </c>
      <c r="BE405" s="2942">
        <f t="shared" si="252"/>
        <v>0</v>
      </c>
      <c r="BF405" s="2942">
        <f t="shared" si="253"/>
        <v>0</v>
      </c>
      <c r="BG405" s="2942">
        <f t="shared" si="254"/>
        <v>0</v>
      </c>
      <c r="BH405" s="2942">
        <f t="shared" si="255"/>
        <v>0</v>
      </c>
      <c r="BI405" s="2942">
        <f t="shared" si="256"/>
        <v>0</v>
      </c>
      <c r="BJ405" s="2942">
        <f t="shared" si="257"/>
        <v>0</v>
      </c>
      <c r="BK405" s="2942">
        <f t="shared" si="258"/>
        <v>0</v>
      </c>
      <c r="BL405" s="2942">
        <f t="shared" si="259"/>
        <v>0</v>
      </c>
      <c r="BM405" s="2942">
        <f t="shared" si="260"/>
        <v>0</v>
      </c>
      <c r="BN405" s="2942">
        <f t="shared" si="261"/>
        <v>0</v>
      </c>
      <c r="BO405" s="2942">
        <f t="shared" si="262"/>
        <v>0</v>
      </c>
      <c r="BP405" s="2942">
        <f t="shared" si="263"/>
        <v>0</v>
      </c>
      <c r="BQ405" s="2942">
        <f t="shared" si="264"/>
        <v>0</v>
      </c>
      <c r="BR405" s="2942">
        <f t="shared" si="265"/>
        <v>0</v>
      </c>
      <c r="BS405" s="2942">
        <f t="shared" si="266"/>
        <v>0</v>
      </c>
      <c r="BT405" s="2994">
        <f t="shared" si="267"/>
        <v>0</v>
      </c>
    </row>
    <row r="406" spans="1:72">
      <c r="A406" s="2939"/>
      <c r="B406" s="2940"/>
      <c r="C406" s="2940"/>
      <c r="D406" s="2941"/>
      <c r="E406" s="2942">
        <f t="shared" si="239"/>
        <v>0</v>
      </c>
      <c r="F406" s="2943"/>
      <c r="G406" s="2944">
        <f t="shared" si="240"/>
        <v>0</v>
      </c>
      <c r="H406" s="2945">
        <f t="shared" si="241"/>
        <v>0</v>
      </c>
      <c r="I406" s="2952"/>
      <c r="J406" s="2952"/>
      <c r="K406" s="2952"/>
      <c r="L406" s="2952"/>
      <c r="M406" s="2952"/>
      <c r="N406" s="2952"/>
      <c r="O406" s="2952"/>
      <c r="P406" s="2952"/>
      <c r="Q406" s="2952"/>
      <c r="R406" s="2952"/>
      <c r="S406" s="2952"/>
      <c r="T406" s="2952"/>
      <c r="U406" s="2952"/>
      <c r="V406" s="2952"/>
      <c r="W406" s="2952"/>
      <c r="X406" s="2952"/>
      <c r="Y406" s="2952"/>
      <c r="Z406" s="2952"/>
      <c r="AA406" s="2952"/>
      <c r="AB406" s="2952"/>
      <c r="AC406" s="2942">
        <f t="shared" si="242"/>
        <v>0</v>
      </c>
      <c r="AD406" s="2962"/>
      <c r="AE406" s="2962"/>
      <c r="AF406" s="2962"/>
      <c r="AG406" s="2962"/>
      <c r="AH406" s="2962"/>
      <c r="AI406" s="2962"/>
      <c r="AJ406" s="2962"/>
      <c r="AK406" s="2962"/>
      <c r="AL406" s="2962"/>
      <c r="AM406" s="2962"/>
      <c r="AN406" s="2962"/>
      <c r="AO406" s="2962"/>
      <c r="AP406" s="2962"/>
      <c r="AQ406" s="2962"/>
      <c r="AR406" s="2962"/>
      <c r="AS406" s="2962"/>
      <c r="AT406" s="2972"/>
      <c r="AU406" s="2973"/>
      <c r="AV406" s="1120">
        <f t="shared" si="243"/>
        <v>0</v>
      </c>
      <c r="AW406" s="1120">
        <f t="shared" si="244"/>
        <v>0</v>
      </c>
      <c r="AX406" s="1120">
        <f t="shared" si="245"/>
        <v>0</v>
      </c>
      <c r="AY406" s="2987">
        <f t="shared" si="246"/>
        <v>0</v>
      </c>
      <c r="AZ406" s="2942">
        <f t="shared" si="247"/>
        <v>0</v>
      </c>
      <c r="BA406" s="2942">
        <f t="shared" si="248"/>
        <v>0</v>
      </c>
      <c r="BB406" s="2942">
        <f t="shared" si="249"/>
        <v>0</v>
      </c>
      <c r="BC406" s="2942">
        <f t="shared" si="250"/>
        <v>0</v>
      </c>
      <c r="BD406" s="2942">
        <f t="shared" si="251"/>
        <v>0</v>
      </c>
      <c r="BE406" s="2942">
        <f t="shared" si="252"/>
        <v>0</v>
      </c>
      <c r="BF406" s="2942">
        <f t="shared" si="253"/>
        <v>0</v>
      </c>
      <c r="BG406" s="2942">
        <f t="shared" si="254"/>
        <v>0</v>
      </c>
      <c r="BH406" s="2942">
        <f t="shared" si="255"/>
        <v>0</v>
      </c>
      <c r="BI406" s="2942">
        <f t="shared" si="256"/>
        <v>0</v>
      </c>
      <c r="BJ406" s="2942">
        <f t="shared" si="257"/>
        <v>0</v>
      </c>
      <c r="BK406" s="2942">
        <f t="shared" si="258"/>
        <v>0</v>
      </c>
      <c r="BL406" s="2942">
        <f t="shared" si="259"/>
        <v>0</v>
      </c>
      <c r="BM406" s="2942">
        <f t="shared" si="260"/>
        <v>0</v>
      </c>
      <c r="BN406" s="2942">
        <f t="shared" si="261"/>
        <v>0</v>
      </c>
      <c r="BO406" s="2942">
        <f t="shared" si="262"/>
        <v>0</v>
      </c>
      <c r="BP406" s="2942">
        <f t="shared" si="263"/>
        <v>0</v>
      </c>
      <c r="BQ406" s="2942">
        <f t="shared" si="264"/>
        <v>0</v>
      </c>
      <c r="BR406" s="2942">
        <f t="shared" si="265"/>
        <v>0</v>
      </c>
      <c r="BS406" s="2942">
        <f t="shared" si="266"/>
        <v>0</v>
      </c>
      <c r="BT406" s="2994">
        <f t="shared" si="267"/>
        <v>0</v>
      </c>
    </row>
    <row r="407" spans="1:72">
      <c r="A407" s="2939"/>
      <c r="B407" s="2940"/>
      <c r="C407" s="2940"/>
      <c r="D407" s="2941"/>
      <c r="E407" s="2942">
        <f t="shared" si="239"/>
        <v>0</v>
      </c>
      <c r="F407" s="2943"/>
      <c r="G407" s="2944">
        <f t="shared" si="240"/>
        <v>0</v>
      </c>
      <c r="H407" s="2945">
        <f t="shared" si="241"/>
        <v>0</v>
      </c>
      <c r="I407" s="2952"/>
      <c r="J407" s="2952"/>
      <c r="K407" s="2952"/>
      <c r="L407" s="2952"/>
      <c r="M407" s="2952"/>
      <c r="N407" s="2952"/>
      <c r="O407" s="2952"/>
      <c r="P407" s="2952"/>
      <c r="Q407" s="2952"/>
      <c r="R407" s="2952"/>
      <c r="S407" s="2952"/>
      <c r="T407" s="2952"/>
      <c r="U407" s="2952"/>
      <c r="V407" s="2952"/>
      <c r="W407" s="2952"/>
      <c r="X407" s="2952"/>
      <c r="Y407" s="2952"/>
      <c r="Z407" s="2952"/>
      <c r="AA407" s="2952"/>
      <c r="AB407" s="2952"/>
      <c r="AC407" s="2942">
        <f t="shared" si="242"/>
        <v>0</v>
      </c>
      <c r="AD407" s="2962"/>
      <c r="AE407" s="2962"/>
      <c r="AF407" s="2962"/>
      <c r="AG407" s="2962"/>
      <c r="AH407" s="2962"/>
      <c r="AI407" s="2962"/>
      <c r="AJ407" s="2962"/>
      <c r="AK407" s="2962"/>
      <c r="AL407" s="2962"/>
      <c r="AM407" s="2962"/>
      <c r="AN407" s="2962"/>
      <c r="AO407" s="2962"/>
      <c r="AP407" s="2962"/>
      <c r="AQ407" s="2962"/>
      <c r="AR407" s="2962"/>
      <c r="AS407" s="2962"/>
      <c r="AT407" s="2972"/>
      <c r="AU407" s="2973"/>
      <c r="AV407" s="1120">
        <f t="shared" si="243"/>
        <v>0</v>
      </c>
      <c r="AW407" s="1120">
        <f t="shared" si="244"/>
        <v>0</v>
      </c>
      <c r="AX407" s="1120">
        <f t="shared" si="245"/>
        <v>0</v>
      </c>
      <c r="AY407" s="2987">
        <f t="shared" si="246"/>
        <v>0</v>
      </c>
      <c r="AZ407" s="2942">
        <f t="shared" si="247"/>
        <v>0</v>
      </c>
      <c r="BA407" s="2942">
        <f t="shared" si="248"/>
        <v>0</v>
      </c>
      <c r="BB407" s="2942">
        <f t="shared" si="249"/>
        <v>0</v>
      </c>
      <c r="BC407" s="2942">
        <f t="shared" si="250"/>
        <v>0</v>
      </c>
      <c r="BD407" s="2942">
        <f t="shared" si="251"/>
        <v>0</v>
      </c>
      <c r="BE407" s="2942">
        <f t="shared" si="252"/>
        <v>0</v>
      </c>
      <c r="BF407" s="2942">
        <f t="shared" si="253"/>
        <v>0</v>
      </c>
      <c r="BG407" s="2942">
        <f t="shared" si="254"/>
        <v>0</v>
      </c>
      <c r="BH407" s="2942">
        <f t="shared" si="255"/>
        <v>0</v>
      </c>
      <c r="BI407" s="2942">
        <f t="shared" si="256"/>
        <v>0</v>
      </c>
      <c r="BJ407" s="2942">
        <f t="shared" si="257"/>
        <v>0</v>
      </c>
      <c r="BK407" s="2942">
        <f t="shared" si="258"/>
        <v>0</v>
      </c>
      <c r="BL407" s="2942">
        <f t="shared" si="259"/>
        <v>0</v>
      </c>
      <c r="BM407" s="2942">
        <f t="shared" si="260"/>
        <v>0</v>
      </c>
      <c r="BN407" s="2942">
        <f t="shared" si="261"/>
        <v>0</v>
      </c>
      <c r="BO407" s="2942">
        <f t="shared" si="262"/>
        <v>0</v>
      </c>
      <c r="BP407" s="2942">
        <f t="shared" si="263"/>
        <v>0</v>
      </c>
      <c r="BQ407" s="2942">
        <f t="shared" si="264"/>
        <v>0</v>
      </c>
      <c r="BR407" s="2942">
        <f t="shared" si="265"/>
        <v>0</v>
      </c>
      <c r="BS407" s="2942">
        <f t="shared" si="266"/>
        <v>0</v>
      </c>
      <c r="BT407" s="2994">
        <f t="shared" si="267"/>
        <v>0</v>
      </c>
    </row>
    <row r="408" spans="1:72">
      <c r="A408" s="2939"/>
      <c r="B408" s="2940"/>
      <c r="C408" s="2940"/>
      <c r="D408" s="2941"/>
      <c r="E408" s="2942">
        <f t="shared" si="239"/>
        <v>0</v>
      </c>
      <c r="F408" s="2943"/>
      <c r="G408" s="2944">
        <f t="shared" si="240"/>
        <v>0</v>
      </c>
      <c r="H408" s="2945">
        <f t="shared" si="241"/>
        <v>0</v>
      </c>
      <c r="I408" s="2952"/>
      <c r="J408" s="2952"/>
      <c r="K408" s="2952"/>
      <c r="L408" s="2952"/>
      <c r="M408" s="2952"/>
      <c r="N408" s="2952"/>
      <c r="O408" s="2952"/>
      <c r="P408" s="2952"/>
      <c r="Q408" s="2952"/>
      <c r="R408" s="2952"/>
      <c r="S408" s="2952"/>
      <c r="T408" s="2952"/>
      <c r="U408" s="2952"/>
      <c r="V408" s="2952"/>
      <c r="W408" s="2952"/>
      <c r="X408" s="2952"/>
      <c r="Y408" s="2952"/>
      <c r="Z408" s="2952"/>
      <c r="AA408" s="2952"/>
      <c r="AB408" s="2952"/>
      <c r="AC408" s="2942">
        <f t="shared" si="242"/>
        <v>0</v>
      </c>
      <c r="AD408" s="2962"/>
      <c r="AE408" s="2962"/>
      <c r="AF408" s="2962"/>
      <c r="AG408" s="2962"/>
      <c r="AH408" s="2962"/>
      <c r="AI408" s="2962"/>
      <c r="AJ408" s="2962"/>
      <c r="AK408" s="2962"/>
      <c r="AL408" s="2962"/>
      <c r="AM408" s="2962"/>
      <c r="AN408" s="2962"/>
      <c r="AO408" s="2962"/>
      <c r="AP408" s="2962"/>
      <c r="AQ408" s="2962"/>
      <c r="AR408" s="2962"/>
      <c r="AS408" s="2962"/>
      <c r="AT408" s="2972"/>
      <c r="AU408" s="2973"/>
      <c r="AV408" s="1120">
        <f t="shared" si="243"/>
        <v>0</v>
      </c>
      <c r="AW408" s="1120">
        <f t="shared" si="244"/>
        <v>0</v>
      </c>
      <c r="AX408" s="1120">
        <f t="shared" si="245"/>
        <v>0</v>
      </c>
      <c r="AY408" s="2987">
        <f t="shared" si="246"/>
        <v>0</v>
      </c>
      <c r="AZ408" s="2942">
        <f t="shared" si="247"/>
        <v>0</v>
      </c>
      <c r="BA408" s="2942">
        <f t="shared" si="248"/>
        <v>0</v>
      </c>
      <c r="BB408" s="2942">
        <f t="shared" si="249"/>
        <v>0</v>
      </c>
      <c r="BC408" s="2942">
        <f t="shared" si="250"/>
        <v>0</v>
      </c>
      <c r="BD408" s="2942">
        <f t="shared" si="251"/>
        <v>0</v>
      </c>
      <c r="BE408" s="2942">
        <f t="shared" si="252"/>
        <v>0</v>
      </c>
      <c r="BF408" s="2942">
        <f t="shared" si="253"/>
        <v>0</v>
      </c>
      <c r="BG408" s="2942">
        <f t="shared" si="254"/>
        <v>0</v>
      </c>
      <c r="BH408" s="2942">
        <f t="shared" si="255"/>
        <v>0</v>
      </c>
      <c r="BI408" s="2942">
        <f t="shared" si="256"/>
        <v>0</v>
      </c>
      <c r="BJ408" s="2942">
        <f t="shared" si="257"/>
        <v>0</v>
      </c>
      <c r="BK408" s="2942">
        <f t="shared" si="258"/>
        <v>0</v>
      </c>
      <c r="BL408" s="2942">
        <f t="shared" si="259"/>
        <v>0</v>
      </c>
      <c r="BM408" s="2942">
        <f t="shared" si="260"/>
        <v>0</v>
      </c>
      <c r="BN408" s="2942">
        <f t="shared" si="261"/>
        <v>0</v>
      </c>
      <c r="BO408" s="2942">
        <f t="shared" si="262"/>
        <v>0</v>
      </c>
      <c r="BP408" s="2942">
        <f t="shared" si="263"/>
        <v>0</v>
      </c>
      <c r="BQ408" s="2942">
        <f t="shared" si="264"/>
        <v>0</v>
      </c>
      <c r="BR408" s="2942">
        <f t="shared" si="265"/>
        <v>0</v>
      </c>
      <c r="BS408" s="2942">
        <f t="shared" si="266"/>
        <v>0</v>
      </c>
      <c r="BT408" s="2994">
        <f t="shared" si="267"/>
        <v>0</v>
      </c>
    </row>
    <row r="409" spans="1:72">
      <c r="A409" s="2939"/>
      <c r="B409" s="2940"/>
      <c r="C409" s="2940"/>
      <c r="D409" s="2941"/>
      <c r="E409" s="2942">
        <f t="shared" si="239"/>
        <v>0</v>
      </c>
      <c r="F409" s="2943"/>
      <c r="G409" s="2944">
        <f t="shared" si="240"/>
        <v>0</v>
      </c>
      <c r="H409" s="2945">
        <f t="shared" si="241"/>
        <v>0</v>
      </c>
      <c r="I409" s="2952"/>
      <c r="J409" s="2952"/>
      <c r="K409" s="2952"/>
      <c r="L409" s="2952"/>
      <c r="M409" s="2952"/>
      <c r="N409" s="2952"/>
      <c r="O409" s="2952"/>
      <c r="P409" s="2952"/>
      <c r="Q409" s="2952"/>
      <c r="R409" s="2952"/>
      <c r="S409" s="2952"/>
      <c r="T409" s="2952"/>
      <c r="U409" s="2952"/>
      <c r="V409" s="2952"/>
      <c r="W409" s="2952"/>
      <c r="X409" s="2952"/>
      <c r="Y409" s="2952"/>
      <c r="Z409" s="2952"/>
      <c r="AA409" s="2952"/>
      <c r="AB409" s="2952"/>
      <c r="AC409" s="2942">
        <f t="shared" si="242"/>
        <v>0</v>
      </c>
      <c r="AD409" s="2962"/>
      <c r="AE409" s="2962"/>
      <c r="AF409" s="2962"/>
      <c r="AG409" s="2962"/>
      <c r="AH409" s="2962"/>
      <c r="AI409" s="2962"/>
      <c r="AJ409" s="2962"/>
      <c r="AK409" s="2962"/>
      <c r="AL409" s="2962"/>
      <c r="AM409" s="2962"/>
      <c r="AN409" s="2962"/>
      <c r="AO409" s="2962"/>
      <c r="AP409" s="2962"/>
      <c r="AQ409" s="2962"/>
      <c r="AR409" s="2962"/>
      <c r="AS409" s="2962"/>
      <c r="AT409" s="2972"/>
      <c r="AU409" s="2973"/>
      <c r="AV409" s="1120">
        <f t="shared" si="243"/>
        <v>0</v>
      </c>
      <c r="AW409" s="1120">
        <f t="shared" si="244"/>
        <v>0</v>
      </c>
      <c r="AX409" s="1120">
        <f t="shared" si="245"/>
        <v>0</v>
      </c>
      <c r="AY409" s="2987">
        <f t="shared" si="246"/>
        <v>0</v>
      </c>
      <c r="AZ409" s="2942">
        <f t="shared" si="247"/>
        <v>0</v>
      </c>
      <c r="BA409" s="2942">
        <f t="shared" si="248"/>
        <v>0</v>
      </c>
      <c r="BB409" s="2942">
        <f t="shared" si="249"/>
        <v>0</v>
      </c>
      <c r="BC409" s="2942">
        <f t="shared" si="250"/>
        <v>0</v>
      </c>
      <c r="BD409" s="2942">
        <f t="shared" si="251"/>
        <v>0</v>
      </c>
      <c r="BE409" s="2942">
        <f t="shared" si="252"/>
        <v>0</v>
      </c>
      <c r="BF409" s="2942">
        <f t="shared" si="253"/>
        <v>0</v>
      </c>
      <c r="BG409" s="2942">
        <f t="shared" si="254"/>
        <v>0</v>
      </c>
      <c r="BH409" s="2942">
        <f t="shared" si="255"/>
        <v>0</v>
      </c>
      <c r="BI409" s="2942">
        <f t="shared" si="256"/>
        <v>0</v>
      </c>
      <c r="BJ409" s="2942">
        <f t="shared" si="257"/>
        <v>0</v>
      </c>
      <c r="BK409" s="2942">
        <f t="shared" si="258"/>
        <v>0</v>
      </c>
      <c r="BL409" s="2942">
        <f t="shared" si="259"/>
        <v>0</v>
      </c>
      <c r="BM409" s="2942">
        <f t="shared" si="260"/>
        <v>0</v>
      </c>
      <c r="BN409" s="2942">
        <f t="shared" si="261"/>
        <v>0</v>
      </c>
      <c r="BO409" s="2942">
        <f t="shared" si="262"/>
        <v>0</v>
      </c>
      <c r="BP409" s="2942">
        <f t="shared" si="263"/>
        <v>0</v>
      </c>
      <c r="BQ409" s="2942">
        <f t="shared" si="264"/>
        <v>0</v>
      </c>
      <c r="BR409" s="2942">
        <f t="shared" si="265"/>
        <v>0</v>
      </c>
      <c r="BS409" s="2942">
        <f t="shared" si="266"/>
        <v>0</v>
      </c>
      <c r="BT409" s="2994">
        <f t="shared" si="267"/>
        <v>0</v>
      </c>
    </row>
    <row r="410" spans="1:72">
      <c r="A410" s="2939"/>
      <c r="B410" s="2940"/>
      <c r="C410" s="2940"/>
      <c r="D410" s="2941"/>
      <c r="E410" s="2942">
        <f t="shared" si="239"/>
        <v>0</v>
      </c>
      <c r="F410" s="2943"/>
      <c r="G410" s="2944">
        <f t="shared" si="240"/>
        <v>0</v>
      </c>
      <c r="H410" s="2945">
        <f t="shared" si="241"/>
        <v>0</v>
      </c>
      <c r="I410" s="2952"/>
      <c r="J410" s="2952"/>
      <c r="K410" s="2952"/>
      <c r="L410" s="2952"/>
      <c r="M410" s="2952"/>
      <c r="N410" s="2952"/>
      <c r="O410" s="2952"/>
      <c r="P410" s="2952"/>
      <c r="Q410" s="2952"/>
      <c r="R410" s="2952"/>
      <c r="S410" s="2952"/>
      <c r="T410" s="2952"/>
      <c r="U410" s="2952"/>
      <c r="V410" s="2952"/>
      <c r="W410" s="2952"/>
      <c r="X410" s="2952"/>
      <c r="Y410" s="2952"/>
      <c r="Z410" s="2952"/>
      <c r="AA410" s="2952"/>
      <c r="AB410" s="2952"/>
      <c r="AC410" s="2942">
        <f t="shared" si="242"/>
        <v>0</v>
      </c>
      <c r="AD410" s="2962"/>
      <c r="AE410" s="2962"/>
      <c r="AF410" s="2962"/>
      <c r="AG410" s="2962"/>
      <c r="AH410" s="2962"/>
      <c r="AI410" s="2962"/>
      <c r="AJ410" s="2962"/>
      <c r="AK410" s="2962"/>
      <c r="AL410" s="2962"/>
      <c r="AM410" s="2962"/>
      <c r="AN410" s="2962"/>
      <c r="AO410" s="2962"/>
      <c r="AP410" s="2962"/>
      <c r="AQ410" s="2962"/>
      <c r="AR410" s="2962"/>
      <c r="AS410" s="2962"/>
      <c r="AT410" s="2972"/>
      <c r="AU410" s="2973"/>
      <c r="AV410" s="1120">
        <f t="shared" si="243"/>
        <v>0</v>
      </c>
      <c r="AW410" s="1120">
        <f t="shared" si="244"/>
        <v>0</v>
      </c>
      <c r="AX410" s="1120">
        <f t="shared" si="245"/>
        <v>0</v>
      </c>
      <c r="AY410" s="2987">
        <f t="shared" si="246"/>
        <v>0</v>
      </c>
      <c r="AZ410" s="2942">
        <f t="shared" si="247"/>
        <v>0</v>
      </c>
      <c r="BA410" s="2942">
        <f t="shared" si="248"/>
        <v>0</v>
      </c>
      <c r="BB410" s="2942">
        <f t="shared" si="249"/>
        <v>0</v>
      </c>
      <c r="BC410" s="2942">
        <f t="shared" si="250"/>
        <v>0</v>
      </c>
      <c r="BD410" s="2942">
        <f t="shared" si="251"/>
        <v>0</v>
      </c>
      <c r="BE410" s="2942">
        <f t="shared" si="252"/>
        <v>0</v>
      </c>
      <c r="BF410" s="2942">
        <f t="shared" si="253"/>
        <v>0</v>
      </c>
      <c r="BG410" s="2942">
        <f t="shared" si="254"/>
        <v>0</v>
      </c>
      <c r="BH410" s="2942">
        <f t="shared" si="255"/>
        <v>0</v>
      </c>
      <c r="BI410" s="2942">
        <f t="shared" si="256"/>
        <v>0</v>
      </c>
      <c r="BJ410" s="2942">
        <f t="shared" si="257"/>
        <v>0</v>
      </c>
      <c r="BK410" s="2942">
        <f t="shared" si="258"/>
        <v>0</v>
      </c>
      <c r="BL410" s="2942">
        <f t="shared" si="259"/>
        <v>0</v>
      </c>
      <c r="BM410" s="2942">
        <f t="shared" si="260"/>
        <v>0</v>
      </c>
      <c r="BN410" s="2942">
        <f t="shared" si="261"/>
        <v>0</v>
      </c>
      <c r="BO410" s="2942">
        <f t="shared" si="262"/>
        <v>0</v>
      </c>
      <c r="BP410" s="2942">
        <f t="shared" si="263"/>
        <v>0</v>
      </c>
      <c r="BQ410" s="2942">
        <f t="shared" si="264"/>
        <v>0</v>
      </c>
      <c r="BR410" s="2942">
        <f t="shared" si="265"/>
        <v>0</v>
      </c>
      <c r="BS410" s="2942">
        <f t="shared" si="266"/>
        <v>0</v>
      </c>
      <c r="BT410" s="2994">
        <f t="shared" si="267"/>
        <v>0</v>
      </c>
    </row>
    <row r="411" spans="1:72">
      <c r="A411" s="2939"/>
      <c r="B411" s="2940"/>
      <c r="C411" s="2940"/>
      <c r="D411" s="2941"/>
      <c r="E411" s="2942">
        <f t="shared" si="239"/>
        <v>0</v>
      </c>
      <c r="F411" s="2943"/>
      <c r="G411" s="2944">
        <f t="shared" si="240"/>
        <v>0</v>
      </c>
      <c r="H411" s="2945">
        <f t="shared" si="241"/>
        <v>0</v>
      </c>
      <c r="I411" s="2952"/>
      <c r="J411" s="2952"/>
      <c r="K411" s="2952"/>
      <c r="L411" s="2952"/>
      <c r="M411" s="2952"/>
      <c r="N411" s="2952"/>
      <c r="O411" s="2952"/>
      <c r="P411" s="2952"/>
      <c r="Q411" s="2952"/>
      <c r="R411" s="2952"/>
      <c r="S411" s="2952"/>
      <c r="T411" s="2952"/>
      <c r="U411" s="2952"/>
      <c r="V411" s="2952"/>
      <c r="W411" s="2952"/>
      <c r="X411" s="2952"/>
      <c r="Y411" s="2952"/>
      <c r="Z411" s="2952"/>
      <c r="AA411" s="2952"/>
      <c r="AB411" s="2952"/>
      <c r="AC411" s="2942">
        <f t="shared" si="242"/>
        <v>0</v>
      </c>
      <c r="AD411" s="2962"/>
      <c r="AE411" s="2962"/>
      <c r="AF411" s="2962"/>
      <c r="AG411" s="2962"/>
      <c r="AH411" s="2962"/>
      <c r="AI411" s="2962"/>
      <c r="AJ411" s="2962"/>
      <c r="AK411" s="2962"/>
      <c r="AL411" s="2962"/>
      <c r="AM411" s="2962"/>
      <c r="AN411" s="2962"/>
      <c r="AO411" s="2962"/>
      <c r="AP411" s="2962"/>
      <c r="AQ411" s="2962"/>
      <c r="AR411" s="2962"/>
      <c r="AS411" s="2962"/>
      <c r="AT411" s="2972"/>
      <c r="AU411" s="2973"/>
      <c r="AV411" s="1120">
        <f t="shared" si="243"/>
        <v>0</v>
      </c>
      <c r="AW411" s="1120">
        <f t="shared" si="244"/>
        <v>0</v>
      </c>
      <c r="AX411" s="1120">
        <f t="shared" si="245"/>
        <v>0</v>
      </c>
      <c r="AY411" s="2987">
        <f t="shared" si="246"/>
        <v>0</v>
      </c>
      <c r="AZ411" s="2942">
        <f t="shared" si="247"/>
        <v>0</v>
      </c>
      <c r="BA411" s="2942">
        <f t="shared" si="248"/>
        <v>0</v>
      </c>
      <c r="BB411" s="2942">
        <f t="shared" si="249"/>
        <v>0</v>
      </c>
      <c r="BC411" s="2942">
        <f t="shared" si="250"/>
        <v>0</v>
      </c>
      <c r="BD411" s="2942">
        <f t="shared" si="251"/>
        <v>0</v>
      </c>
      <c r="BE411" s="2942">
        <f t="shared" si="252"/>
        <v>0</v>
      </c>
      <c r="BF411" s="2942">
        <f t="shared" si="253"/>
        <v>0</v>
      </c>
      <c r="BG411" s="2942">
        <f t="shared" si="254"/>
        <v>0</v>
      </c>
      <c r="BH411" s="2942">
        <f t="shared" si="255"/>
        <v>0</v>
      </c>
      <c r="BI411" s="2942">
        <f t="shared" si="256"/>
        <v>0</v>
      </c>
      <c r="BJ411" s="2942">
        <f t="shared" si="257"/>
        <v>0</v>
      </c>
      <c r="BK411" s="2942">
        <f t="shared" si="258"/>
        <v>0</v>
      </c>
      <c r="BL411" s="2942">
        <f t="shared" si="259"/>
        <v>0</v>
      </c>
      <c r="BM411" s="2942">
        <f t="shared" si="260"/>
        <v>0</v>
      </c>
      <c r="BN411" s="2942">
        <f t="shared" si="261"/>
        <v>0</v>
      </c>
      <c r="BO411" s="2942">
        <f t="shared" si="262"/>
        <v>0</v>
      </c>
      <c r="BP411" s="2942">
        <f t="shared" si="263"/>
        <v>0</v>
      </c>
      <c r="BQ411" s="2942">
        <f t="shared" si="264"/>
        <v>0</v>
      </c>
      <c r="BR411" s="2942">
        <f t="shared" si="265"/>
        <v>0</v>
      </c>
      <c r="BS411" s="2942">
        <f t="shared" si="266"/>
        <v>0</v>
      </c>
      <c r="BT411" s="2994">
        <f t="shared" si="267"/>
        <v>0</v>
      </c>
    </row>
    <row r="412" spans="1:72">
      <c r="A412" s="2939"/>
      <c r="B412" s="2940"/>
      <c r="C412" s="2940"/>
      <c r="D412" s="2941"/>
      <c r="E412" s="2942">
        <f t="shared" si="239"/>
        <v>0</v>
      </c>
      <c r="F412" s="2943"/>
      <c r="G412" s="2944">
        <f t="shared" si="240"/>
        <v>0</v>
      </c>
      <c r="H412" s="2945">
        <f t="shared" si="241"/>
        <v>0</v>
      </c>
      <c r="I412" s="2952"/>
      <c r="J412" s="2952"/>
      <c r="K412" s="2952"/>
      <c r="L412" s="2952"/>
      <c r="M412" s="2952"/>
      <c r="N412" s="2952"/>
      <c r="O412" s="2952"/>
      <c r="P412" s="2952"/>
      <c r="Q412" s="2952"/>
      <c r="R412" s="2952"/>
      <c r="S412" s="2952"/>
      <c r="T412" s="2952"/>
      <c r="U412" s="2952"/>
      <c r="V412" s="2952"/>
      <c r="W412" s="2952"/>
      <c r="X412" s="2952"/>
      <c r="Y412" s="2952"/>
      <c r="Z412" s="2952"/>
      <c r="AA412" s="2952"/>
      <c r="AB412" s="2952"/>
      <c r="AC412" s="2942">
        <f t="shared" si="242"/>
        <v>0</v>
      </c>
      <c r="AD412" s="2962"/>
      <c r="AE412" s="2962"/>
      <c r="AF412" s="2962"/>
      <c r="AG412" s="2962"/>
      <c r="AH412" s="2962"/>
      <c r="AI412" s="2962"/>
      <c r="AJ412" s="2962"/>
      <c r="AK412" s="2962"/>
      <c r="AL412" s="2962"/>
      <c r="AM412" s="2962"/>
      <c r="AN412" s="2962"/>
      <c r="AO412" s="2962"/>
      <c r="AP412" s="2962"/>
      <c r="AQ412" s="2962"/>
      <c r="AR412" s="2962"/>
      <c r="AS412" s="2962"/>
      <c r="AT412" s="2972"/>
      <c r="AU412" s="2973"/>
      <c r="AV412" s="1120">
        <f t="shared" si="243"/>
        <v>0</v>
      </c>
      <c r="AW412" s="1120">
        <f t="shared" si="244"/>
        <v>0</v>
      </c>
      <c r="AX412" s="1120">
        <f t="shared" si="245"/>
        <v>0</v>
      </c>
      <c r="AY412" s="2987">
        <f t="shared" si="246"/>
        <v>0</v>
      </c>
      <c r="AZ412" s="2942">
        <f t="shared" si="247"/>
        <v>0</v>
      </c>
      <c r="BA412" s="2942">
        <f t="shared" si="248"/>
        <v>0</v>
      </c>
      <c r="BB412" s="2942">
        <f t="shared" si="249"/>
        <v>0</v>
      </c>
      <c r="BC412" s="2942">
        <f t="shared" si="250"/>
        <v>0</v>
      </c>
      <c r="BD412" s="2942">
        <f t="shared" si="251"/>
        <v>0</v>
      </c>
      <c r="BE412" s="2942">
        <f t="shared" si="252"/>
        <v>0</v>
      </c>
      <c r="BF412" s="2942">
        <f t="shared" si="253"/>
        <v>0</v>
      </c>
      <c r="BG412" s="2942">
        <f t="shared" si="254"/>
        <v>0</v>
      </c>
      <c r="BH412" s="2942">
        <f t="shared" si="255"/>
        <v>0</v>
      </c>
      <c r="BI412" s="2942">
        <f t="shared" si="256"/>
        <v>0</v>
      </c>
      <c r="BJ412" s="2942">
        <f t="shared" si="257"/>
        <v>0</v>
      </c>
      <c r="BK412" s="2942">
        <f t="shared" si="258"/>
        <v>0</v>
      </c>
      <c r="BL412" s="2942">
        <f t="shared" si="259"/>
        <v>0</v>
      </c>
      <c r="BM412" s="2942">
        <f t="shared" si="260"/>
        <v>0</v>
      </c>
      <c r="BN412" s="2942">
        <f t="shared" si="261"/>
        <v>0</v>
      </c>
      <c r="BO412" s="2942">
        <f t="shared" si="262"/>
        <v>0</v>
      </c>
      <c r="BP412" s="2942">
        <f t="shared" si="263"/>
        <v>0</v>
      </c>
      <c r="BQ412" s="2942">
        <f t="shared" si="264"/>
        <v>0</v>
      </c>
      <c r="BR412" s="2942">
        <f t="shared" si="265"/>
        <v>0</v>
      </c>
      <c r="BS412" s="2942">
        <f t="shared" si="266"/>
        <v>0</v>
      </c>
      <c r="BT412" s="2994">
        <f t="shared" si="267"/>
        <v>0</v>
      </c>
    </row>
    <row r="413" spans="1:72">
      <c r="A413" s="2939"/>
      <c r="B413" s="2940"/>
      <c r="C413" s="2940"/>
      <c r="D413" s="2941"/>
      <c r="E413" s="2942">
        <f t="shared" si="239"/>
        <v>0</v>
      </c>
      <c r="F413" s="2943"/>
      <c r="G413" s="2944">
        <f t="shared" si="240"/>
        <v>0</v>
      </c>
      <c r="H413" s="2945">
        <f t="shared" si="241"/>
        <v>0</v>
      </c>
      <c r="I413" s="2952"/>
      <c r="J413" s="2952"/>
      <c r="K413" s="2952"/>
      <c r="L413" s="2952"/>
      <c r="M413" s="2952"/>
      <c r="N413" s="2952"/>
      <c r="O413" s="2952"/>
      <c r="P413" s="2952"/>
      <c r="Q413" s="2952"/>
      <c r="R413" s="2952"/>
      <c r="S413" s="2952"/>
      <c r="T413" s="2952"/>
      <c r="U413" s="2952"/>
      <c r="V413" s="2952"/>
      <c r="W413" s="2952"/>
      <c r="X413" s="2952"/>
      <c r="Y413" s="2952"/>
      <c r="Z413" s="2952"/>
      <c r="AA413" s="2952"/>
      <c r="AB413" s="2952"/>
      <c r="AC413" s="2942">
        <f t="shared" si="242"/>
        <v>0</v>
      </c>
      <c r="AD413" s="2962"/>
      <c r="AE413" s="2962"/>
      <c r="AF413" s="2962"/>
      <c r="AG413" s="2962"/>
      <c r="AH413" s="2962"/>
      <c r="AI413" s="2962"/>
      <c r="AJ413" s="2962"/>
      <c r="AK413" s="2962"/>
      <c r="AL413" s="2962"/>
      <c r="AM413" s="2962"/>
      <c r="AN413" s="2962"/>
      <c r="AO413" s="2962"/>
      <c r="AP413" s="2962"/>
      <c r="AQ413" s="2962"/>
      <c r="AR413" s="2962"/>
      <c r="AS413" s="2962"/>
      <c r="AT413" s="2972"/>
      <c r="AU413" s="2973"/>
      <c r="AV413" s="1120">
        <f t="shared" si="243"/>
        <v>0</v>
      </c>
      <c r="AW413" s="1120">
        <f t="shared" si="244"/>
        <v>0</v>
      </c>
      <c r="AX413" s="1120">
        <f t="shared" si="245"/>
        <v>0</v>
      </c>
      <c r="AY413" s="2987">
        <f t="shared" si="246"/>
        <v>0</v>
      </c>
      <c r="AZ413" s="2942">
        <f t="shared" si="247"/>
        <v>0</v>
      </c>
      <c r="BA413" s="2942">
        <f t="shared" si="248"/>
        <v>0</v>
      </c>
      <c r="BB413" s="2942">
        <f t="shared" si="249"/>
        <v>0</v>
      </c>
      <c r="BC413" s="2942">
        <f t="shared" si="250"/>
        <v>0</v>
      </c>
      <c r="BD413" s="2942">
        <f t="shared" si="251"/>
        <v>0</v>
      </c>
      <c r="BE413" s="2942">
        <f t="shared" si="252"/>
        <v>0</v>
      </c>
      <c r="BF413" s="2942">
        <f t="shared" si="253"/>
        <v>0</v>
      </c>
      <c r="BG413" s="2942">
        <f t="shared" si="254"/>
        <v>0</v>
      </c>
      <c r="BH413" s="2942">
        <f t="shared" si="255"/>
        <v>0</v>
      </c>
      <c r="BI413" s="2942">
        <f t="shared" si="256"/>
        <v>0</v>
      </c>
      <c r="BJ413" s="2942">
        <f t="shared" si="257"/>
        <v>0</v>
      </c>
      <c r="BK413" s="2942">
        <f t="shared" si="258"/>
        <v>0</v>
      </c>
      <c r="BL413" s="2942">
        <f t="shared" si="259"/>
        <v>0</v>
      </c>
      <c r="BM413" s="2942">
        <f t="shared" si="260"/>
        <v>0</v>
      </c>
      <c r="BN413" s="2942">
        <f t="shared" si="261"/>
        <v>0</v>
      </c>
      <c r="BO413" s="2942">
        <f t="shared" si="262"/>
        <v>0</v>
      </c>
      <c r="BP413" s="2942">
        <f t="shared" si="263"/>
        <v>0</v>
      </c>
      <c r="BQ413" s="2942">
        <f t="shared" si="264"/>
        <v>0</v>
      </c>
      <c r="BR413" s="2942">
        <f t="shared" si="265"/>
        <v>0</v>
      </c>
      <c r="BS413" s="2942">
        <f t="shared" si="266"/>
        <v>0</v>
      </c>
      <c r="BT413" s="2994">
        <f t="shared" si="267"/>
        <v>0</v>
      </c>
    </row>
    <row r="414" spans="1:72">
      <c r="A414" s="2939"/>
      <c r="B414" s="2940"/>
      <c r="C414" s="2940"/>
      <c r="D414" s="2941"/>
      <c r="E414" s="2942">
        <f t="shared" si="239"/>
        <v>0</v>
      </c>
      <c r="F414" s="2943"/>
      <c r="G414" s="2944">
        <f t="shared" si="240"/>
        <v>0</v>
      </c>
      <c r="H414" s="2945">
        <f t="shared" si="241"/>
        <v>0</v>
      </c>
      <c r="I414" s="2952"/>
      <c r="J414" s="2952"/>
      <c r="K414" s="2952"/>
      <c r="L414" s="2952"/>
      <c r="M414" s="2952"/>
      <c r="N414" s="2952"/>
      <c r="O414" s="2952"/>
      <c r="P414" s="2952"/>
      <c r="Q414" s="2952"/>
      <c r="R414" s="2952"/>
      <c r="S414" s="2952"/>
      <c r="T414" s="2952"/>
      <c r="U414" s="2952"/>
      <c r="V414" s="2952"/>
      <c r="W414" s="2952"/>
      <c r="X414" s="2952"/>
      <c r="Y414" s="2952"/>
      <c r="Z414" s="2952"/>
      <c r="AA414" s="2952"/>
      <c r="AB414" s="2952"/>
      <c r="AC414" s="2942">
        <f t="shared" si="242"/>
        <v>0</v>
      </c>
      <c r="AD414" s="2962"/>
      <c r="AE414" s="2962"/>
      <c r="AF414" s="2962"/>
      <c r="AG414" s="2962"/>
      <c r="AH414" s="2962"/>
      <c r="AI414" s="2962"/>
      <c r="AJ414" s="2962"/>
      <c r="AK414" s="2962"/>
      <c r="AL414" s="2962"/>
      <c r="AM414" s="2962"/>
      <c r="AN414" s="2962"/>
      <c r="AO414" s="2962"/>
      <c r="AP414" s="2962"/>
      <c r="AQ414" s="2962"/>
      <c r="AR414" s="2962"/>
      <c r="AS414" s="2962"/>
      <c r="AT414" s="2972"/>
      <c r="AU414" s="2973"/>
      <c r="AV414" s="1120">
        <f t="shared" si="243"/>
        <v>0</v>
      </c>
      <c r="AW414" s="1120">
        <f t="shared" si="244"/>
        <v>0</v>
      </c>
      <c r="AX414" s="1120">
        <f t="shared" si="245"/>
        <v>0</v>
      </c>
      <c r="AY414" s="2987">
        <f t="shared" si="246"/>
        <v>0</v>
      </c>
      <c r="AZ414" s="2942">
        <f t="shared" si="247"/>
        <v>0</v>
      </c>
      <c r="BA414" s="2942">
        <f t="shared" si="248"/>
        <v>0</v>
      </c>
      <c r="BB414" s="2942">
        <f t="shared" si="249"/>
        <v>0</v>
      </c>
      <c r="BC414" s="2942">
        <f t="shared" si="250"/>
        <v>0</v>
      </c>
      <c r="BD414" s="2942">
        <f t="shared" si="251"/>
        <v>0</v>
      </c>
      <c r="BE414" s="2942">
        <f t="shared" si="252"/>
        <v>0</v>
      </c>
      <c r="BF414" s="2942">
        <f t="shared" si="253"/>
        <v>0</v>
      </c>
      <c r="BG414" s="2942">
        <f t="shared" si="254"/>
        <v>0</v>
      </c>
      <c r="BH414" s="2942">
        <f t="shared" si="255"/>
        <v>0</v>
      </c>
      <c r="BI414" s="2942">
        <f t="shared" si="256"/>
        <v>0</v>
      </c>
      <c r="BJ414" s="2942">
        <f t="shared" si="257"/>
        <v>0</v>
      </c>
      <c r="BK414" s="2942">
        <f t="shared" si="258"/>
        <v>0</v>
      </c>
      <c r="BL414" s="2942">
        <f t="shared" si="259"/>
        <v>0</v>
      </c>
      <c r="BM414" s="2942">
        <f t="shared" si="260"/>
        <v>0</v>
      </c>
      <c r="BN414" s="2942">
        <f t="shared" si="261"/>
        <v>0</v>
      </c>
      <c r="BO414" s="2942">
        <f t="shared" si="262"/>
        <v>0</v>
      </c>
      <c r="BP414" s="2942">
        <f t="shared" si="263"/>
        <v>0</v>
      </c>
      <c r="BQ414" s="2942">
        <f t="shared" si="264"/>
        <v>0</v>
      </c>
      <c r="BR414" s="2942">
        <f t="shared" si="265"/>
        <v>0</v>
      </c>
      <c r="BS414" s="2942">
        <f t="shared" si="266"/>
        <v>0</v>
      </c>
      <c r="BT414" s="2994">
        <f t="shared" si="267"/>
        <v>0</v>
      </c>
    </row>
    <row r="415" spans="1:72">
      <c r="A415" s="2939"/>
      <c r="B415" s="2940"/>
      <c r="C415" s="2940"/>
      <c r="D415" s="2941"/>
      <c r="E415" s="2942">
        <f t="shared" si="239"/>
        <v>0</v>
      </c>
      <c r="F415" s="2943"/>
      <c r="G415" s="2944">
        <f t="shared" si="240"/>
        <v>0</v>
      </c>
      <c r="H415" s="2945">
        <f t="shared" si="241"/>
        <v>0</v>
      </c>
      <c r="I415" s="2952"/>
      <c r="J415" s="2952"/>
      <c r="K415" s="2952"/>
      <c r="L415" s="2952"/>
      <c r="M415" s="2952"/>
      <c r="N415" s="2952"/>
      <c r="O415" s="2952"/>
      <c r="P415" s="2952"/>
      <c r="Q415" s="2952"/>
      <c r="R415" s="2952"/>
      <c r="S415" s="2952"/>
      <c r="T415" s="2952"/>
      <c r="U415" s="2952"/>
      <c r="V415" s="2952"/>
      <c r="W415" s="2952"/>
      <c r="X415" s="2952"/>
      <c r="Y415" s="2952"/>
      <c r="Z415" s="2952"/>
      <c r="AA415" s="2952"/>
      <c r="AB415" s="2952"/>
      <c r="AC415" s="2942">
        <f t="shared" si="242"/>
        <v>0</v>
      </c>
      <c r="AD415" s="2962"/>
      <c r="AE415" s="2962"/>
      <c r="AF415" s="2962"/>
      <c r="AG415" s="2962"/>
      <c r="AH415" s="2962"/>
      <c r="AI415" s="2962"/>
      <c r="AJ415" s="2962"/>
      <c r="AK415" s="2962"/>
      <c r="AL415" s="2962"/>
      <c r="AM415" s="2962"/>
      <c r="AN415" s="2962"/>
      <c r="AO415" s="2962"/>
      <c r="AP415" s="2962"/>
      <c r="AQ415" s="2962"/>
      <c r="AR415" s="2962"/>
      <c r="AS415" s="2962"/>
      <c r="AT415" s="2972"/>
      <c r="AU415" s="2973"/>
      <c r="AV415" s="1120">
        <f t="shared" si="243"/>
        <v>0</v>
      </c>
      <c r="AW415" s="1120">
        <f t="shared" si="244"/>
        <v>0</v>
      </c>
      <c r="AX415" s="1120">
        <f t="shared" si="245"/>
        <v>0</v>
      </c>
      <c r="AY415" s="2987">
        <f t="shared" si="246"/>
        <v>0</v>
      </c>
      <c r="AZ415" s="2942">
        <f t="shared" si="247"/>
        <v>0</v>
      </c>
      <c r="BA415" s="2942">
        <f t="shared" si="248"/>
        <v>0</v>
      </c>
      <c r="BB415" s="2942">
        <f t="shared" si="249"/>
        <v>0</v>
      </c>
      <c r="BC415" s="2942">
        <f t="shared" si="250"/>
        <v>0</v>
      </c>
      <c r="BD415" s="2942">
        <f t="shared" si="251"/>
        <v>0</v>
      </c>
      <c r="BE415" s="2942">
        <f t="shared" si="252"/>
        <v>0</v>
      </c>
      <c r="BF415" s="2942">
        <f t="shared" si="253"/>
        <v>0</v>
      </c>
      <c r="BG415" s="2942">
        <f t="shared" si="254"/>
        <v>0</v>
      </c>
      <c r="BH415" s="2942">
        <f t="shared" si="255"/>
        <v>0</v>
      </c>
      <c r="BI415" s="2942">
        <f t="shared" si="256"/>
        <v>0</v>
      </c>
      <c r="BJ415" s="2942">
        <f t="shared" si="257"/>
        <v>0</v>
      </c>
      <c r="BK415" s="2942">
        <f t="shared" si="258"/>
        <v>0</v>
      </c>
      <c r="BL415" s="2942">
        <f t="shared" si="259"/>
        <v>0</v>
      </c>
      <c r="BM415" s="2942">
        <f t="shared" si="260"/>
        <v>0</v>
      </c>
      <c r="BN415" s="2942">
        <f t="shared" si="261"/>
        <v>0</v>
      </c>
      <c r="BO415" s="2942">
        <f t="shared" si="262"/>
        <v>0</v>
      </c>
      <c r="BP415" s="2942">
        <f t="shared" si="263"/>
        <v>0</v>
      </c>
      <c r="BQ415" s="2942">
        <f t="shared" si="264"/>
        <v>0</v>
      </c>
      <c r="BR415" s="2942">
        <f t="shared" si="265"/>
        <v>0</v>
      </c>
      <c r="BS415" s="2942">
        <f t="shared" si="266"/>
        <v>0</v>
      </c>
      <c r="BT415" s="2994">
        <f t="shared" si="267"/>
        <v>0</v>
      </c>
    </row>
    <row r="416" spans="1:72">
      <c r="A416" s="2939"/>
      <c r="B416" s="2940"/>
      <c r="C416" s="2940"/>
      <c r="D416" s="2941"/>
      <c r="E416" s="2942">
        <f t="shared" si="239"/>
        <v>0</v>
      </c>
      <c r="F416" s="2943"/>
      <c r="G416" s="2944">
        <f t="shared" si="240"/>
        <v>0</v>
      </c>
      <c r="H416" s="2945">
        <f t="shared" si="241"/>
        <v>0</v>
      </c>
      <c r="I416" s="2952"/>
      <c r="J416" s="2952"/>
      <c r="K416" s="2952"/>
      <c r="L416" s="2952"/>
      <c r="M416" s="2952"/>
      <c r="N416" s="2952"/>
      <c r="O416" s="2952"/>
      <c r="P416" s="2952"/>
      <c r="Q416" s="2952"/>
      <c r="R416" s="2952"/>
      <c r="S416" s="2952"/>
      <c r="T416" s="2952"/>
      <c r="U416" s="2952"/>
      <c r="V416" s="2952"/>
      <c r="W416" s="2952"/>
      <c r="X416" s="2952"/>
      <c r="Y416" s="2952"/>
      <c r="Z416" s="2952"/>
      <c r="AA416" s="2952"/>
      <c r="AB416" s="2952"/>
      <c r="AC416" s="2942">
        <f t="shared" si="242"/>
        <v>0</v>
      </c>
      <c r="AD416" s="2962"/>
      <c r="AE416" s="2962"/>
      <c r="AF416" s="2962"/>
      <c r="AG416" s="2962"/>
      <c r="AH416" s="2962"/>
      <c r="AI416" s="2962"/>
      <c r="AJ416" s="2962"/>
      <c r="AK416" s="2962"/>
      <c r="AL416" s="2962"/>
      <c r="AM416" s="2962"/>
      <c r="AN416" s="2962"/>
      <c r="AO416" s="2962"/>
      <c r="AP416" s="2962"/>
      <c r="AQ416" s="2962"/>
      <c r="AR416" s="2962"/>
      <c r="AS416" s="2962"/>
      <c r="AT416" s="2972"/>
      <c r="AU416" s="2973"/>
      <c r="AV416" s="1120">
        <f t="shared" si="243"/>
        <v>0</v>
      </c>
      <c r="AW416" s="1120">
        <f t="shared" si="244"/>
        <v>0</v>
      </c>
      <c r="AX416" s="1120">
        <f t="shared" si="245"/>
        <v>0</v>
      </c>
      <c r="AY416" s="2987">
        <f t="shared" si="246"/>
        <v>0</v>
      </c>
      <c r="AZ416" s="2942">
        <f t="shared" si="247"/>
        <v>0</v>
      </c>
      <c r="BA416" s="2942">
        <f t="shared" si="248"/>
        <v>0</v>
      </c>
      <c r="BB416" s="2942">
        <f t="shared" si="249"/>
        <v>0</v>
      </c>
      <c r="BC416" s="2942">
        <f t="shared" si="250"/>
        <v>0</v>
      </c>
      <c r="BD416" s="2942">
        <f t="shared" si="251"/>
        <v>0</v>
      </c>
      <c r="BE416" s="2942">
        <f t="shared" si="252"/>
        <v>0</v>
      </c>
      <c r="BF416" s="2942">
        <f t="shared" si="253"/>
        <v>0</v>
      </c>
      <c r="BG416" s="2942">
        <f t="shared" si="254"/>
        <v>0</v>
      </c>
      <c r="BH416" s="2942">
        <f t="shared" si="255"/>
        <v>0</v>
      </c>
      <c r="BI416" s="2942">
        <f t="shared" si="256"/>
        <v>0</v>
      </c>
      <c r="BJ416" s="2942">
        <f t="shared" si="257"/>
        <v>0</v>
      </c>
      <c r="BK416" s="2942">
        <f t="shared" si="258"/>
        <v>0</v>
      </c>
      <c r="BL416" s="2942">
        <f t="shared" si="259"/>
        <v>0</v>
      </c>
      <c r="BM416" s="2942">
        <f t="shared" si="260"/>
        <v>0</v>
      </c>
      <c r="BN416" s="2942">
        <f t="shared" si="261"/>
        <v>0</v>
      </c>
      <c r="BO416" s="2942">
        <f t="shared" si="262"/>
        <v>0</v>
      </c>
      <c r="BP416" s="2942">
        <f t="shared" si="263"/>
        <v>0</v>
      </c>
      <c r="BQ416" s="2942">
        <f t="shared" si="264"/>
        <v>0</v>
      </c>
      <c r="BR416" s="2942">
        <f t="shared" si="265"/>
        <v>0</v>
      </c>
      <c r="BS416" s="2942">
        <f t="shared" si="266"/>
        <v>0</v>
      </c>
      <c r="BT416" s="2994">
        <f t="shared" si="267"/>
        <v>0</v>
      </c>
    </row>
    <row r="417" spans="1:72">
      <c r="A417" s="2939"/>
      <c r="B417" s="2940"/>
      <c r="C417" s="2940"/>
      <c r="D417" s="2941"/>
      <c r="E417" s="2942">
        <f t="shared" si="239"/>
        <v>0</v>
      </c>
      <c r="F417" s="2943"/>
      <c r="G417" s="2944">
        <f t="shared" si="240"/>
        <v>0</v>
      </c>
      <c r="H417" s="2945">
        <f t="shared" si="241"/>
        <v>0</v>
      </c>
      <c r="I417" s="2952"/>
      <c r="J417" s="2952"/>
      <c r="K417" s="2952"/>
      <c r="L417" s="2952"/>
      <c r="M417" s="2952"/>
      <c r="N417" s="2952"/>
      <c r="O417" s="2952"/>
      <c r="P417" s="2952"/>
      <c r="Q417" s="2952"/>
      <c r="R417" s="2952"/>
      <c r="S417" s="2952"/>
      <c r="T417" s="2952"/>
      <c r="U417" s="2952"/>
      <c r="V417" s="2952"/>
      <c r="W417" s="2952"/>
      <c r="X417" s="2952"/>
      <c r="Y417" s="2952"/>
      <c r="Z417" s="2952"/>
      <c r="AA417" s="2952"/>
      <c r="AB417" s="2952"/>
      <c r="AC417" s="2942">
        <f t="shared" si="242"/>
        <v>0</v>
      </c>
      <c r="AD417" s="2962"/>
      <c r="AE417" s="2962"/>
      <c r="AF417" s="2962"/>
      <c r="AG417" s="2962"/>
      <c r="AH417" s="2962"/>
      <c r="AI417" s="2962"/>
      <c r="AJ417" s="2962"/>
      <c r="AK417" s="2962"/>
      <c r="AL417" s="2962"/>
      <c r="AM417" s="2962"/>
      <c r="AN417" s="2962"/>
      <c r="AO417" s="2962"/>
      <c r="AP417" s="2962"/>
      <c r="AQ417" s="2962"/>
      <c r="AR417" s="2962"/>
      <c r="AS417" s="2962"/>
      <c r="AT417" s="2972"/>
      <c r="AU417" s="2973"/>
      <c r="AV417" s="1120">
        <f t="shared" si="243"/>
        <v>0</v>
      </c>
      <c r="AW417" s="1120">
        <f t="shared" si="244"/>
        <v>0</v>
      </c>
      <c r="AX417" s="1120">
        <f t="shared" si="245"/>
        <v>0</v>
      </c>
      <c r="AY417" s="2987">
        <f t="shared" si="246"/>
        <v>0</v>
      </c>
      <c r="AZ417" s="2942">
        <f t="shared" si="247"/>
        <v>0</v>
      </c>
      <c r="BA417" s="2942">
        <f t="shared" si="248"/>
        <v>0</v>
      </c>
      <c r="BB417" s="2942">
        <f t="shared" si="249"/>
        <v>0</v>
      </c>
      <c r="BC417" s="2942">
        <f t="shared" si="250"/>
        <v>0</v>
      </c>
      <c r="BD417" s="2942">
        <f t="shared" si="251"/>
        <v>0</v>
      </c>
      <c r="BE417" s="2942">
        <f t="shared" si="252"/>
        <v>0</v>
      </c>
      <c r="BF417" s="2942">
        <f t="shared" si="253"/>
        <v>0</v>
      </c>
      <c r="BG417" s="2942">
        <f t="shared" si="254"/>
        <v>0</v>
      </c>
      <c r="BH417" s="2942">
        <f t="shared" si="255"/>
        <v>0</v>
      </c>
      <c r="BI417" s="2942">
        <f t="shared" si="256"/>
        <v>0</v>
      </c>
      <c r="BJ417" s="2942">
        <f t="shared" si="257"/>
        <v>0</v>
      </c>
      <c r="BK417" s="2942">
        <f t="shared" si="258"/>
        <v>0</v>
      </c>
      <c r="BL417" s="2942">
        <f t="shared" si="259"/>
        <v>0</v>
      </c>
      <c r="BM417" s="2942">
        <f t="shared" si="260"/>
        <v>0</v>
      </c>
      <c r="BN417" s="2942">
        <f t="shared" si="261"/>
        <v>0</v>
      </c>
      <c r="BO417" s="2942">
        <f t="shared" si="262"/>
        <v>0</v>
      </c>
      <c r="BP417" s="2942">
        <f t="shared" si="263"/>
        <v>0</v>
      </c>
      <c r="BQ417" s="2942">
        <f t="shared" si="264"/>
        <v>0</v>
      </c>
      <c r="BR417" s="2942">
        <f t="shared" si="265"/>
        <v>0</v>
      </c>
      <c r="BS417" s="2942">
        <f t="shared" si="266"/>
        <v>0</v>
      </c>
      <c r="BT417" s="2994">
        <f t="shared" si="267"/>
        <v>0</v>
      </c>
    </row>
    <row r="418" spans="1:72">
      <c r="A418" s="2939"/>
      <c r="B418" s="2940"/>
      <c r="C418" s="2940"/>
      <c r="D418" s="2941"/>
      <c r="E418" s="2942">
        <f t="shared" si="239"/>
        <v>0</v>
      </c>
      <c r="F418" s="2943"/>
      <c r="G418" s="2944">
        <f t="shared" si="240"/>
        <v>0</v>
      </c>
      <c r="H418" s="2945">
        <f t="shared" si="241"/>
        <v>0</v>
      </c>
      <c r="I418" s="2952"/>
      <c r="J418" s="2952"/>
      <c r="K418" s="2952"/>
      <c r="L418" s="2952"/>
      <c r="M418" s="2952"/>
      <c r="N418" s="2952"/>
      <c r="O418" s="2952"/>
      <c r="P418" s="2952"/>
      <c r="Q418" s="2952"/>
      <c r="R418" s="2952"/>
      <c r="S418" s="2952"/>
      <c r="T418" s="2952"/>
      <c r="U418" s="2952"/>
      <c r="V418" s="2952"/>
      <c r="W418" s="2952"/>
      <c r="X418" s="2952"/>
      <c r="Y418" s="2952"/>
      <c r="Z418" s="2952"/>
      <c r="AA418" s="2952"/>
      <c r="AB418" s="2952"/>
      <c r="AC418" s="2942">
        <f t="shared" si="242"/>
        <v>0</v>
      </c>
      <c r="AD418" s="2962"/>
      <c r="AE418" s="2962"/>
      <c r="AF418" s="2962"/>
      <c r="AG418" s="2962"/>
      <c r="AH418" s="2962"/>
      <c r="AI418" s="2962"/>
      <c r="AJ418" s="2962"/>
      <c r="AK418" s="2962"/>
      <c r="AL418" s="2962"/>
      <c r="AM418" s="2962"/>
      <c r="AN418" s="2962"/>
      <c r="AO418" s="2962"/>
      <c r="AP418" s="2962"/>
      <c r="AQ418" s="2962"/>
      <c r="AR418" s="2962"/>
      <c r="AS418" s="2962"/>
      <c r="AT418" s="2972"/>
      <c r="AU418" s="2973"/>
      <c r="AV418" s="1120">
        <f t="shared" si="243"/>
        <v>0</v>
      </c>
      <c r="AW418" s="1120">
        <f t="shared" si="244"/>
        <v>0</v>
      </c>
      <c r="AX418" s="1120">
        <f t="shared" si="245"/>
        <v>0</v>
      </c>
      <c r="AY418" s="2987">
        <f t="shared" si="246"/>
        <v>0</v>
      </c>
      <c r="AZ418" s="2942">
        <f t="shared" si="247"/>
        <v>0</v>
      </c>
      <c r="BA418" s="2942">
        <f t="shared" si="248"/>
        <v>0</v>
      </c>
      <c r="BB418" s="2942">
        <f t="shared" si="249"/>
        <v>0</v>
      </c>
      <c r="BC418" s="2942">
        <f t="shared" si="250"/>
        <v>0</v>
      </c>
      <c r="BD418" s="2942">
        <f t="shared" si="251"/>
        <v>0</v>
      </c>
      <c r="BE418" s="2942">
        <f t="shared" si="252"/>
        <v>0</v>
      </c>
      <c r="BF418" s="2942">
        <f t="shared" si="253"/>
        <v>0</v>
      </c>
      <c r="BG418" s="2942">
        <f t="shared" si="254"/>
        <v>0</v>
      </c>
      <c r="BH418" s="2942">
        <f t="shared" si="255"/>
        <v>0</v>
      </c>
      <c r="BI418" s="2942">
        <f t="shared" si="256"/>
        <v>0</v>
      </c>
      <c r="BJ418" s="2942">
        <f t="shared" si="257"/>
        <v>0</v>
      </c>
      <c r="BK418" s="2942">
        <f t="shared" si="258"/>
        <v>0</v>
      </c>
      <c r="BL418" s="2942">
        <f t="shared" si="259"/>
        <v>0</v>
      </c>
      <c r="BM418" s="2942">
        <f t="shared" si="260"/>
        <v>0</v>
      </c>
      <c r="BN418" s="2942">
        <f t="shared" si="261"/>
        <v>0</v>
      </c>
      <c r="BO418" s="2942">
        <f t="shared" si="262"/>
        <v>0</v>
      </c>
      <c r="BP418" s="2942">
        <f t="shared" si="263"/>
        <v>0</v>
      </c>
      <c r="BQ418" s="2942">
        <f t="shared" si="264"/>
        <v>0</v>
      </c>
      <c r="BR418" s="2942">
        <f t="shared" si="265"/>
        <v>0</v>
      </c>
      <c r="BS418" s="2942">
        <f t="shared" si="266"/>
        <v>0</v>
      </c>
      <c r="BT418" s="2994">
        <f t="shared" si="267"/>
        <v>0</v>
      </c>
    </row>
    <row r="419" spans="1:72">
      <c r="A419" s="2939"/>
      <c r="B419" s="2940"/>
      <c r="C419" s="2940"/>
      <c r="D419" s="2941"/>
      <c r="E419" s="2942">
        <f t="shared" si="239"/>
        <v>0</v>
      </c>
      <c r="F419" s="2943"/>
      <c r="G419" s="2944">
        <f t="shared" si="240"/>
        <v>0</v>
      </c>
      <c r="H419" s="2945">
        <f t="shared" si="241"/>
        <v>0</v>
      </c>
      <c r="I419" s="2952"/>
      <c r="J419" s="2952"/>
      <c r="K419" s="2952"/>
      <c r="L419" s="2952"/>
      <c r="M419" s="2952"/>
      <c r="N419" s="2952"/>
      <c r="O419" s="2952"/>
      <c r="P419" s="2952"/>
      <c r="Q419" s="2952"/>
      <c r="R419" s="2952"/>
      <c r="S419" s="2952"/>
      <c r="T419" s="2952"/>
      <c r="U419" s="2952"/>
      <c r="V419" s="2952"/>
      <c r="W419" s="2952"/>
      <c r="X419" s="2952"/>
      <c r="Y419" s="2952"/>
      <c r="Z419" s="2952"/>
      <c r="AA419" s="2952"/>
      <c r="AB419" s="2952"/>
      <c r="AC419" s="2942">
        <f t="shared" si="242"/>
        <v>0</v>
      </c>
      <c r="AD419" s="2962"/>
      <c r="AE419" s="2962"/>
      <c r="AF419" s="2962"/>
      <c r="AG419" s="2962"/>
      <c r="AH419" s="2962"/>
      <c r="AI419" s="2962"/>
      <c r="AJ419" s="2962"/>
      <c r="AK419" s="2962"/>
      <c r="AL419" s="2962"/>
      <c r="AM419" s="2962"/>
      <c r="AN419" s="2962"/>
      <c r="AO419" s="2962"/>
      <c r="AP419" s="2962"/>
      <c r="AQ419" s="2962"/>
      <c r="AR419" s="2962"/>
      <c r="AS419" s="2962"/>
      <c r="AT419" s="2972"/>
      <c r="AU419" s="2973"/>
      <c r="AV419" s="1120">
        <f t="shared" si="243"/>
        <v>0</v>
      </c>
      <c r="AW419" s="1120">
        <f t="shared" si="244"/>
        <v>0</v>
      </c>
      <c r="AX419" s="1120">
        <f t="shared" si="245"/>
        <v>0</v>
      </c>
      <c r="AY419" s="2987">
        <f t="shared" si="246"/>
        <v>0</v>
      </c>
      <c r="AZ419" s="2942">
        <f t="shared" si="247"/>
        <v>0</v>
      </c>
      <c r="BA419" s="2942">
        <f t="shared" si="248"/>
        <v>0</v>
      </c>
      <c r="BB419" s="2942">
        <f t="shared" si="249"/>
        <v>0</v>
      </c>
      <c r="BC419" s="2942">
        <f t="shared" si="250"/>
        <v>0</v>
      </c>
      <c r="BD419" s="2942">
        <f t="shared" si="251"/>
        <v>0</v>
      </c>
      <c r="BE419" s="2942">
        <f t="shared" si="252"/>
        <v>0</v>
      </c>
      <c r="BF419" s="2942">
        <f t="shared" si="253"/>
        <v>0</v>
      </c>
      <c r="BG419" s="2942">
        <f t="shared" si="254"/>
        <v>0</v>
      </c>
      <c r="BH419" s="2942">
        <f t="shared" si="255"/>
        <v>0</v>
      </c>
      <c r="BI419" s="2942">
        <f t="shared" si="256"/>
        <v>0</v>
      </c>
      <c r="BJ419" s="2942">
        <f t="shared" si="257"/>
        <v>0</v>
      </c>
      <c r="BK419" s="2942">
        <f t="shared" si="258"/>
        <v>0</v>
      </c>
      <c r="BL419" s="2942">
        <f t="shared" si="259"/>
        <v>0</v>
      </c>
      <c r="BM419" s="2942">
        <f t="shared" si="260"/>
        <v>0</v>
      </c>
      <c r="BN419" s="2942">
        <f t="shared" si="261"/>
        <v>0</v>
      </c>
      <c r="BO419" s="2942">
        <f t="shared" si="262"/>
        <v>0</v>
      </c>
      <c r="BP419" s="2942">
        <f t="shared" si="263"/>
        <v>0</v>
      </c>
      <c r="BQ419" s="2942">
        <f t="shared" si="264"/>
        <v>0</v>
      </c>
      <c r="BR419" s="2942">
        <f t="shared" si="265"/>
        <v>0</v>
      </c>
      <c r="BS419" s="2942">
        <f t="shared" si="266"/>
        <v>0</v>
      </c>
      <c r="BT419" s="2994">
        <f t="shared" si="267"/>
        <v>0</v>
      </c>
    </row>
    <row r="420" spans="1:72">
      <c r="A420" s="2939"/>
      <c r="B420" s="2940"/>
      <c r="C420" s="2940"/>
      <c r="D420" s="2941"/>
      <c r="E420" s="2942">
        <f t="shared" si="239"/>
        <v>0</v>
      </c>
      <c r="F420" s="2943"/>
      <c r="G420" s="2944">
        <f t="shared" si="240"/>
        <v>0</v>
      </c>
      <c r="H420" s="2945">
        <f t="shared" si="241"/>
        <v>0</v>
      </c>
      <c r="I420" s="2952"/>
      <c r="J420" s="2952"/>
      <c r="K420" s="2952"/>
      <c r="L420" s="2952"/>
      <c r="M420" s="2952"/>
      <c r="N420" s="2952"/>
      <c r="O420" s="2952"/>
      <c r="P420" s="2952"/>
      <c r="Q420" s="2952"/>
      <c r="R420" s="2952"/>
      <c r="S420" s="2952"/>
      <c r="T420" s="2952"/>
      <c r="U420" s="2952"/>
      <c r="V420" s="2952"/>
      <c r="W420" s="2952"/>
      <c r="X420" s="2952"/>
      <c r="Y420" s="2952"/>
      <c r="Z420" s="2952"/>
      <c r="AA420" s="2952"/>
      <c r="AB420" s="2952"/>
      <c r="AC420" s="2942">
        <f t="shared" si="242"/>
        <v>0</v>
      </c>
      <c r="AD420" s="2962"/>
      <c r="AE420" s="2962"/>
      <c r="AF420" s="2962"/>
      <c r="AG420" s="2962"/>
      <c r="AH420" s="2962"/>
      <c r="AI420" s="2962"/>
      <c r="AJ420" s="2962"/>
      <c r="AK420" s="2962"/>
      <c r="AL420" s="2962"/>
      <c r="AM420" s="2962"/>
      <c r="AN420" s="2962"/>
      <c r="AO420" s="2962"/>
      <c r="AP420" s="2962"/>
      <c r="AQ420" s="2962"/>
      <c r="AR420" s="2962"/>
      <c r="AS420" s="2962"/>
      <c r="AT420" s="2972"/>
      <c r="AU420" s="2973"/>
      <c r="AV420" s="1120">
        <f t="shared" si="243"/>
        <v>0</v>
      </c>
      <c r="AW420" s="1120">
        <f t="shared" si="244"/>
        <v>0</v>
      </c>
      <c r="AX420" s="1120">
        <f t="shared" si="245"/>
        <v>0</v>
      </c>
      <c r="AY420" s="2987">
        <f t="shared" si="246"/>
        <v>0</v>
      </c>
      <c r="AZ420" s="2942">
        <f t="shared" si="247"/>
        <v>0</v>
      </c>
      <c r="BA420" s="2942">
        <f t="shared" si="248"/>
        <v>0</v>
      </c>
      <c r="BB420" s="2942">
        <f t="shared" si="249"/>
        <v>0</v>
      </c>
      <c r="BC420" s="2942">
        <f t="shared" si="250"/>
        <v>0</v>
      </c>
      <c r="BD420" s="2942">
        <f t="shared" si="251"/>
        <v>0</v>
      </c>
      <c r="BE420" s="2942">
        <f t="shared" si="252"/>
        <v>0</v>
      </c>
      <c r="BF420" s="2942">
        <f t="shared" si="253"/>
        <v>0</v>
      </c>
      <c r="BG420" s="2942">
        <f t="shared" si="254"/>
        <v>0</v>
      </c>
      <c r="BH420" s="2942">
        <f t="shared" si="255"/>
        <v>0</v>
      </c>
      <c r="BI420" s="2942">
        <f t="shared" si="256"/>
        <v>0</v>
      </c>
      <c r="BJ420" s="2942">
        <f t="shared" si="257"/>
        <v>0</v>
      </c>
      <c r="BK420" s="2942">
        <f t="shared" si="258"/>
        <v>0</v>
      </c>
      <c r="BL420" s="2942">
        <f t="shared" si="259"/>
        <v>0</v>
      </c>
      <c r="BM420" s="2942">
        <f t="shared" si="260"/>
        <v>0</v>
      </c>
      <c r="BN420" s="2942">
        <f t="shared" si="261"/>
        <v>0</v>
      </c>
      <c r="BO420" s="2942">
        <f t="shared" si="262"/>
        <v>0</v>
      </c>
      <c r="BP420" s="2942">
        <f t="shared" si="263"/>
        <v>0</v>
      </c>
      <c r="BQ420" s="2942">
        <f t="shared" si="264"/>
        <v>0</v>
      </c>
      <c r="BR420" s="2942">
        <f t="shared" si="265"/>
        <v>0</v>
      </c>
      <c r="BS420" s="2942">
        <f t="shared" si="266"/>
        <v>0</v>
      </c>
      <c r="BT420" s="2994">
        <f t="shared" si="267"/>
        <v>0</v>
      </c>
    </row>
    <row r="421" spans="1:72">
      <c r="A421" s="2939"/>
      <c r="B421" s="2940"/>
      <c r="C421" s="2940"/>
      <c r="D421" s="2941"/>
      <c r="E421" s="2942">
        <f t="shared" si="239"/>
        <v>0</v>
      </c>
      <c r="F421" s="2943"/>
      <c r="G421" s="2944">
        <f t="shared" si="240"/>
        <v>0</v>
      </c>
      <c r="H421" s="2945">
        <f t="shared" si="241"/>
        <v>0</v>
      </c>
      <c r="I421" s="2952"/>
      <c r="J421" s="2952"/>
      <c r="K421" s="2952"/>
      <c r="L421" s="2952"/>
      <c r="M421" s="2952"/>
      <c r="N421" s="2952"/>
      <c r="O421" s="2952"/>
      <c r="P421" s="2952"/>
      <c r="Q421" s="2952"/>
      <c r="R421" s="2952"/>
      <c r="S421" s="2952"/>
      <c r="T421" s="2952"/>
      <c r="U421" s="2952"/>
      <c r="V421" s="2952"/>
      <c r="W421" s="2952"/>
      <c r="X421" s="2952"/>
      <c r="Y421" s="2952"/>
      <c r="Z421" s="2952"/>
      <c r="AA421" s="2952"/>
      <c r="AB421" s="2952"/>
      <c r="AC421" s="2942">
        <f t="shared" si="242"/>
        <v>0</v>
      </c>
      <c r="AD421" s="2962"/>
      <c r="AE421" s="2962"/>
      <c r="AF421" s="2962"/>
      <c r="AG421" s="2962"/>
      <c r="AH421" s="2962"/>
      <c r="AI421" s="2962"/>
      <c r="AJ421" s="2962"/>
      <c r="AK421" s="2962"/>
      <c r="AL421" s="2962"/>
      <c r="AM421" s="2962"/>
      <c r="AN421" s="2962"/>
      <c r="AO421" s="2962"/>
      <c r="AP421" s="2962"/>
      <c r="AQ421" s="2962"/>
      <c r="AR421" s="2962"/>
      <c r="AS421" s="2962"/>
      <c r="AT421" s="2972"/>
      <c r="AU421" s="2973"/>
      <c r="AV421" s="1120">
        <f t="shared" si="243"/>
        <v>0</v>
      </c>
      <c r="AW421" s="1120">
        <f t="shared" si="244"/>
        <v>0</v>
      </c>
      <c r="AX421" s="1120">
        <f t="shared" si="245"/>
        <v>0</v>
      </c>
      <c r="AY421" s="2987">
        <f t="shared" si="246"/>
        <v>0</v>
      </c>
      <c r="AZ421" s="2942">
        <f t="shared" si="247"/>
        <v>0</v>
      </c>
      <c r="BA421" s="2942">
        <f t="shared" si="248"/>
        <v>0</v>
      </c>
      <c r="BB421" s="2942">
        <f t="shared" si="249"/>
        <v>0</v>
      </c>
      <c r="BC421" s="2942">
        <f t="shared" si="250"/>
        <v>0</v>
      </c>
      <c r="BD421" s="2942">
        <f t="shared" si="251"/>
        <v>0</v>
      </c>
      <c r="BE421" s="2942">
        <f t="shared" si="252"/>
        <v>0</v>
      </c>
      <c r="BF421" s="2942">
        <f t="shared" si="253"/>
        <v>0</v>
      </c>
      <c r="BG421" s="2942">
        <f t="shared" si="254"/>
        <v>0</v>
      </c>
      <c r="BH421" s="2942">
        <f t="shared" si="255"/>
        <v>0</v>
      </c>
      <c r="BI421" s="2942">
        <f t="shared" si="256"/>
        <v>0</v>
      </c>
      <c r="BJ421" s="2942">
        <f t="shared" si="257"/>
        <v>0</v>
      </c>
      <c r="BK421" s="2942">
        <f t="shared" si="258"/>
        <v>0</v>
      </c>
      <c r="BL421" s="2942">
        <f t="shared" si="259"/>
        <v>0</v>
      </c>
      <c r="BM421" s="2942">
        <f t="shared" si="260"/>
        <v>0</v>
      </c>
      <c r="BN421" s="2942">
        <f t="shared" si="261"/>
        <v>0</v>
      </c>
      <c r="BO421" s="2942">
        <f t="shared" si="262"/>
        <v>0</v>
      </c>
      <c r="BP421" s="2942">
        <f t="shared" si="263"/>
        <v>0</v>
      </c>
      <c r="BQ421" s="2942">
        <f t="shared" si="264"/>
        <v>0</v>
      </c>
      <c r="BR421" s="2942">
        <f t="shared" si="265"/>
        <v>0</v>
      </c>
      <c r="BS421" s="2942">
        <f t="shared" si="266"/>
        <v>0</v>
      </c>
      <c r="BT421" s="2994">
        <f t="shared" si="267"/>
        <v>0</v>
      </c>
    </row>
    <row r="422" spans="1:72">
      <c r="A422" s="2939"/>
      <c r="B422" s="2940"/>
      <c r="C422" s="2940"/>
      <c r="D422" s="2941"/>
      <c r="E422" s="2942">
        <f t="shared" si="239"/>
        <v>0</v>
      </c>
      <c r="F422" s="2943"/>
      <c r="G422" s="2944">
        <f t="shared" si="240"/>
        <v>0</v>
      </c>
      <c r="H422" s="2945">
        <f t="shared" si="241"/>
        <v>0</v>
      </c>
      <c r="I422" s="2952"/>
      <c r="J422" s="2952"/>
      <c r="K422" s="2952"/>
      <c r="L422" s="2952"/>
      <c r="M422" s="2952"/>
      <c r="N422" s="2952"/>
      <c r="O422" s="2952"/>
      <c r="P422" s="2952"/>
      <c r="Q422" s="2952"/>
      <c r="R422" s="2952"/>
      <c r="S422" s="2952"/>
      <c r="T422" s="2952"/>
      <c r="U422" s="2952"/>
      <c r="V422" s="2952"/>
      <c r="W422" s="2952"/>
      <c r="X422" s="2952"/>
      <c r="Y422" s="2952"/>
      <c r="Z422" s="2952"/>
      <c r="AA422" s="2952"/>
      <c r="AB422" s="2952"/>
      <c r="AC422" s="2942">
        <f t="shared" si="242"/>
        <v>0</v>
      </c>
      <c r="AD422" s="2962"/>
      <c r="AE422" s="2962"/>
      <c r="AF422" s="2962"/>
      <c r="AG422" s="2962"/>
      <c r="AH422" s="2962"/>
      <c r="AI422" s="2962"/>
      <c r="AJ422" s="2962"/>
      <c r="AK422" s="2962"/>
      <c r="AL422" s="2962"/>
      <c r="AM422" s="2962"/>
      <c r="AN422" s="2962"/>
      <c r="AO422" s="2962"/>
      <c r="AP422" s="2962"/>
      <c r="AQ422" s="2962"/>
      <c r="AR422" s="2962"/>
      <c r="AS422" s="2962"/>
      <c r="AT422" s="2972"/>
      <c r="AU422" s="2973"/>
      <c r="AV422" s="1120">
        <f t="shared" si="243"/>
        <v>0</v>
      </c>
      <c r="AW422" s="1120">
        <f t="shared" si="244"/>
        <v>0</v>
      </c>
      <c r="AX422" s="1120">
        <f t="shared" si="245"/>
        <v>0</v>
      </c>
      <c r="AY422" s="2987">
        <f t="shared" si="246"/>
        <v>0</v>
      </c>
      <c r="AZ422" s="2942">
        <f t="shared" si="247"/>
        <v>0</v>
      </c>
      <c r="BA422" s="2942">
        <f t="shared" si="248"/>
        <v>0</v>
      </c>
      <c r="BB422" s="2942">
        <f t="shared" si="249"/>
        <v>0</v>
      </c>
      <c r="BC422" s="2942">
        <f t="shared" si="250"/>
        <v>0</v>
      </c>
      <c r="BD422" s="2942">
        <f t="shared" si="251"/>
        <v>0</v>
      </c>
      <c r="BE422" s="2942">
        <f t="shared" si="252"/>
        <v>0</v>
      </c>
      <c r="BF422" s="2942">
        <f t="shared" si="253"/>
        <v>0</v>
      </c>
      <c r="BG422" s="2942">
        <f t="shared" si="254"/>
        <v>0</v>
      </c>
      <c r="BH422" s="2942">
        <f t="shared" si="255"/>
        <v>0</v>
      </c>
      <c r="BI422" s="2942">
        <f t="shared" si="256"/>
        <v>0</v>
      </c>
      <c r="BJ422" s="2942">
        <f t="shared" si="257"/>
        <v>0</v>
      </c>
      <c r="BK422" s="2942">
        <f t="shared" si="258"/>
        <v>0</v>
      </c>
      <c r="BL422" s="2942">
        <f t="shared" si="259"/>
        <v>0</v>
      </c>
      <c r="BM422" s="2942">
        <f t="shared" si="260"/>
        <v>0</v>
      </c>
      <c r="BN422" s="2942">
        <f t="shared" si="261"/>
        <v>0</v>
      </c>
      <c r="BO422" s="2942">
        <f t="shared" si="262"/>
        <v>0</v>
      </c>
      <c r="BP422" s="2942">
        <f t="shared" si="263"/>
        <v>0</v>
      </c>
      <c r="BQ422" s="2942">
        <f t="shared" si="264"/>
        <v>0</v>
      </c>
      <c r="BR422" s="2942">
        <f t="shared" si="265"/>
        <v>0</v>
      </c>
      <c r="BS422" s="2942">
        <f t="shared" si="266"/>
        <v>0</v>
      </c>
      <c r="BT422" s="2994">
        <f t="shared" si="267"/>
        <v>0</v>
      </c>
    </row>
    <row r="423" spans="1:72">
      <c r="A423" s="2939"/>
      <c r="B423" s="2940"/>
      <c r="C423" s="2940"/>
      <c r="D423" s="2941"/>
      <c r="E423" s="2942">
        <f t="shared" si="239"/>
        <v>0</v>
      </c>
      <c r="F423" s="2943"/>
      <c r="G423" s="2944">
        <f t="shared" si="240"/>
        <v>0</v>
      </c>
      <c r="H423" s="2945">
        <f t="shared" si="241"/>
        <v>0</v>
      </c>
      <c r="I423" s="2952"/>
      <c r="J423" s="2952"/>
      <c r="K423" s="2952"/>
      <c r="L423" s="2952"/>
      <c r="M423" s="2952"/>
      <c r="N423" s="2952"/>
      <c r="O423" s="2952"/>
      <c r="P423" s="2952"/>
      <c r="Q423" s="2952"/>
      <c r="R423" s="2952"/>
      <c r="S423" s="2952"/>
      <c r="T423" s="2952"/>
      <c r="U423" s="2952"/>
      <c r="V423" s="2952"/>
      <c r="W423" s="2952"/>
      <c r="X423" s="2952"/>
      <c r="Y423" s="2952"/>
      <c r="Z423" s="2952"/>
      <c r="AA423" s="2952"/>
      <c r="AB423" s="2952"/>
      <c r="AC423" s="2942">
        <f t="shared" si="242"/>
        <v>0</v>
      </c>
      <c r="AD423" s="2962"/>
      <c r="AE423" s="2962"/>
      <c r="AF423" s="2962"/>
      <c r="AG423" s="2962"/>
      <c r="AH423" s="2962"/>
      <c r="AI423" s="2962"/>
      <c r="AJ423" s="2962"/>
      <c r="AK423" s="2962"/>
      <c r="AL423" s="2962"/>
      <c r="AM423" s="2962"/>
      <c r="AN423" s="2962"/>
      <c r="AO423" s="2962"/>
      <c r="AP423" s="2962"/>
      <c r="AQ423" s="2962"/>
      <c r="AR423" s="2962"/>
      <c r="AS423" s="2962"/>
      <c r="AT423" s="2972"/>
      <c r="AU423" s="2973"/>
      <c r="AV423" s="1120">
        <f t="shared" si="243"/>
        <v>0</v>
      </c>
      <c r="AW423" s="1120">
        <f t="shared" si="244"/>
        <v>0</v>
      </c>
      <c r="AX423" s="1120">
        <f t="shared" si="245"/>
        <v>0</v>
      </c>
      <c r="AY423" s="2987">
        <f t="shared" si="246"/>
        <v>0</v>
      </c>
      <c r="AZ423" s="2942">
        <f t="shared" si="247"/>
        <v>0</v>
      </c>
      <c r="BA423" s="2942">
        <f t="shared" si="248"/>
        <v>0</v>
      </c>
      <c r="BB423" s="2942">
        <f t="shared" si="249"/>
        <v>0</v>
      </c>
      <c r="BC423" s="2942">
        <f t="shared" si="250"/>
        <v>0</v>
      </c>
      <c r="BD423" s="2942">
        <f t="shared" si="251"/>
        <v>0</v>
      </c>
      <c r="BE423" s="2942">
        <f t="shared" si="252"/>
        <v>0</v>
      </c>
      <c r="BF423" s="2942">
        <f t="shared" si="253"/>
        <v>0</v>
      </c>
      <c r="BG423" s="2942">
        <f t="shared" si="254"/>
        <v>0</v>
      </c>
      <c r="BH423" s="2942">
        <f t="shared" si="255"/>
        <v>0</v>
      </c>
      <c r="BI423" s="2942">
        <f t="shared" si="256"/>
        <v>0</v>
      </c>
      <c r="BJ423" s="2942">
        <f t="shared" si="257"/>
        <v>0</v>
      </c>
      <c r="BK423" s="2942">
        <f t="shared" si="258"/>
        <v>0</v>
      </c>
      <c r="BL423" s="2942">
        <f t="shared" si="259"/>
        <v>0</v>
      </c>
      <c r="BM423" s="2942">
        <f t="shared" si="260"/>
        <v>0</v>
      </c>
      <c r="BN423" s="2942">
        <f t="shared" si="261"/>
        <v>0</v>
      </c>
      <c r="BO423" s="2942">
        <f t="shared" si="262"/>
        <v>0</v>
      </c>
      <c r="BP423" s="2942">
        <f t="shared" si="263"/>
        <v>0</v>
      </c>
      <c r="BQ423" s="2942">
        <f t="shared" si="264"/>
        <v>0</v>
      </c>
      <c r="BR423" s="2942">
        <f t="shared" si="265"/>
        <v>0</v>
      </c>
      <c r="BS423" s="2942">
        <f t="shared" si="266"/>
        <v>0</v>
      </c>
      <c r="BT423" s="2994">
        <f t="shared" si="267"/>
        <v>0</v>
      </c>
    </row>
    <row r="424" spans="1:72">
      <c r="A424" s="2939"/>
      <c r="B424" s="2940"/>
      <c r="C424" s="2940"/>
      <c r="D424" s="2941"/>
      <c r="E424" s="2942">
        <f t="shared" si="239"/>
        <v>0</v>
      </c>
      <c r="F424" s="2943"/>
      <c r="G424" s="2944">
        <f t="shared" si="240"/>
        <v>0</v>
      </c>
      <c r="H424" s="2945">
        <f t="shared" si="241"/>
        <v>0</v>
      </c>
      <c r="I424" s="2952"/>
      <c r="J424" s="2952"/>
      <c r="K424" s="2952"/>
      <c r="L424" s="2952"/>
      <c r="M424" s="2952"/>
      <c r="N424" s="2952"/>
      <c r="O424" s="2952"/>
      <c r="P424" s="2952"/>
      <c r="Q424" s="2952"/>
      <c r="R424" s="2952"/>
      <c r="S424" s="2952"/>
      <c r="T424" s="2952"/>
      <c r="U424" s="2952"/>
      <c r="V424" s="2952"/>
      <c r="W424" s="2952"/>
      <c r="X424" s="2952"/>
      <c r="Y424" s="2952"/>
      <c r="Z424" s="2952"/>
      <c r="AA424" s="2952"/>
      <c r="AB424" s="2952"/>
      <c r="AC424" s="2942">
        <f t="shared" si="242"/>
        <v>0</v>
      </c>
      <c r="AD424" s="2962"/>
      <c r="AE424" s="2962"/>
      <c r="AF424" s="2962"/>
      <c r="AG424" s="2962"/>
      <c r="AH424" s="2962"/>
      <c r="AI424" s="2962"/>
      <c r="AJ424" s="2962"/>
      <c r="AK424" s="2962"/>
      <c r="AL424" s="2962"/>
      <c r="AM424" s="2962"/>
      <c r="AN424" s="2962"/>
      <c r="AO424" s="2962"/>
      <c r="AP424" s="2962"/>
      <c r="AQ424" s="2962"/>
      <c r="AR424" s="2962"/>
      <c r="AS424" s="2962"/>
      <c r="AT424" s="2972"/>
      <c r="AU424" s="2973"/>
      <c r="AV424" s="1120">
        <f t="shared" si="243"/>
        <v>0</v>
      </c>
      <c r="AW424" s="1120">
        <f t="shared" si="244"/>
        <v>0</v>
      </c>
      <c r="AX424" s="1120">
        <f t="shared" si="245"/>
        <v>0</v>
      </c>
      <c r="AY424" s="2987">
        <f t="shared" si="246"/>
        <v>0</v>
      </c>
      <c r="AZ424" s="2942">
        <f t="shared" si="247"/>
        <v>0</v>
      </c>
      <c r="BA424" s="2942">
        <f t="shared" si="248"/>
        <v>0</v>
      </c>
      <c r="BB424" s="2942">
        <f t="shared" si="249"/>
        <v>0</v>
      </c>
      <c r="BC424" s="2942">
        <f t="shared" si="250"/>
        <v>0</v>
      </c>
      <c r="BD424" s="2942">
        <f t="shared" si="251"/>
        <v>0</v>
      </c>
      <c r="BE424" s="2942">
        <f t="shared" si="252"/>
        <v>0</v>
      </c>
      <c r="BF424" s="2942">
        <f t="shared" si="253"/>
        <v>0</v>
      </c>
      <c r="BG424" s="2942">
        <f t="shared" si="254"/>
        <v>0</v>
      </c>
      <c r="BH424" s="2942">
        <f t="shared" si="255"/>
        <v>0</v>
      </c>
      <c r="BI424" s="2942">
        <f t="shared" si="256"/>
        <v>0</v>
      </c>
      <c r="BJ424" s="2942">
        <f t="shared" si="257"/>
        <v>0</v>
      </c>
      <c r="BK424" s="2942">
        <f t="shared" si="258"/>
        <v>0</v>
      </c>
      <c r="BL424" s="2942">
        <f t="shared" si="259"/>
        <v>0</v>
      </c>
      <c r="BM424" s="2942">
        <f t="shared" si="260"/>
        <v>0</v>
      </c>
      <c r="BN424" s="2942">
        <f t="shared" si="261"/>
        <v>0</v>
      </c>
      <c r="BO424" s="2942">
        <f t="shared" si="262"/>
        <v>0</v>
      </c>
      <c r="BP424" s="2942">
        <f t="shared" si="263"/>
        <v>0</v>
      </c>
      <c r="BQ424" s="2942">
        <f t="shared" si="264"/>
        <v>0</v>
      </c>
      <c r="BR424" s="2942">
        <f t="shared" si="265"/>
        <v>0</v>
      </c>
      <c r="BS424" s="2942">
        <f t="shared" si="266"/>
        <v>0</v>
      </c>
      <c r="BT424" s="2994">
        <f t="shared" si="267"/>
        <v>0</v>
      </c>
    </row>
    <row r="425" spans="1:72">
      <c r="A425" s="2939"/>
      <c r="B425" s="2940"/>
      <c r="C425" s="2940"/>
      <c r="D425" s="2941"/>
      <c r="E425" s="2942">
        <f t="shared" si="239"/>
        <v>0</v>
      </c>
      <c r="F425" s="2943"/>
      <c r="G425" s="2944">
        <f t="shared" si="240"/>
        <v>0</v>
      </c>
      <c r="H425" s="2945">
        <f t="shared" si="241"/>
        <v>0</v>
      </c>
      <c r="I425" s="2952"/>
      <c r="J425" s="2952"/>
      <c r="K425" s="2952"/>
      <c r="L425" s="2952"/>
      <c r="M425" s="2952"/>
      <c r="N425" s="2952"/>
      <c r="O425" s="2952"/>
      <c r="P425" s="2952"/>
      <c r="Q425" s="2952"/>
      <c r="R425" s="2952"/>
      <c r="S425" s="2952"/>
      <c r="T425" s="2952"/>
      <c r="U425" s="2952"/>
      <c r="V425" s="2952"/>
      <c r="W425" s="2952"/>
      <c r="X425" s="2952"/>
      <c r="Y425" s="2952"/>
      <c r="Z425" s="2952"/>
      <c r="AA425" s="2952"/>
      <c r="AB425" s="2952"/>
      <c r="AC425" s="2942">
        <f t="shared" si="242"/>
        <v>0</v>
      </c>
      <c r="AD425" s="2962"/>
      <c r="AE425" s="2962"/>
      <c r="AF425" s="2962"/>
      <c r="AG425" s="2962"/>
      <c r="AH425" s="2962"/>
      <c r="AI425" s="2962"/>
      <c r="AJ425" s="2962"/>
      <c r="AK425" s="2962"/>
      <c r="AL425" s="2962"/>
      <c r="AM425" s="2962"/>
      <c r="AN425" s="2962"/>
      <c r="AO425" s="2962"/>
      <c r="AP425" s="2962"/>
      <c r="AQ425" s="2962"/>
      <c r="AR425" s="2962"/>
      <c r="AS425" s="2962"/>
      <c r="AT425" s="2972"/>
      <c r="AU425" s="2973"/>
      <c r="AV425" s="1120">
        <f t="shared" si="243"/>
        <v>0</v>
      </c>
      <c r="AW425" s="1120">
        <f t="shared" si="244"/>
        <v>0</v>
      </c>
      <c r="AX425" s="1120">
        <f t="shared" si="245"/>
        <v>0</v>
      </c>
      <c r="AY425" s="2987">
        <f t="shared" si="246"/>
        <v>0</v>
      </c>
      <c r="AZ425" s="2942">
        <f t="shared" si="247"/>
        <v>0</v>
      </c>
      <c r="BA425" s="2942">
        <f t="shared" si="248"/>
        <v>0</v>
      </c>
      <c r="BB425" s="2942">
        <f t="shared" si="249"/>
        <v>0</v>
      </c>
      <c r="BC425" s="2942">
        <f t="shared" si="250"/>
        <v>0</v>
      </c>
      <c r="BD425" s="2942">
        <f t="shared" si="251"/>
        <v>0</v>
      </c>
      <c r="BE425" s="2942">
        <f t="shared" si="252"/>
        <v>0</v>
      </c>
      <c r="BF425" s="2942">
        <f t="shared" si="253"/>
        <v>0</v>
      </c>
      <c r="BG425" s="2942">
        <f t="shared" si="254"/>
        <v>0</v>
      </c>
      <c r="BH425" s="2942">
        <f t="shared" si="255"/>
        <v>0</v>
      </c>
      <c r="BI425" s="2942">
        <f t="shared" si="256"/>
        <v>0</v>
      </c>
      <c r="BJ425" s="2942">
        <f t="shared" si="257"/>
        <v>0</v>
      </c>
      <c r="BK425" s="2942">
        <f t="shared" si="258"/>
        <v>0</v>
      </c>
      <c r="BL425" s="2942">
        <f t="shared" si="259"/>
        <v>0</v>
      </c>
      <c r="BM425" s="2942">
        <f t="shared" si="260"/>
        <v>0</v>
      </c>
      <c r="BN425" s="2942">
        <f t="shared" si="261"/>
        <v>0</v>
      </c>
      <c r="BO425" s="2942">
        <f t="shared" si="262"/>
        <v>0</v>
      </c>
      <c r="BP425" s="2942">
        <f t="shared" si="263"/>
        <v>0</v>
      </c>
      <c r="BQ425" s="2942">
        <f t="shared" si="264"/>
        <v>0</v>
      </c>
      <c r="BR425" s="2942">
        <f t="shared" si="265"/>
        <v>0</v>
      </c>
      <c r="BS425" s="2942">
        <f t="shared" si="266"/>
        <v>0</v>
      </c>
      <c r="BT425" s="2994">
        <f t="shared" si="267"/>
        <v>0</v>
      </c>
    </row>
    <row r="426" spans="1:72">
      <c r="A426" s="2939"/>
      <c r="B426" s="2940"/>
      <c r="C426" s="2940"/>
      <c r="D426" s="2941"/>
      <c r="E426" s="2942">
        <f t="shared" si="239"/>
        <v>0</v>
      </c>
      <c r="F426" s="2943"/>
      <c r="G426" s="2944">
        <f t="shared" si="240"/>
        <v>0</v>
      </c>
      <c r="H426" s="2945">
        <f t="shared" si="241"/>
        <v>0</v>
      </c>
      <c r="I426" s="2952"/>
      <c r="J426" s="2952"/>
      <c r="K426" s="2952"/>
      <c r="L426" s="2952"/>
      <c r="M426" s="2952"/>
      <c r="N426" s="2952"/>
      <c r="O426" s="2952"/>
      <c r="P426" s="2952"/>
      <c r="Q426" s="2952"/>
      <c r="R426" s="2952"/>
      <c r="S426" s="2952"/>
      <c r="T426" s="2952"/>
      <c r="U426" s="2952"/>
      <c r="V426" s="2952"/>
      <c r="W426" s="2952"/>
      <c r="X426" s="2952"/>
      <c r="Y426" s="2952"/>
      <c r="Z426" s="2952"/>
      <c r="AA426" s="2952"/>
      <c r="AB426" s="2952"/>
      <c r="AC426" s="2942">
        <f t="shared" si="242"/>
        <v>0</v>
      </c>
      <c r="AD426" s="2962"/>
      <c r="AE426" s="2962"/>
      <c r="AF426" s="2962"/>
      <c r="AG426" s="2962"/>
      <c r="AH426" s="2962"/>
      <c r="AI426" s="2962"/>
      <c r="AJ426" s="2962"/>
      <c r="AK426" s="2962"/>
      <c r="AL426" s="2962"/>
      <c r="AM426" s="2962"/>
      <c r="AN426" s="2962"/>
      <c r="AO426" s="2962"/>
      <c r="AP426" s="2962"/>
      <c r="AQ426" s="2962"/>
      <c r="AR426" s="2962"/>
      <c r="AS426" s="2962"/>
      <c r="AT426" s="2972"/>
      <c r="AU426" s="2973"/>
      <c r="AV426" s="1120">
        <f t="shared" si="243"/>
        <v>0</v>
      </c>
      <c r="AW426" s="1120">
        <f t="shared" si="244"/>
        <v>0</v>
      </c>
      <c r="AX426" s="1120">
        <f t="shared" si="245"/>
        <v>0</v>
      </c>
      <c r="AY426" s="2987">
        <f t="shared" si="246"/>
        <v>0</v>
      </c>
      <c r="AZ426" s="2942">
        <f t="shared" si="247"/>
        <v>0</v>
      </c>
      <c r="BA426" s="2942">
        <f t="shared" si="248"/>
        <v>0</v>
      </c>
      <c r="BB426" s="2942">
        <f t="shared" si="249"/>
        <v>0</v>
      </c>
      <c r="BC426" s="2942">
        <f t="shared" si="250"/>
        <v>0</v>
      </c>
      <c r="BD426" s="2942">
        <f t="shared" si="251"/>
        <v>0</v>
      </c>
      <c r="BE426" s="2942">
        <f t="shared" si="252"/>
        <v>0</v>
      </c>
      <c r="BF426" s="2942">
        <f t="shared" si="253"/>
        <v>0</v>
      </c>
      <c r="BG426" s="2942">
        <f t="shared" si="254"/>
        <v>0</v>
      </c>
      <c r="BH426" s="2942">
        <f t="shared" si="255"/>
        <v>0</v>
      </c>
      <c r="BI426" s="2942">
        <f t="shared" si="256"/>
        <v>0</v>
      </c>
      <c r="BJ426" s="2942">
        <f t="shared" si="257"/>
        <v>0</v>
      </c>
      <c r="BK426" s="2942">
        <f t="shared" si="258"/>
        <v>0</v>
      </c>
      <c r="BL426" s="2942">
        <f t="shared" si="259"/>
        <v>0</v>
      </c>
      <c r="BM426" s="2942">
        <f t="shared" si="260"/>
        <v>0</v>
      </c>
      <c r="BN426" s="2942">
        <f t="shared" si="261"/>
        <v>0</v>
      </c>
      <c r="BO426" s="2942">
        <f t="shared" si="262"/>
        <v>0</v>
      </c>
      <c r="BP426" s="2942">
        <f t="shared" si="263"/>
        <v>0</v>
      </c>
      <c r="BQ426" s="2942">
        <f t="shared" si="264"/>
        <v>0</v>
      </c>
      <c r="BR426" s="2942">
        <f t="shared" si="265"/>
        <v>0</v>
      </c>
      <c r="BS426" s="2942">
        <f t="shared" si="266"/>
        <v>0</v>
      </c>
      <c r="BT426" s="2994">
        <f t="shared" si="267"/>
        <v>0</v>
      </c>
    </row>
    <row r="427" spans="1:72">
      <c r="A427" s="2939"/>
      <c r="B427" s="2940"/>
      <c r="C427" s="2940"/>
      <c r="D427" s="2941"/>
      <c r="E427" s="2942">
        <f t="shared" si="239"/>
        <v>0</v>
      </c>
      <c r="F427" s="2943"/>
      <c r="G427" s="2944">
        <f t="shared" si="240"/>
        <v>0</v>
      </c>
      <c r="H427" s="2945">
        <f t="shared" si="241"/>
        <v>0</v>
      </c>
      <c r="I427" s="2952"/>
      <c r="J427" s="2952"/>
      <c r="K427" s="2952"/>
      <c r="L427" s="2952"/>
      <c r="M427" s="2952"/>
      <c r="N427" s="2952"/>
      <c r="O427" s="2952"/>
      <c r="P427" s="2952"/>
      <c r="Q427" s="2952"/>
      <c r="R427" s="2952"/>
      <c r="S427" s="2952"/>
      <c r="T427" s="2952"/>
      <c r="U427" s="2952"/>
      <c r="V427" s="2952"/>
      <c r="W427" s="2952"/>
      <c r="X427" s="2952"/>
      <c r="Y427" s="2952"/>
      <c r="Z427" s="2952"/>
      <c r="AA427" s="2952"/>
      <c r="AB427" s="2952"/>
      <c r="AC427" s="2942">
        <f t="shared" si="242"/>
        <v>0</v>
      </c>
      <c r="AD427" s="2962"/>
      <c r="AE427" s="2962"/>
      <c r="AF427" s="2962"/>
      <c r="AG427" s="2962"/>
      <c r="AH427" s="2962"/>
      <c r="AI427" s="2962"/>
      <c r="AJ427" s="2962"/>
      <c r="AK427" s="2962"/>
      <c r="AL427" s="2962"/>
      <c r="AM427" s="2962"/>
      <c r="AN427" s="2962"/>
      <c r="AO427" s="2962"/>
      <c r="AP427" s="2962"/>
      <c r="AQ427" s="2962"/>
      <c r="AR427" s="2962"/>
      <c r="AS427" s="2962"/>
      <c r="AT427" s="2972"/>
      <c r="AU427" s="2973"/>
      <c r="AV427" s="1120">
        <f t="shared" si="243"/>
        <v>0</v>
      </c>
      <c r="AW427" s="1120">
        <f t="shared" si="244"/>
        <v>0</v>
      </c>
      <c r="AX427" s="1120">
        <f t="shared" si="245"/>
        <v>0</v>
      </c>
      <c r="AY427" s="2987">
        <f t="shared" si="246"/>
        <v>0</v>
      </c>
      <c r="AZ427" s="2942">
        <f t="shared" si="247"/>
        <v>0</v>
      </c>
      <c r="BA427" s="2942">
        <f t="shared" si="248"/>
        <v>0</v>
      </c>
      <c r="BB427" s="2942">
        <f t="shared" si="249"/>
        <v>0</v>
      </c>
      <c r="BC427" s="2942">
        <f t="shared" si="250"/>
        <v>0</v>
      </c>
      <c r="BD427" s="2942">
        <f t="shared" si="251"/>
        <v>0</v>
      </c>
      <c r="BE427" s="2942">
        <f t="shared" si="252"/>
        <v>0</v>
      </c>
      <c r="BF427" s="2942">
        <f t="shared" si="253"/>
        <v>0</v>
      </c>
      <c r="BG427" s="2942">
        <f t="shared" si="254"/>
        <v>0</v>
      </c>
      <c r="BH427" s="2942">
        <f t="shared" si="255"/>
        <v>0</v>
      </c>
      <c r="BI427" s="2942">
        <f t="shared" si="256"/>
        <v>0</v>
      </c>
      <c r="BJ427" s="2942">
        <f t="shared" si="257"/>
        <v>0</v>
      </c>
      <c r="BK427" s="2942">
        <f t="shared" si="258"/>
        <v>0</v>
      </c>
      <c r="BL427" s="2942">
        <f t="shared" si="259"/>
        <v>0</v>
      </c>
      <c r="BM427" s="2942">
        <f t="shared" si="260"/>
        <v>0</v>
      </c>
      <c r="BN427" s="2942">
        <f t="shared" si="261"/>
        <v>0</v>
      </c>
      <c r="BO427" s="2942">
        <f t="shared" si="262"/>
        <v>0</v>
      </c>
      <c r="BP427" s="2942">
        <f t="shared" si="263"/>
        <v>0</v>
      </c>
      <c r="BQ427" s="2942">
        <f t="shared" si="264"/>
        <v>0</v>
      </c>
      <c r="BR427" s="2942">
        <f t="shared" si="265"/>
        <v>0</v>
      </c>
      <c r="BS427" s="2942">
        <f t="shared" si="266"/>
        <v>0</v>
      </c>
      <c r="BT427" s="2994">
        <f t="shared" si="267"/>
        <v>0</v>
      </c>
    </row>
    <row r="428" spans="1:72">
      <c r="A428" s="2939"/>
      <c r="B428" s="2940"/>
      <c r="C428" s="2940"/>
      <c r="D428" s="2941"/>
      <c r="E428" s="2942">
        <f t="shared" si="239"/>
        <v>0</v>
      </c>
      <c r="F428" s="2943"/>
      <c r="G428" s="2944">
        <f t="shared" si="240"/>
        <v>0</v>
      </c>
      <c r="H428" s="2945">
        <f t="shared" si="241"/>
        <v>0</v>
      </c>
      <c r="I428" s="2952"/>
      <c r="J428" s="2952"/>
      <c r="K428" s="2952"/>
      <c r="L428" s="2952"/>
      <c r="M428" s="2952"/>
      <c r="N428" s="2952"/>
      <c r="O428" s="2952"/>
      <c r="P428" s="2952"/>
      <c r="Q428" s="2952"/>
      <c r="R428" s="2952"/>
      <c r="S428" s="2952"/>
      <c r="T428" s="2952"/>
      <c r="U428" s="2952"/>
      <c r="V428" s="2952"/>
      <c r="W428" s="2952"/>
      <c r="X428" s="2952"/>
      <c r="Y428" s="2952"/>
      <c r="Z428" s="2952"/>
      <c r="AA428" s="2952"/>
      <c r="AB428" s="2952"/>
      <c r="AC428" s="2942">
        <f t="shared" si="242"/>
        <v>0</v>
      </c>
      <c r="AD428" s="2962"/>
      <c r="AE428" s="2962"/>
      <c r="AF428" s="2962"/>
      <c r="AG428" s="2962"/>
      <c r="AH428" s="2962"/>
      <c r="AI428" s="2962"/>
      <c r="AJ428" s="2962"/>
      <c r="AK428" s="2962"/>
      <c r="AL428" s="2962"/>
      <c r="AM428" s="2962"/>
      <c r="AN428" s="2962"/>
      <c r="AO428" s="2962"/>
      <c r="AP428" s="2962"/>
      <c r="AQ428" s="2962"/>
      <c r="AR428" s="2962"/>
      <c r="AS428" s="2962"/>
      <c r="AT428" s="2972"/>
      <c r="AU428" s="2973"/>
      <c r="AV428" s="1120">
        <f t="shared" si="243"/>
        <v>0</v>
      </c>
      <c r="AW428" s="1120">
        <f t="shared" si="244"/>
        <v>0</v>
      </c>
      <c r="AX428" s="1120">
        <f t="shared" si="245"/>
        <v>0</v>
      </c>
      <c r="AY428" s="2987">
        <f t="shared" si="246"/>
        <v>0</v>
      </c>
      <c r="AZ428" s="2942">
        <f t="shared" si="247"/>
        <v>0</v>
      </c>
      <c r="BA428" s="2942">
        <f t="shared" si="248"/>
        <v>0</v>
      </c>
      <c r="BB428" s="2942">
        <f t="shared" si="249"/>
        <v>0</v>
      </c>
      <c r="BC428" s="2942">
        <f t="shared" si="250"/>
        <v>0</v>
      </c>
      <c r="BD428" s="2942">
        <f t="shared" si="251"/>
        <v>0</v>
      </c>
      <c r="BE428" s="2942">
        <f t="shared" si="252"/>
        <v>0</v>
      </c>
      <c r="BF428" s="2942">
        <f t="shared" si="253"/>
        <v>0</v>
      </c>
      <c r="BG428" s="2942">
        <f t="shared" si="254"/>
        <v>0</v>
      </c>
      <c r="BH428" s="2942">
        <f t="shared" si="255"/>
        <v>0</v>
      </c>
      <c r="BI428" s="2942">
        <f t="shared" si="256"/>
        <v>0</v>
      </c>
      <c r="BJ428" s="2942">
        <f t="shared" si="257"/>
        <v>0</v>
      </c>
      <c r="BK428" s="2942">
        <f t="shared" si="258"/>
        <v>0</v>
      </c>
      <c r="BL428" s="2942">
        <f t="shared" si="259"/>
        <v>0</v>
      </c>
      <c r="BM428" s="2942">
        <f t="shared" si="260"/>
        <v>0</v>
      </c>
      <c r="BN428" s="2942">
        <f t="shared" si="261"/>
        <v>0</v>
      </c>
      <c r="BO428" s="2942">
        <f t="shared" si="262"/>
        <v>0</v>
      </c>
      <c r="BP428" s="2942">
        <f t="shared" si="263"/>
        <v>0</v>
      </c>
      <c r="BQ428" s="2942">
        <f t="shared" si="264"/>
        <v>0</v>
      </c>
      <c r="BR428" s="2942">
        <f t="shared" si="265"/>
        <v>0</v>
      </c>
      <c r="BS428" s="2942">
        <f t="shared" si="266"/>
        <v>0</v>
      </c>
      <c r="BT428" s="2994">
        <f t="shared" si="267"/>
        <v>0</v>
      </c>
    </row>
    <row r="429" spans="1:72">
      <c r="A429" s="2939"/>
      <c r="B429" s="2940"/>
      <c r="C429" s="2940"/>
      <c r="D429" s="2941"/>
      <c r="E429" s="2942">
        <f t="shared" si="239"/>
        <v>0</v>
      </c>
      <c r="F429" s="2943"/>
      <c r="G429" s="2944">
        <f t="shared" si="240"/>
        <v>0</v>
      </c>
      <c r="H429" s="2945">
        <f t="shared" si="241"/>
        <v>0</v>
      </c>
      <c r="I429" s="2952"/>
      <c r="J429" s="2952"/>
      <c r="K429" s="2952"/>
      <c r="L429" s="2952"/>
      <c r="M429" s="2952"/>
      <c r="N429" s="2952"/>
      <c r="O429" s="2952"/>
      <c r="P429" s="2952"/>
      <c r="Q429" s="2952"/>
      <c r="R429" s="2952"/>
      <c r="S429" s="2952"/>
      <c r="T429" s="2952"/>
      <c r="U429" s="2952"/>
      <c r="V429" s="2952"/>
      <c r="W429" s="2952"/>
      <c r="X429" s="2952"/>
      <c r="Y429" s="2952"/>
      <c r="Z429" s="2952"/>
      <c r="AA429" s="2952"/>
      <c r="AB429" s="2952"/>
      <c r="AC429" s="2942">
        <f t="shared" si="242"/>
        <v>0</v>
      </c>
      <c r="AD429" s="2962"/>
      <c r="AE429" s="2962"/>
      <c r="AF429" s="2962"/>
      <c r="AG429" s="2962"/>
      <c r="AH429" s="2962"/>
      <c r="AI429" s="2962"/>
      <c r="AJ429" s="2962"/>
      <c r="AK429" s="2962"/>
      <c r="AL429" s="2962"/>
      <c r="AM429" s="2962"/>
      <c r="AN429" s="2962"/>
      <c r="AO429" s="2962"/>
      <c r="AP429" s="2962"/>
      <c r="AQ429" s="2962"/>
      <c r="AR429" s="2962"/>
      <c r="AS429" s="2962"/>
      <c r="AT429" s="2972"/>
      <c r="AU429" s="2973"/>
      <c r="AV429" s="1120">
        <f t="shared" si="243"/>
        <v>0</v>
      </c>
      <c r="AW429" s="1120">
        <f t="shared" si="244"/>
        <v>0</v>
      </c>
      <c r="AX429" s="1120">
        <f t="shared" si="245"/>
        <v>0</v>
      </c>
      <c r="AY429" s="2987">
        <f t="shared" si="246"/>
        <v>0</v>
      </c>
      <c r="AZ429" s="2942">
        <f t="shared" si="247"/>
        <v>0</v>
      </c>
      <c r="BA429" s="2942">
        <f t="shared" si="248"/>
        <v>0</v>
      </c>
      <c r="BB429" s="2942">
        <f t="shared" si="249"/>
        <v>0</v>
      </c>
      <c r="BC429" s="2942">
        <f t="shared" si="250"/>
        <v>0</v>
      </c>
      <c r="BD429" s="2942">
        <f t="shared" si="251"/>
        <v>0</v>
      </c>
      <c r="BE429" s="2942">
        <f t="shared" si="252"/>
        <v>0</v>
      </c>
      <c r="BF429" s="2942">
        <f t="shared" si="253"/>
        <v>0</v>
      </c>
      <c r="BG429" s="2942">
        <f t="shared" si="254"/>
        <v>0</v>
      </c>
      <c r="BH429" s="2942">
        <f t="shared" si="255"/>
        <v>0</v>
      </c>
      <c r="BI429" s="2942">
        <f t="shared" si="256"/>
        <v>0</v>
      </c>
      <c r="BJ429" s="2942">
        <f t="shared" si="257"/>
        <v>0</v>
      </c>
      <c r="BK429" s="2942">
        <f t="shared" si="258"/>
        <v>0</v>
      </c>
      <c r="BL429" s="2942">
        <f t="shared" si="259"/>
        <v>0</v>
      </c>
      <c r="BM429" s="2942">
        <f t="shared" si="260"/>
        <v>0</v>
      </c>
      <c r="BN429" s="2942">
        <f t="shared" si="261"/>
        <v>0</v>
      </c>
      <c r="BO429" s="2942">
        <f t="shared" si="262"/>
        <v>0</v>
      </c>
      <c r="BP429" s="2942">
        <f t="shared" si="263"/>
        <v>0</v>
      </c>
      <c r="BQ429" s="2942">
        <f t="shared" si="264"/>
        <v>0</v>
      </c>
      <c r="BR429" s="2942">
        <f t="shared" si="265"/>
        <v>0</v>
      </c>
      <c r="BS429" s="2942">
        <f t="shared" si="266"/>
        <v>0</v>
      </c>
      <c r="BT429" s="2994">
        <f t="shared" si="267"/>
        <v>0</v>
      </c>
    </row>
    <row r="430" spans="1:72">
      <c r="A430" s="2939"/>
      <c r="B430" s="2940"/>
      <c r="C430" s="2940"/>
      <c r="D430" s="2941"/>
      <c r="E430" s="2942">
        <f t="shared" si="239"/>
        <v>0</v>
      </c>
      <c r="F430" s="2943"/>
      <c r="G430" s="2944">
        <f t="shared" si="240"/>
        <v>0</v>
      </c>
      <c r="H430" s="2945">
        <f t="shared" si="241"/>
        <v>0</v>
      </c>
      <c r="I430" s="2952"/>
      <c r="J430" s="2952"/>
      <c r="K430" s="2952"/>
      <c r="L430" s="2952"/>
      <c r="M430" s="2952"/>
      <c r="N430" s="2952"/>
      <c r="O430" s="2952"/>
      <c r="P430" s="2952"/>
      <c r="Q430" s="2952"/>
      <c r="R430" s="2952"/>
      <c r="S430" s="2952"/>
      <c r="T430" s="2952"/>
      <c r="U430" s="2952"/>
      <c r="V430" s="2952"/>
      <c r="W430" s="2952"/>
      <c r="X430" s="2952"/>
      <c r="Y430" s="2952"/>
      <c r="Z430" s="2952"/>
      <c r="AA430" s="2952"/>
      <c r="AB430" s="2952"/>
      <c r="AC430" s="2942">
        <f t="shared" si="242"/>
        <v>0</v>
      </c>
      <c r="AD430" s="2962"/>
      <c r="AE430" s="2962"/>
      <c r="AF430" s="2962"/>
      <c r="AG430" s="2962"/>
      <c r="AH430" s="2962"/>
      <c r="AI430" s="2962"/>
      <c r="AJ430" s="2962"/>
      <c r="AK430" s="2962"/>
      <c r="AL430" s="2962"/>
      <c r="AM430" s="2962"/>
      <c r="AN430" s="2962"/>
      <c r="AO430" s="2962"/>
      <c r="AP430" s="2962"/>
      <c r="AQ430" s="2962"/>
      <c r="AR430" s="2962"/>
      <c r="AS430" s="2962"/>
      <c r="AT430" s="2972"/>
      <c r="AU430" s="2973"/>
      <c r="AV430" s="1120">
        <f t="shared" si="243"/>
        <v>0</v>
      </c>
      <c r="AW430" s="1120">
        <f t="shared" si="244"/>
        <v>0</v>
      </c>
      <c r="AX430" s="1120">
        <f t="shared" si="245"/>
        <v>0</v>
      </c>
      <c r="AY430" s="2987">
        <f t="shared" si="246"/>
        <v>0</v>
      </c>
      <c r="AZ430" s="2942">
        <f t="shared" si="247"/>
        <v>0</v>
      </c>
      <c r="BA430" s="2942">
        <f t="shared" si="248"/>
        <v>0</v>
      </c>
      <c r="BB430" s="2942">
        <f t="shared" si="249"/>
        <v>0</v>
      </c>
      <c r="BC430" s="2942">
        <f t="shared" si="250"/>
        <v>0</v>
      </c>
      <c r="BD430" s="2942">
        <f t="shared" si="251"/>
        <v>0</v>
      </c>
      <c r="BE430" s="2942">
        <f t="shared" si="252"/>
        <v>0</v>
      </c>
      <c r="BF430" s="2942">
        <f t="shared" si="253"/>
        <v>0</v>
      </c>
      <c r="BG430" s="2942">
        <f t="shared" si="254"/>
        <v>0</v>
      </c>
      <c r="BH430" s="2942">
        <f t="shared" si="255"/>
        <v>0</v>
      </c>
      <c r="BI430" s="2942">
        <f t="shared" si="256"/>
        <v>0</v>
      </c>
      <c r="BJ430" s="2942">
        <f t="shared" si="257"/>
        <v>0</v>
      </c>
      <c r="BK430" s="2942">
        <f t="shared" si="258"/>
        <v>0</v>
      </c>
      <c r="BL430" s="2942">
        <f t="shared" si="259"/>
        <v>0</v>
      </c>
      <c r="BM430" s="2942">
        <f t="shared" si="260"/>
        <v>0</v>
      </c>
      <c r="BN430" s="2942">
        <f t="shared" si="261"/>
        <v>0</v>
      </c>
      <c r="BO430" s="2942">
        <f t="shared" si="262"/>
        <v>0</v>
      </c>
      <c r="BP430" s="2942">
        <f t="shared" si="263"/>
        <v>0</v>
      </c>
      <c r="BQ430" s="2942">
        <f t="shared" si="264"/>
        <v>0</v>
      </c>
      <c r="BR430" s="2942">
        <f t="shared" si="265"/>
        <v>0</v>
      </c>
      <c r="BS430" s="2942">
        <f t="shared" si="266"/>
        <v>0</v>
      </c>
      <c r="BT430" s="2994">
        <f t="shared" si="267"/>
        <v>0</v>
      </c>
    </row>
    <row r="431" spans="1:72">
      <c r="A431" s="2939"/>
      <c r="B431" s="2940"/>
      <c r="C431" s="2940"/>
      <c r="D431" s="2941"/>
      <c r="E431" s="2942">
        <f t="shared" si="239"/>
        <v>0</v>
      </c>
      <c r="F431" s="2943"/>
      <c r="G431" s="2944">
        <f t="shared" si="240"/>
        <v>0</v>
      </c>
      <c r="H431" s="2945">
        <f t="shared" si="241"/>
        <v>0</v>
      </c>
      <c r="I431" s="2952"/>
      <c r="J431" s="2952"/>
      <c r="K431" s="2952"/>
      <c r="L431" s="2952"/>
      <c r="M431" s="2952"/>
      <c r="N431" s="2952"/>
      <c r="O431" s="2952"/>
      <c r="P431" s="2952"/>
      <c r="Q431" s="2952"/>
      <c r="R431" s="2952"/>
      <c r="S431" s="2952"/>
      <c r="T431" s="2952"/>
      <c r="U431" s="2952"/>
      <c r="V431" s="2952"/>
      <c r="W431" s="2952"/>
      <c r="X431" s="2952"/>
      <c r="Y431" s="2952"/>
      <c r="Z431" s="2952"/>
      <c r="AA431" s="2952"/>
      <c r="AB431" s="2952"/>
      <c r="AC431" s="2942">
        <f t="shared" si="242"/>
        <v>0</v>
      </c>
      <c r="AD431" s="2962"/>
      <c r="AE431" s="2962"/>
      <c r="AF431" s="2962"/>
      <c r="AG431" s="2962"/>
      <c r="AH431" s="2962"/>
      <c r="AI431" s="2962"/>
      <c r="AJ431" s="2962"/>
      <c r="AK431" s="2962"/>
      <c r="AL431" s="2962"/>
      <c r="AM431" s="2962"/>
      <c r="AN431" s="2962"/>
      <c r="AO431" s="2962"/>
      <c r="AP431" s="2962"/>
      <c r="AQ431" s="2962"/>
      <c r="AR431" s="2962"/>
      <c r="AS431" s="2962"/>
      <c r="AT431" s="2972"/>
      <c r="AU431" s="2973"/>
      <c r="AV431" s="1120">
        <f t="shared" si="243"/>
        <v>0</v>
      </c>
      <c r="AW431" s="1120">
        <f t="shared" si="244"/>
        <v>0</v>
      </c>
      <c r="AX431" s="1120">
        <f t="shared" si="245"/>
        <v>0</v>
      </c>
      <c r="AY431" s="2987">
        <f t="shared" si="246"/>
        <v>0</v>
      </c>
      <c r="AZ431" s="2942">
        <f t="shared" si="247"/>
        <v>0</v>
      </c>
      <c r="BA431" s="2942">
        <f t="shared" si="248"/>
        <v>0</v>
      </c>
      <c r="BB431" s="2942">
        <f t="shared" si="249"/>
        <v>0</v>
      </c>
      <c r="BC431" s="2942">
        <f t="shared" si="250"/>
        <v>0</v>
      </c>
      <c r="BD431" s="2942">
        <f t="shared" si="251"/>
        <v>0</v>
      </c>
      <c r="BE431" s="2942">
        <f t="shared" si="252"/>
        <v>0</v>
      </c>
      <c r="BF431" s="2942">
        <f t="shared" si="253"/>
        <v>0</v>
      </c>
      <c r="BG431" s="2942">
        <f t="shared" si="254"/>
        <v>0</v>
      </c>
      <c r="BH431" s="2942">
        <f t="shared" si="255"/>
        <v>0</v>
      </c>
      <c r="BI431" s="2942">
        <f t="shared" si="256"/>
        <v>0</v>
      </c>
      <c r="BJ431" s="2942">
        <f t="shared" si="257"/>
        <v>0</v>
      </c>
      <c r="BK431" s="2942">
        <f t="shared" si="258"/>
        <v>0</v>
      </c>
      <c r="BL431" s="2942">
        <f t="shared" si="259"/>
        <v>0</v>
      </c>
      <c r="BM431" s="2942">
        <f t="shared" si="260"/>
        <v>0</v>
      </c>
      <c r="BN431" s="2942">
        <f t="shared" si="261"/>
        <v>0</v>
      </c>
      <c r="BO431" s="2942">
        <f t="shared" si="262"/>
        <v>0</v>
      </c>
      <c r="BP431" s="2942">
        <f t="shared" si="263"/>
        <v>0</v>
      </c>
      <c r="BQ431" s="2942">
        <f t="shared" si="264"/>
        <v>0</v>
      </c>
      <c r="BR431" s="2942">
        <f t="shared" si="265"/>
        <v>0</v>
      </c>
      <c r="BS431" s="2942">
        <f t="shared" si="266"/>
        <v>0</v>
      </c>
      <c r="BT431" s="2994">
        <f t="shared" si="267"/>
        <v>0</v>
      </c>
    </row>
    <row r="432" spans="1:72">
      <c r="A432" s="2939"/>
      <c r="B432" s="2940"/>
      <c r="C432" s="2940"/>
      <c r="D432" s="2941"/>
      <c r="E432" s="2942">
        <f t="shared" si="239"/>
        <v>0</v>
      </c>
      <c r="F432" s="2943"/>
      <c r="G432" s="2944">
        <f t="shared" si="240"/>
        <v>0</v>
      </c>
      <c r="H432" s="2945">
        <f t="shared" si="241"/>
        <v>0</v>
      </c>
      <c r="I432" s="2952"/>
      <c r="J432" s="2952"/>
      <c r="K432" s="2952"/>
      <c r="L432" s="2952"/>
      <c r="M432" s="2952"/>
      <c r="N432" s="2952"/>
      <c r="O432" s="2952"/>
      <c r="P432" s="2952"/>
      <c r="Q432" s="2952"/>
      <c r="R432" s="2952"/>
      <c r="S432" s="2952"/>
      <c r="T432" s="2952"/>
      <c r="U432" s="2952"/>
      <c r="V432" s="2952"/>
      <c r="W432" s="2952"/>
      <c r="X432" s="2952"/>
      <c r="Y432" s="2952"/>
      <c r="Z432" s="2952"/>
      <c r="AA432" s="2952"/>
      <c r="AB432" s="2952"/>
      <c r="AC432" s="2942">
        <f t="shared" si="242"/>
        <v>0</v>
      </c>
      <c r="AD432" s="2962"/>
      <c r="AE432" s="2962"/>
      <c r="AF432" s="2962"/>
      <c r="AG432" s="2962"/>
      <c r="AH432" s="2962"/>
      <c r="AI432" s="2962"/>
      <c r="AJ432" s="2962"/>
      <c r="AK432" s="2962"/>
      <c r="AL432" s="2962"/>
      <c r="AM432" s="2962"/>
      <c r="AN432" s="2962"/>
      <c r="AO432" s="2962"/>
      <c r="AP432" s="2962"/>
      <c r="AQ432" s="2962"/>
      <c r="AR432" s="2962"/>
      <c r="AS432" s="2962"/>
      <c r="AT432" s="2972"/>
      <c r="AU432" s="2973"/>
      <c r="AV432" s="1120">
        <f t="shared" si="243"/>
        <v>0</v>
      </c>
      <c r="AW432" s="1120">
        <f t="shared" si="244"/>
        <v>0</v>
      </c>
      <c r="AX432" s="1120">
        <f t="shared" si="245"/>
        <v>0</v>
      </c>
      <c r="AY432" s="2987">
        <f t="shared" si="246"/>
        <v>0</v>
      </c>
      <c r="AZ432" s="2942">
        <f t="shared" si="247"/>
        <v>0</v>
      </c>
      <c r="BA432" s="2942">
        <f t="shared" si="248"/>
        <v>0</v>
      </c>
      <c r="BB432" s="2942">
        <f t="shared" si="249"/>
        <v>0</v>
      </c>
      <c r="BC432" s="2942">
        <f t="shared" si="250"/>
        <v>0</v>
      </c>
      <c r="BD432" s="2942">
        <f t="shared" si="251"/>
        <v>0</v>
      </c>
      <c r="BE432" s="2942">
        <f t="shared" si="252"/>
        <v>0</v>
      </c>
      <c r="BF432" s="2942">
        <f t="shared" si="253"/>
        <v>0</v>
      </c>
      <c r="BG432" s="2942">
        <f t="shared" si="254"/>
        <v>0</v>
      </c>
      <c r="BH432" s="2942">
        <f t="shared" si="255"/>
        <v>0</v>
      </c>
      <c r="BI432" s="2942">
        <f t="shared" si="256"/>
        <v>0</v>
      </c>
      <c r="BJ432" s="2942">
        <f t="shared" si="257"/>
        <v>0</v>
      </c>
      <c r="BK432" s="2942">
        <f t="shared" si="258"/>
        <v>0</v>
      </c>
      <c r="BL432" s="2942">
        <f t="shared" si="259"/>
        <v>0</v>
      </c>
      <c r="BM432" s="2942">
        <f t="shared" si="260"/>
        <v>0</v>
      </c>
      <c r="BN432" s="2942">
        <f t="shared" si="261"/>
        <v>0</v>
      </c>
      <c r="BO432" s="2942">
        <f t="shared" si="262"/>
        <v>0</v>
      </c>
      <c r="BP432" s="2942">
        <f t="shared" si="263"/>
        <v>0</v>
      </c>
      <c r="BQ432" s="2942">
        <f t="shared" si="264"/>
        <v>0</v>
      </c>
      <c r="BR432" s="2942">
        <f t="shared" si="265"/>
        <v>0</v>
      </c>
      <c r="BS432" s="2942">
        <f t="shared" si="266"/>
        <v>0</v>
      </c>
      <c r="BT432" s="2994">
        <f t="shared" si="267"/>
        <v>0</v>
      </c>
    </row>
    <row r="433" spans="1:72">
      <c r="A433" s="2939"/>
      <c r="B433" s="2940"/>
      <c r="C433" s="2940"/>
      <c r="D433" s="2941"/>
      <c r="E433" s="2942">
        <f t="shared" si="239"/>
        <v>0</v>
      </c>
      <c r="F433" s="2943"/>
      <c r="G433" s="2944">
        <f t="shared" si="240"/>
        <v>0</v>
      </c>
      <c r="H433" s="2945">
        <f t="shared" si="241"/>
        <v>0</v>
      </c>
      <c r="I433" s="2952"/>
      <c r="J433" s="2952"/>
      <c r="K433" s="2952"/>
      <c r="L433" s="2952"/>
      <c r="M433" s="2952"/>
      <c r="N433" s="2952"/>
      <c r="O433" s="2952"/>
      <c r="P433" s="2952"/>
      <c r="Q433" s="2952"/>
      <c r="R433" s="2952"/>
      <c r="S433" s="2952"/>
      <c r="T433" s="2952"/>
      <c r="U433" s="2952"/>
      <c r="V433" s="2952"/>
      <c r="W433" s="2952"/>
      <c r="X433" s="2952"/>
      <c r="Y433" s="2952"/>
      <c r="Z433" s="2952"/>
      <c r="AA433" s="2952"/>
      <c r="AB433" s="2952"/>
      <c r="AC433" s="2942">
        <f t="shared" si="242"/>
        <v>0</v>
      </c>
      <c r="AD433" s="2962"/>
      <c r="AE433" s="2962"/>
      <c r="AF433" s="2962"/>
      <c r="AG433" s="2962"/>
      <c r="AH433" s="2962"/>
      <c r="AI433" s="2962"/>
      <c r="AJ433" s="2962"/>
      <c r="AK433" s="2962"/>
      <c r="AL433" s="2962"/>
      <c r="AM433" s="2962"/>
      <c r="AN433" s="2962"/>
      <c r="AO433" s="2962"/>
      <c r="AP433" s="2962"/>
      <c r="AQ433" s="2962"/>
      <c r="AR433" s="2962"/>
      <c r="AS433" s="2962"/>
      <c r="AT433" s="2972"/>
      <c r="AU433" s="2973"/>
      <c r="AV433" s="1120">
        <f t="shared" si="243"/>
        <v>0</v>
      </c>
      <c r="AW433" s="1120">
        <f t="shared" si="244"/>
        <v>0</v>
      </c>
      <c r="AX433" s="1120">
        <f t="shared" si="245"/>
        <v>0</v>
      </c>
      <c r="AY433" s="2987">
        <f t="shared" si="246"/>
        <v>0</v>
      </c>
      <c r="AZ433" s="2942">
        <f t="shared" si="247"/>
        <v>0</v>
      </c>
      <c r="BA433" s="2942">
        <f t="shared" si="248"/>
        <v>0</v>
      </c>
      <c r="BB433" s="2942">
        <f t="shared" si="249"/>
        <v>0</v>
      </c>
      <c r="BC433" s="2942">
        <f t="shared" si="250"/>
        <v>0</v>
      </c>
      <c r="BD433" s="2942">
        <f t="shared" si="251"/>
        <v>0</v>
      </c>
      <c r="BE433" s="2942">
        <f t="shared" si="252"/>
        <v>0</v>
      </c>
      <c r="BF433" s="2942">
        <f t="shared" si="253"/>
        <v>0</v>
      </c>
      <c r="BG433" s="2942">
        <f t="shared" si="254"/>
        <v>0</v>
      </c>
      <c r="BH433" s="2942">
        <f t="shared" si="255"/>
        <v>0</v>
      </c>
      <c r="BI433" s="2942">
        <f t="shared" si="256"/>
        <v>0</v>
      </c>
      <c r="BJ433" s="2942">
        <f t="shared" si="257"/>
        <v>0</v>
      </c>
      <c r="BK433" s="2942">
        <f t="shared" si="258"/>
        <v>0</v>
      </c>
      <c r="BL433" s="2942">
        <f t="shared" si="259"/>
        <v>0</v>
      </c>
      <c r="BM433" s="2942">
        <f t="shared" si="260"/>
        <v>0</v>
      </c>
      <c r="BN433" s="2942">
        <f t="shared" si="261"/>
        <v>0</v>
      </c>
      <c r="BO433" s="2942">
        <f t="shared" si="262"/>
        <v>0</v>
      </c>
      <c r="BP433" s="2942">
        <f t="shared" si="263"/>
        <v>0</v>
      </c>
      <c r="BQ433" s="2942">
        <f t="shared" si="264"/>
        <v>0</v>
      </c>
      <c r="BR433" s="2942">
        <f t="shared" si="265"/>
        <v>0</v>
      </c>
      <c r="BS433" s="2942">
        <f t="shared" si="266"/>
        <v>0</v>
      </c>
      <c r="BT433" s="2994">
        <f t="shared" si="267"/>
        <v>0</v>
      </c>
    </row>
    <row r="434" spans="1:72">
      <c r="A434" s="2939"/>
      <c r="B434" s="2940"/>
      <c r="C434" s="2940"/>
      <c r="D434" s="2941"/>
      <c r="E434" s="2942">
        <f t="shared" si="239"/>
        <v>0</v>
      </c>
      <c r="F434" s="2943"/>
      <c r="G434" s="2944">
        <f t="shared" si="240"/>
        <v>0</v>
      </c>
      <c r="H434" s="2945">
        <f t="shared" si="241"/>
        <v>0</v>
      </c>
      <c r="I434" s="2952"/>
      <c r="J434" s="2952"/>
      <c r="K434" s="2952"/>
      <c r="L434" s="2952"/>
      <c r="M434" s="2952"/>
      <c r="N434" s="2952"/>
      <c r="O434" s="2952"/>
      <c r="P434" s="2952"/>
      <c r="Q434" s="2952"/>
      <c r="R434" s="2952"/>
      <c r="S434" s="2952"/>
      <c r="T434" s="2952"/>
      <c r="U434" s="2952"/>
      <c r="V434" s="2952"/>
      <c r="W434" s="2952"/>
      <c r="X434" s="2952"/>
      <c r="Y434" s="2952"/>
      <c r="Z434" s="2952"/>
      <c r="AA434" s="2952"/>
      <c r="AB434" s="2952"/>
      <c r="AC434" s="2942">
        <f t="shared" si="242"/>
        <v>0</v>
      </c>
      <c r="AD434" s="2962"/>
      <c r="AE434" s="2962"/>
      <c r="AF434" s="2962"/>
      <c r="AG434" s="2962"/>
      <c r="AH434" s="2962"/>
      <c r="AI434" s="2962"/>
      <c r="AJ434" s="2962"/>
      <c r="AK434" s="2962"/>
      <c r="AL434" s="2962"/>
      <c r="AM434" s="2962"/>
      <c r="AN434" s="2962"/>
      <c r="AO434" s="2962"/>
      <c r="AP434" s="2962"/>
      <c r="AQ434" s="2962"/>
      <c r="AR434" s="2962"/>
      <c r="AS434" s="2962"/>
      <c r="AT434" s="2972"/>
      <c r="AU434" s="2973"/>
      <c r="AV434" s="1120">
        <f t="shared" si="243"/>
        <v>0</v>
      </c>
      <c r="AW434" s="1120">
        <f t="shared" si="244"/>
        <v>0</v>
      </c>
      <c r="AX434" s="1120">
        <f t="shared" si="245"/>
        <v>0</v>
      </c>
      <c r="AY434" s="2987">
        <f t="shared" si="246"/>
        <v>0</v>
      </c>
      <c r="AZ434" s="2942">
        <f t="shared" si="247"/>
        <v>0</v>
      </c>
      <c r="BA434" s="2942">
        <f t="shared" si="248"/>
        <v>0</v>
      </c>
      <c r="BB434" s="2942">
        <f t="shared" si="249"/>
        <v>0</v>
      </c>
      <c r="BC434" s="2942">
        <f t="shared" si="250"/>
        <v>0</v>
      </c>
      <c r="BD434" s="2942">
        <f t="shared" si="251"/>
        <v>0</v>
      </c>
      <c r="BE434" s="2942">
        <f t="shared" si="252"/>
        <v>0</v>
      </c>
      <c r="BF434" s="2942">
        <f t="shared" si="253"/>
        <v>0</v>
      </c>
      <c r="BG434" s="2942">
        <f t="shared" si="254"/>
        <v>0</v>
      </c>
      <c r="BH434" s="2942">
        <f t="shared" si="255"/>
        <v>0</v>
      </c>
      <c r="BI434" s="2942">
        <f t="shared" si="256"/>
        <v>0</v>
      </c>
      <c r="BJ434" s="2942">
        <f t="shared" si="257"/>
        <v>0</v>
      </c>
      <c r="BK434" s="2942">
        <f t="shared" si="258"/>
        <v>0</v>
      </c>
      <c r="BL434" s="2942">
        <f t="shared" si="259"/>
        <v>0</v>
      </c>
      <c r="BM434" s="2942">
        <f t="shared" si="260"/>
        <v>0</v>
      </c>
      <c r="BN434" s="2942">
        <f t="shared" si="261"/>
        <v>0</v>
      </c>
      <c r="BO434" s="2942">
        <f t="shared" si="262"/>
        <v>0</v>
      </c>
      <c r="BP434" s="2942">
        <f t="shared" si="263"/>
        <v>0</v>
      </c>
      <c r="BQ434" s="2942">
        <f t="shared" si="264"/>
        <v>0</v>
      </c>
      <c r="BR434" s="2942">
        <f t="shared" si="265"/>
        <v>0</v>
      </c>
      <c r="BS434" s="2942">
        <f t="shared" si="266"/>
        <v>0</v>
      </c>
      <c r="BT434" s="2994">
        <f t="shared" si="267"/>
        <v>0</v>
      </c>
    </row>
    <row r="435" spans="1:72">
      <c r="A435" s="2939"/>
      <c r="B435" s="2940"/>
      <c r="C435" s="2940"/>
      <c r="D435" s="2941"/>
      <c r="E435" s="2942">
        <f t="shared" si="239"/>
        <v>0</v>
      </c>
      <c r="F435" s="2943"/>
      <c r="G435" s="2944">
        <f t="shared" si="240"/>
        <v>0</v>
      </c>
      <c r="H435" s="2945">
        <f t="shared" si="241"/>
        <v>0</v>
      </c>
      <c r="I435" s="2952"/>
      <c r="J435" s="2952"/>
      <c r="K435" s="2952"/>
      <c r="L435" s="2952"/>
      <c r="M435" s="2952"/>
      <c r="N435" s="2952"/>
      <c r="O435" s="2952"/>
      <c r="P435" s="2952"/>
      <c r="Q435" s="2952"/>
      <c r="R435" s="2952"/>
      <c r="S435" s="2952"/>
      <c r="T435" s="2952"/>
      <c r="U435" s="2952"/>
      <c r="V435" s="2952"/>
      <c r="W435" s="2952"/>
      <c r="X435" s="2952"/>
      <c r="Y435" s="2952"/>
      <c r="Z435" s="2952"/>
      <c r="AA435" s="2952"/>
      <c r="AB435" s="2952"/>
      <c r="AC435" s="2942">
        <f t="shared" si="242"/>
        <v>0</v>
      </c>
      <c r="AD435" s="2962"/>
      <c r="AE435" s="2962"/>
      <c r="AF435" s="2962"/>
      <c r="AG435" s="2962"/>
      <c r="AH435" s="2962"/>
      <c r="AI435" s="2962"/>
      <c r="AJ435" s="2962"/>
      <c r="AK435" s="2962"/>
      <c r="AL435" s="2962"/>
      <c r="AM435" s="2962"/>
      <c r="AN435" s="2962"/>
      <c r="AO435" s="2962"/>
      <c r="AP435" s="2962"/>
      <c r="AQ435" s="2962"/>
      <c r="AR435" s="2962"/>
      <c r="AS435" s="2962"/>
      <c r="AT435" s="2972"/>
      <c r="AU435" s="2973"/>
      <c r="AV435" s="1120">
        <f t="shared" si="243"/>
        <v>0</v>
      </c>
      <c r="AW435" s="1120">
        <f t="shared" si="244"/>
        <v>0</v>
      </c>
      <c r="AX435" s="1120">
        <f t="shared" si="245"/>
        <v>0</v>
      </c>
      <c r="AY435" s="2987">
        <f t="shared" si="246"/>
        <v>0</v>
      </c>
      <c r="AZ435" s="2942">
        <f t="shared" si="247"/>
        <v>0</v>
      </c>
      <c r="BA435" s="2942">
        <f t="shared" si="248"/>
        <v>0</v>
      </c>
      <c r="BB435" s="2942">
        <f t="shared" si="249"/>
        <v>0</v>
      </c>
      <c r="BC435" s="2942">
        <f t="shared" si="250"/>
        <v>0</v>
      </c>
      <c r="BD435" s="2942">
        <f t="shared" si="251"/>
        <v>0</v>
      </c>
      <c r="BE435" s="2942">
        <f t="shared" si="252"/>
        <v>0</v>
      </c>
      <c r="BF435" s="2942">
        <f t="shared" si="253"/>
        <v>0</v>
      </c>
      <c r="BG435" s="2942">
        <f t="shared" si="254"/>
        <v>0</v>
      </c>
      <c r="BH435" s="2942">
        <f t="shared" si="255"/>
        <v>0</v>
      </c>
      <c r="BI435" s="2942">
        <f t="shared" si="256"/>
        <v>0</v>
      </c>
      <c r="BJ435" s="2942">
        <f t="shared" si="257"/>
        <v>0</v>
      </c>
      <c r="BK435" s="2942">
        <f t="shared" si="258"/>
        <v>0</v>
      </c>
      <c r="BL435" s="2942">
        <f t="shared" si="259"/>
        <v>0</v>
      </c>
      <c r="BM435" s="2942">
        <f t="shared" si="260"/>
        <v>0</v>
      </c>
      <c r="BN435" s="2942">
        <f t="shared" si="261"/>
        <v>0</v>
      </c>
      <c r="BO435" s="2942">
        <f t="shared" si="262"/>
        <v>0</v>
      </c>
      <c r="BP435" s="2942">
        <f t="shared" si="263"/>
        <v>0</v>
      </c>
      <c r="BQ435" s="2942">
        <f t="shared" si="264"/>
        <v>0</v>
      </c>
      <c r="BR435" s="2942">
        <f t="shared" si="265"/>
        <v>0</v>
      </c>
      <c r="BS435" s="2942">
        <f t="shared" si="266"/>
        <v>0</v>
      </c>
      <c r="BT435" s="2994">
        <f t="shared" si="267"/>
        <v>0</v>
      </c>
    </row>
    <row r="436" spans="1:72">
      <c r="A436" s="2939"/>
      <c r="B436" s="2940"/>
      <c r="C436" s="2940"/>
      <c r="D436" s="2941"/>
      <c r="E436" s="2942">
        <f t="shared" si="239"/>
        <v>0</v>
      </c>
      <c r="F436" s="2943"/>
      <c r="G436" s="2944">
        <f t="shared" si="240"/>
        <v>0</v>
      </c>
      <c r="H436" s="2945">
        <f t="shared" si="241"/>
        <v>0</v>
      </c>
      <c r="I436" s="2952"/>
      <c r="J436" s="2952"/>
      <c r="K436" s="2952"/>
      <c r="L436" s="2952"/>
      <c r="M436" s="2952"/>
      <c r="N436" s="2952"/>
      <c r="O436" s="2952"/>
      <c r="P436" s="2952"/>
      <c r="Q436" s="2952"/>
      <c r="R436" s="2952"/>
      <c r="S436" s="2952"/>
      <c r="T436" s="2952"/>
      <c r="U436" s="2952"/>
      <c r="V436" s="2952"/>
      <c r="W436" s="2952"/>
      <c r="X436" s="2952"/>
      <c r="Y436" s="2952"/>
      <c r="Z436" s="2952"/>
      <c r="AA436" s="2952"/>
      <c r="AB436" s="2952"/>
      <c r="AC436" s="2942">
        <f t="shared" si="242"/>
        <v>0</v>
      </c>
      <c r="AD436" s="2962"/>
      <c r="AE436" s="2962"/>
      <c r="AF436" s="2962"/>
      <c r="AG436" s="2962"/>
      <c r="AH436" s="2962"/>
      <c r="AI436" s="2962"/>
      <c r="AJ436" s="2962"/>
      <c r="AK436" s="2962"/>
      <c r="AL436" s="2962"/>
      <c r="AM436" s="2962"/>
      <c r="AN436" s="2962"/>
      <c r="AO436" s="2962"/>
      <c r="AP436" s="2962"/>
      <c r="AQ436" s="2962"/>
      <c r="AR436" s="2962"/>
      <c r="AS436" s="2962"/>
      <c r="AT436" s="2972"/>
      <c r="AU436" s="2973"/>
      <c r="AV436" s="1120">
        <f t="shared" si="243"/>
        <v>0</v>
      </c>
      <c r="AW436" s="1120">
        <f t="shared" si="244"/>
        <v>0</v>
      </c>
      <c r="AX436" s="1120">
        <f t="shared" si="245"/>
        <v>0</v>
      </c>
      <c r="AY436" s="2987">
        <f t="shared" si="246"/>
        <v>0</v>
      </c>
      <c r="AZ436" s="2942">
        <f t="shared" si="247"/>
        <v>0</v>
      </c>
      <c r="BA436" s="2942">
        <f t="shared" si="248"/>
        <v>0</v>
      </c>
      <c r="BB436" s="2942">
        <f t="shared" si="249"/>
        <v>0</v>
      </c>
      <c r="BC436" s="2942">
        <f t="shared" si="250"/>
        <v>0</v>
      </c>
      <c r="BD436" s="2942">
        <f t="shared" si="251"/>
        <v>0</v>
      </c>
      <c r="BE436" s="2942">
        <f t="shared" si="252"/>
        <v>0</v>
      </c>
      <c r="BF436" s="2942">
        <f t="shared" si="253"/>
        <v>0</v>
      </c>
      <c r="BG436" s="2942">
        <f t="shared" si="254"/>
        <v>0</v>
      </c>
      <c r="BH436" s="2942">
        <f t="shared" si="255"/>
        <v>0</v>
      </c>
      <c r="BI436" s="2942">
        <f t="shared" si="256"/>
        <v>0</v>
      </c>
      <c r="BJ436" s="2942">
        <f t="shared" si="257"/>
        <v>0</v>
      </c>
      <c r="BK436" s="2942">
        <f t="shared" si="258"/>
        <v>0</v>
      </c>
      <c r="BL436" s="2942">
        <f t="shared" si="259"/>
        <v>0</v>
      </c>
      <c r="BM436" s="2942">
        <f t="shared" si="260"/>
        <v>0</v>
      </c>
      <c r="BN436" s="2942">
        <f t="shared" si="261"/>
        <v>0</v>
      </c>
      <c r="BO436" s="2942">
        <f t="shared" si="262"/>
        <v>0</v>
      </c>
      <c r="BP436" s="2942">
        <f t="shared" si="263"/>
        <v>0</v>
      </c>
      <c r="BQ436" s="2942">
        <f t="shared" si="264"/>
        <v>0</v>
      </c>
      <c r="BR436" s="2942">
        <f t="shared" si="265"/>
        <v>0</v>
      </c>
      <c r="BS436" s="2942">
        <f t="shared" si="266"/>
        <v>0</v>
      </c>
      <c r="BT436" s="2994">
        <f t="shared" si="267"/>
        <v>0</v>
      </c>
    </row>
    <row r="437" spans="1:72">
      <c r="A437" s="2939"/>
      <c r="B437" s="2940"/>
      <c r="C437" s="2940"/>
      <c r="D437" s="2941"/>
      <c r="E437" s="2942">
        <f t="shared" si="239"/>
        <v>0</v>
      </c>
      <c r="F437" s="2943"/>
      <c r="G437" s="2944">
        <f t="shared" si="240"/>
        <v>0</v>
      </c>
      <c r="H437" s="2945">
        <f t="shared" si="241"/>
        <v>0</v>
      </c>
      <c r="I437" s="2952"/>
      <c r="J437" s="2952"/>
      <c r="K437" s="2952"/>
      <c r="L437" s="2952"/>
      <c r="M437" s="2952"/>
      <c r="N437" s="2952"/>
      <c r="O437" s="2952"/>
      <c r="P437" s="2952"/>
      <c r="Q437" s="2952"/>
      <c r="R437" s="2952"/>
      <c r="S437" s="2952"/>
      <c r="T437" s="2952"/>
      <c r="U437" s="2952"/>
      <c r="V437" s="2952"/>
      <c r="W437" s="2952"/>
      <c r="X437" s="2952"/>
      <c r="Y437" s="2952"/>
      <c r="Z437" s="2952"/>
      <c r="AA437" s="2952"/>
      <c r="AB437" s="2952"/>
      <c r="AC437" s="2942">
        <f t="shared" si="242"/>
        <v>0</v>
      </c>
      <c r="AD437" s="2962"/>
      <c r="AE437" s="2962"/>
      <c r="AF437" s="2962"/>
      <c r="AG437" s="2962"/>
      <c r="AH437" s="2962"/>
      <c r="AI437" s="2962"/>
      <c r="AJ437" s="2962"/>
      <c r="AK437" s="2962"/>
      <c r="AL437" s="2962"/>
      <c r="AM437" s="2962"/>
      <c r="AN437" s="2962"/>
      <c r="AO437" s="2962"/>
      <c r="AP437" s="2962"/>
      <c r="AQ437" s="2962"/>
      <c r="AR437" s="2962"/>
      <c r="AS437" s="2962"/>
      <c r="AT437" s="2972"/>
      <c r="AU437" s="2973"/>
      <c r="AV437" s="1120">
        <f t="shared" si="243"/>
        <v>0</v>
      </c>
      <c r="AW437" s="1120">
        <f t="shared" si="244"/>
        <v>0</v>
      </c>
      <c r="AX437" s="1120">
        <f t="shared" si="245"/>
        <v>0</v>
      </c>
      <c r="AY437" s="2987">
        <f t="shared" si="246"/>
        <v>0</v>
      </c>
      <c r="AZ437" s="2942">
        <f t="shared" si="247"/>
        <v>0</v>
      </c>
      <c r="BA437" s="2942">
        <f t="shared" si="248"/>
        <v>0</v>
      </c>
      <c r="BB437" s="2942">
        <f t="shared" si="249"/>
        <v>0</v>
      </c>
      <c r="BC437" s="2942">
        <f t="shared" si="250"/>
        <v>0</v>
      </c>
      <c r="BD437" s="2942">
        <f t="shared" si="251"/>
        <v>0</v>
      </c>
      <c r="BE437" s="2942">
        <f t="shared" si="252"/>
        <v>0</v>
      </c>
      <c r="BF437" s="2942">
        <f t="shared" si="253"/>
        <v>0</v>
      </c>
      <c r="BG437" s="2942">
        <f t="shared" si="254"/>
        <v>0</v>
      </c>
      <c r="BH437" s="2942">
        <f t="shared" si="255"/>
        <v>0</v>
      </c>
      <c r="BI437" s="2942">
        <f t="shared" si="256"/>
        <v>0</v>
      </c>
      <c r="BJ437" s="2942">
        <f t="shared" si="257"/>
        <v>0</v>
      </c>
      <c r="BK437" s="2942">
        <f t="shared" si="258"/>
        <v>0</v>
      </c>
      <c r="BL437" s="2942">
        <f t="shared" si="259"/>
        <v>0</v>
      </c>
      <c r="BM437" s="2942">
        <f t="shared" si="260"/>
        <v>0</v>
      </c>
      <c r="BN437" s="2942">
        <f t="shared" si="261"/>
        <v>0</v>
      </c>
      <c r="BO437" s="2942">
        <f t="shared" si="262"/>
        <v>0</v>
      </c>
      <c r="BP437" s="2942">
        <f t="shared" si="263"/>
        <v>0</v>
      </c>
      <c r="BQ437" s="2942">
        <f t="shared" si="264"/>
        <v>0</v>
      </c>
      <c r="BR437" s="2942">
        <f t="shared" si="265"/>
        <v>0</v>
      </c>
      <c r="BS437" s="2942">
        <f t="shared" si="266"/>
        <v>0</v>
      </c>
      <c r="BT437" s="2994">
        <f t="shared" si="267"/>
        <v>0</v>
      </c>
    </row>
    <row r="438" spans="1:72">
      <c r="A438" s="2939"/>
      <c r="B438" s="2940"/>
      <c r="C438" s="2940"/>
      <c r="D438" s="2941"/>
      <c r="E438" s="2942">
        <f t="shared" si="239"/>
        <v>0</v>
      </c>
      <c r="F438" s="2943"/>
      <c r="G438" s="2944">
        <f t="shared" si="240"/>
        <v>0</v>
      </c>
      <c r="H438" s="2945">
        <f t="shared" si="241"/>
        <v>0</v>
      </c>
      <c r="I438" s="2952"/>
      <c r="J438" s="2952"/>
      <c r="K438" s="2952"/>
      <c r="L438" s="2952"/>
      <c r="M438" s="2952"/>
      <c r="N438" s="2952"/>
      <c r="O438" s="2952"/>
      <c r="P438" s="2952"/>
      <c r="Q438" s="2952"/>
      <c r="R438" s="2952"/>
      <c r="S438" s="2952"/>
      <c r="T438" s="2952"/>
      <c r="U438" s="2952"/>
      <c r="V438" s="2952"/>
      <c r="W438" s="2952"/>
      <c r="X438" s="2952"/>
      <c r="Y438" s="2952"/>
      <c r="Z438" s="2952"/>
      <c r="AA438" s="2952"/>
      <c r="AB438" s="2952"/>
      <c r="AC438" s="2942">
        <f t="shared" si="242"/>
        <v>0</v>
      </c>
      <c r="AD438" s="2962"/>
      <c r="AE438" s="2962"/>
      <c r="AF438" s="2962"/>
      <c r="AG438" s="2962"/>
      <c r="AH438" s="2962"/>
      <c r="AI438" s="2962"/>
      <c r="AJ438" s="2962"/>
      <c r="AK438" s="2962"/>
      <c r="AL438" s="2962"/>
      <c r="AM438" s="2962"/>
      <c r="AN438" s="2962"/>
      <c r="AO438" s="2962"/>
      <c r="AP438" s="2962"/>
      <c r="AQ438" s="2962"/>
      <c r="AR438" s="2962"/>
      <c r="AS438" s="2962"/>
      <c r="AT438" s="2972"/>
      <c r="AU438" s="2973"/>
      <c r="AV438" s="1120">
        <f t="shared" si="243"/>
        <v>0</v>
      </c>
      <c r="AW438" s="1120">
        <f t="shared" si="244"/>
        <v>0</v>
      </c>
      <c r="AX438" s="1120">
        <f t="shared" si="245"/>
        <v>0</v>
      </c>
      <c r="AY438" s="2987">
        <f t="shared" si="246"/>
        <v>0</v>
      </c>
      <c r="AZ438" s="2942">
        <f t="shared" si="247"/>
        <v>0</v>
      </c>
      <c r="BA438" s="2942">
        <f t="shared" si="248"/>
        <v>0</v>
      </c>
      <c r="BB438" s="2942">
        <f t="shared" si="249"/>
        <v>0</v>
      </c>
      <c r="BC438" s="2942">
        <f t="shared" si="250"/>
        <v>0</v>
      </c>
      <c r="BD438" s="2942">
        <f t="shared" si="251"/>
        <v>0</v>
      </c>
      <c r="BE438" s="2942">
        <f t="shared" si="252"/>
        <v>0</v>
      </c>
      <c r="BF438" s="2942">
        <f t="shared" si="253"/>
        <v>0</v>
      </c>
      <c r="BG438" s="2942">
        <f t="shared" si="254"/>
        <v>0</v>
      </c>
      <c r="BH438" s="2942">
        <f t="shared" si="255"/>
        <v>0</v>
      </c>
      <c r="BI438" s="2942">
        <f t="shared" si="256"/>
        <v>0</v>
      </c>
      <c r="BJ438" s="2942">
        <f t="shared" si="257"/>
        <v>0</v>
      </c>
      <c r="BK438" s="2942">
        <f t="shared" si="258"/>
        <v>0</v>
      </c>
      <c r="BL438" s="2942">
        <f t="shared" si="259"/>
        <v>0</v>
      </c>
      <c r="BM438" s="2942">
        <f t="shared" si="260"/>
        <v>0</v>
      </c>
      <c r="BN438" s="2942">
        <f t="shared" si="261"/>
        <v>0</v>
      </c>
      <c r="BO438" s="2942">
        <f t="shared" si="262"/>
        <v>0</v>
      </c>
      <c r="BP438" s="2942">
        <f t="shared" si="263"/>
        <v>0</v>
      </c>
      <c r="BQ438" s="2942">
        <f t="shared" si="264"/>
        <v>0</v>
      </c>
      <c r="BR438" s="2942">
        <f t="shared" si="265"/>
        <v>0</v>
      </c>
      <c r="BS438" s="2942">
        <f t="shared" si="266"/>
        <v>0</v>
      </c>
      <c r="BT438" s="2994">
        <f t="shared" si="267"/>
        <v>0</v>
      </c>
    </row>
    <row r="439" spans="1:72">
      <c r="A439" s="2939"/>
      <c r="B439" s="2940"/>
      <c r="C439" s="2940"/>
      <c r="D439" s="2941"/>
      <c r="E439" s="2942">
        <f t="shared" si="239"/>
        <v>0</v>
      </c>
      <c r="F439" s="2943"/>
      <c r="G439" s="2944">
        <f t="shared" si="240"/>
        <v>0</v>
      </c>
      <c r="H439" s="2945">
        <f t="shared" si="241"/>
        <v>0</v>
      </c>
      <c r="I439" s="2952"/>
      <c r="J439" s="2952"/>
      <c r="K439" s="2952"/>
      <c r="L439" s="2952"/>
      <c r="M439" s="2952"/>
      <c r="N439" s="2952"/>
      <c r="O439" s="2952"/>
      <c r="P439" s="2952"/>
      <c r="Q439" s="2952"/>
      <c r="R439" s="2952"/>
      <c r="S439" s="2952"/>
      <c r="T439" s="2952"/>
      <c r="U439" s="2952"/>
      <c r="V439" s="2952"/>
      <c r="W439" s="2952"/>
      <c r="X439" s="2952"/>
      <c r="Y439" s="2952"/>
      <c r="Z439" s="2952"/>
      <c r="AA439" s="2952"/>
      <c r="AB439" s="2952"/>
      <c r="AC439" s="2942">
        <f t="shared" si="242"/>
        <v>0</v>
      </c>
      <c r="AD439" s="2962"/>
      <c r="AE439" s="2962"/>
      <c r="AF439" s="2962"/>
      <c r="AG439" s="2962"/>
      <c r="AH439" s="2962"/>
      <c r="AI439" s="2962"/>
      <c r="AJ439" s="2962"/>
      <c r="AK439" s="2962"/>
      <c r="AL439" s="2962"/>
      <c r="AM439" s="2962"/>
      <c r="AN439" s="2962"/>
      <c r="AO439" s="2962"/>
      <c r="AP439" s="2962"/>
      <c r="AQ439" s="2962"/>
      <c r="AR439" s="2962"/>
      <c r="AS439" s="2962"/>
      <c r="AT439" s="2972"/>
      <c r="AU439" s="2973"/>
      <c r="AV439" s="1120">
        <f t="shared" si="243"/>
        <v>0</v>
      </c>
      <c r="AW439" s="1120">
        <f t="shared" si="244"/>
        <v>0</v>
      </c>
      <c r="AX439" s="1120">
        <f t="shared" si="245"/>
        <v>0</v>
      </c>
      <c r="AY439" s="2987">
        <f t="shared" si="246"/>
        <v>0</v>
      </c>
      <c r="AZ439" s="2942">
        <f t="shared" si="247"/>
        <v>0</v>
      </c>
      <c r="BA439" s="2942">
        <f t="shared" si="248"/>
        <v>0</v>
      </c>
      <c r="BB439" s="2942">
        <f t="shared" si="249"/>
        <v>0</v>
      </c>
      <c r="BC439" s="2942">
        <f t="shared" si="250"/>
        <v>0</v>
      </c>
      <c r="BD439" s="2942">
        <f t="shared" si="251"/>
        <v>0</v>
      </c>
      <c r="BE439" s="2942">
        <f t="shared" si="252"/>
        <v>0</v>
      </c>
      <c r="BF439" s="2942">
        <f t="shared" si="253"/>
        <v>0</v>
      </c>
      <c r="BG439" s="2942">
        <f t="shared" si="254"/>
        <v>0</v>
      </c>
      <c r="BH439" s="2942">
        <f t="shared" si="255"/>
        <v>0</v>
      </c>
      <c r="BI439" s="2942">
        <f t="shared" si="256"/>
        <v>0</v>
      </c>
      <c r="BJ439" s="2942">
        <f t="shared" si="257"/>
        <v>0</v>
      </c>
      <c r="BK439" s="2942">
        <f t="shared" si="258"/>
        <v>0</v>
      </c>
      <c r="BL439" s="2942">
        <f t="shared" si="259"/>
        <v>0</v>
      </c>
      <c r="BM439" s="2942">
        <f t="shared" si="260"/>
        <v>0</v>
      </c>
      <c r="BN439" s="2942">
        <f t="shared" si="261"/>
        <v>0</v>
      </c>
      <c r="BO439" s="2942">
        <f t="shared" si="262"/>
        <v>0</v>
      </c>
      <c r="BP439" s="2942">
        <f t="shared" si="263"/>
        <v>0</v>
      </c>
      <c r="BQ439" s="2942">
        <f t="shared" si="264"/>
        <v>0</v>
      </c>
      <c r="BR439" s="2942">
        <f t="shared" si="265"/>
        <v>0</v>
      </c>
      <c r="BS439" s="2942">
        <f t="shared" si="266"/>
        <v>0</v>
      </c>
      <c r="BT439" s="2994">
        <f t="shared" si="267"/>
        <v>0</v>
      </c>
    </row>
    <row r="440" spans="1:72">
      <c r="A440" s="2939"/>
      <c r="B440" s="2940"/>
      <c r="C440" s="2940"/>
      <c r="D440" s="2941"/>
      <c r="E440" s="2942">
        <f t="shared" si="239"/>
        <v>0</v>
      </c>
      <c r="F440" s="2943"/>
      <c r="G440" s="2944">
        <f t="shared" si="240"/>
        <v>0</v>
      </c>
      <c r="H440" s="2945">
        <f t="shared" si="241"/>
        <v>0</v>
      </c>
      <c r="I440" s="2952"/>
      <c r="J440" s="2952"/>
      <c r="K440" s="2952"/>
      <c r="L440" s="2952"/>
      <c r="M440" s="2952"/>
      <c r="N440" s="2952"/>
      <c r="O440" s="2952"/>
      <c r="P440" s="2952"/>
      <c r="Q440" s="2952"/>
      <c r="R440" s="2952"/>
      <c r="S440" s="2952"/>
      <c r="T440" s="2952"/>
      <c r="U440" s="2952"/>
      <c r="V440" s="2952"/>
      <c r="W440" s="2952"/>
      <c r="X440" s="2952"/>
      <c r="Y440" s="2952"/>
      <c r="Z440" s="2952"/>
      <c r="AA440" s="2952"/>
      <c r="AB440" s="2952"/>
      <c r="AC440" s="2942">
        <f t="shared" si="242"/>
        <v>0</v>
      </c>
      <c r="AD440" s="2962"/>
      <c r="AE440" s="2962"/>
      <c r="AF440" s="2962"/>
      <c r="AG440" s="2962"/>
      <c r="AH440" s="2962"/>
      <c r="AI440" s="2962"/>
      <c r="AJ440" s="2962"/>
      <c r="AK440" s="2962"/>
      <c r="AL440" s="2962"/>
      <c r="AM440" s="2962"/>
      <c r="AN440" s="2962"/>
      <c r="AO440" s="2962"/>
      <c r="AP440" s="2962"/>
      <c r="AQ440" s="2962"/>
      <c r="AR440" s="2962"/>
      <c r="AS440" s="2962"/>
      <c r="AT440" s="2972"/>
      <c r="AU440" s="2973"/>
      <c r="AV440" s="1120">
        <f t="shared" si="243"/>
        <v>0</v>
      </c>
      <c r="AW440" s="1120">
        <f t="shared" si="244"/>
        <v>0</v>
      </c>
      <c r="AX440" s="1120">
        <f t="shared" si="245"/>
        <v>0</v>
      </c>
      <c r="AY440" s="2987">
        <f t="shared" si="246"/>
        <v>0</v>
      </c>
      <c r="AZ440" s="2942">
        <f t="shared" si="247"/>
        <v>0</v>
      </c>
      <c r="BA440" s="2942">
        <f t="shared" si="248"/>
        <v>0</v>
      </c>
      <c r="BB440" s="2942">
        <f t="shared" si="249"/>
        <v>0</v>
      </c>
      <c r="BC440" s="2942">
        <f t="shared" si="250"/>
        <v>0</v>
      </c>
      <c r="BD440" s="2942">
        <f t="shared" si="251"/>
        <v>0</v>
      </c>
      <c r="BE440" s="2942">
        <f t="shared" si="252"/>
        <v>0</v>
      </c>
      <c r="BF440" s="2942">
        <f t="shared" si="253"/>
        <v>0</v>
      </c>
      <c r="BG440" s="2942">
        <f t="shared" si="254"/>
        <v>0</v>
      </c>
      <c r="BH440" s="2942">
        <f t="shared" si="255"/>
        <v>0</v>
      </c>
      <c r="BI440" s="2942">
        <f t="shared" si="256"/>
        <v>0</v>
      </c>
      <c r="BJ440" s="2942">
        <f t="shared" si="257"/>
        <v>0</v>
      </c>
      <c r="BK440" s="2942">
        <f t="shared" si="258"/>
        <v>0</v>
      </c>
      <c r="BL440" s="2942">
        <f t="shared" si="259"/>
        <v>0</v>
      </c>
      <c r="BM440" s="2942">
        <f t="shared" si="260"/>
        <v>0</v>
      </c>
      <c r="BN440" s="2942">
        <f t="shared" si="261"/>
        <v>0</v>
      </c>
      <c r="BO440" s="2942">
        <f t="shared" si="262"/>
        <v>0</v>
      </c>
      <c r="BP440" s="2942">
        <f t="shared" si="263"/>
        <v>0</v>
      </c>
      <c r="BQ440" s="2942">
        <f t="shared" si="264"/>
        <v>0</v>
      </c>
      <c r="BR440" s="2942">
        <f t="shared" si="265"/>
        <v>0</v>
      </c>
      <c r="BS440" s="2942">
        <f t="shared" si="266"/>
        <v>0</v>
      </c>
      <c r="BT440" s="2994">
        <f t="shared" si="267"/>
        <v>0</v>
      </c>
    </row>
    <row r="441" spans="1:72">
      <c r="A441" s="2939"/>
      <c r="B441" s="2940"/>
      <c r="C441" s="2940"/>
      <c r="D441" s="2941"/>
      <c r="E441" s="2942">
        <f t="shared" si="239"/>
        <v>0</v>
      </c>
      <c r="F441" s="2943"/>
      <c r="G441" s="2944">
        <f t="shared" si="240"/>
        <v>0</v>
      </c>
      <c r="H441" s="2945">
        <f t="shared" si="241"/>
        <v>0</v>
      </c>
      <c r="I441" s="2952"/>
      <c r="J441" s="2952"/>
      <c r="K441" s="2952"/>
      <c r="L441" s="2952"/>
      <c r="M441" s="2952"/>
      <c r="N441" s="2952"/>
      <c r="O441" s="2952"/>
      <c r="P441" s="2952"/>
      <c r="Q441" s="2952"/>
      <c r="R441" s="2952"/>
      <c r="S441" s="2952"/>
      <c r="T441" s="2952"/>
      <c r="U441" s="2952"/>
      <c r="V441" s="2952"/>
      <c r="W441" s="2952"/>
      <c r="X441" s="2952"/>
      <c r="Y441" s="2952"/>
      <c r="Z441" s="2952"/>
      <c r="AA441" s="2952"/>
      <c r="AB441" s="2952"/>
      <c r="AC441" s="2942">
        <f t="shared" si="242"/>
        <v>0</v>
      </c>
      <c r="AD441" s="2962"/>
      <c r="AE441" s="2962"/>
      <c r="AF441" s="2962"/>
      <c r="AG441" s="2962"/>
      <c r="AH441" s="2962"/>
      <c r="AI441" s="2962"/>
      <c r="AJ441" s="2962"/>
      <c r="AK441" s="2962"/>
      <c r="AL441" s="2962"/>
      <c r="AM441" s="2962"/>
      <c r="AN441" s="2962"/>
      <c r="AO441" s="2962"/>
      <c r="AP441" s="2962"/>
      <c r="AQ441" s="2962"/>
      <c r="AR441" s="2962"/>
      <c r="AS441" s="2962"/>
      <c r="AT441" s="2972"/>
      <c r="AU441" s="2973"/>
      <c r="AV441" s="1120">
        <f t="shared" si="243"/>
        <v>0</v>
      </c>
      <c r="AW441" s="1120">
        <f t="shared" si="244"/>
        <v>0</v>
      </c>
      <c r="AX441" s="1120">
        <f t="shared" si="245"/>
        <v>0</v>
      </c>
      <c r="AY441" s="2987">
        <f t="shared" si="246"/>
        <v>0</v>
      </c>
      <c r="AZ441" s="2942">
        <f t="shared" si="247"/>
        <v>0</v>
      </c>
      <c r="BA441" s="2942">
        <f t="shared" si="248"/>
        <v>0</v>
      </c>
      <c r="BB441" s="2942">
        <f t="shared" si="249"/>
        <v>0</v>
      </c>
      <c r="BC441" s="2942">
        <f t="shared" si="250"/>
        <v>0</v>
      </c>
      <c r="BD441" s="2942">
        <f t="shared" si="251"/>
        <v>0</v>
      </c>
      <c r="BE441" s="2942">
        <f t="shared" si="252"/>
        <v>0</v>
      </c>
      <c r="BF441" s="2942">
        <f t="shared" si="253"/>
        <v>0</v>
      </c>
      <c r="BG441" s="2942">
        <f t="shared" si="254"/>
        <v>0</v>
      </c>
      <c r="BH441" s="2942">
        <f t="shared" si="255"/>
        <v>0</v>
      </c>
      <c r="BI441" s="2942">
        <f t="shared" si="256"/>
        <v>0</v>
      </c>
      <c r="BJ441" s="2942">
        <f t="shared" si="257"/>
        <v>0</v>
      </c>
      <c r="BK441" s="2942">
        <f t="shared" si="258"/>
        <v>0</v>
      </c>
      <c r="BL441" s="2942">
        <f t="shared" si="259"/>
        <v>0</v>
      </c>
      <c r="BM441" s="2942">
        <f t="shared" si="260"/>
        <v>0</v>
      </c>
      <c r="BN441" s="2942">
        <f t="shared" si="261"/>
        <v>0</v>
      </c>
      <c r="BO441" s="2942">
        <f t="shared" si="262"/>
        <v>0</v>
      </c>
      <c r="BP441" s="2942">
        <f t="shared" si="263"/>
        <v>0</v>
      </c>
      <c r="BQ441" s="2942">
        <f t="shared" si="264"/>
        <v>0</v>
      </c>
      <c r="BR441" s="2942">
        <f t="shared" si="265"/>
        <v>0</v>
      </c>
      <c r="BS441" s="2942">
        <f t="shared" si="266"/>
        <v>0</v>
      </c>
      <c r="BT441" s="2994">
        <f t="shared" si="267"/>
        <v>0</v>
      </c>
    </row>
    <row r="442" spans="1:72">
      <c r="A442" s="2939"/>
      <c r="B442" s="2940"/>
      <c r="C442" s="2940"/>
      <c r="D442" s="2941"/>
      <c r="E442" s="2942">
        <f t="shared" si="239"/>
        <v>0</v>
      </c>
      <c r="F442" s="2943"/>
      <c r="G442" s="2944">
        <f t="shared" si="240"/>
        <v>0</v>
      </c>
      <c r="H442" s="2945">
        <f t="shared" si="241"/>
        <v>0</v>
      </c>
      <c r="I442" s="2952"/>
      <c r="J442" s="2952"/>
      <c r="K442" s="2952"/>
      <c r="L442" s="2952"/>
      <c r="M442" s="2952"/>
      <c r="N442" s="2952"/>
      <c r="O442" s="2952"/>
      <c r="P442" s="2952"/>
      <c r="Q442" s="2952"/>
      <c r="R442" s="2952"/>
      <c r="S442" s="2952"/>
      <c r="T442" s="2952"/>
      <c r="U442" s="2952"/>
      <c r="V442" s="2952"/>
      <c r="W442" s="2952"/>
      <c r="X442" s="2952"/>
      <c r="Y442" s="2952"/>
      <c r="Z442" s="2952"/>
      <c r="AA442" s="2952"/>
      <c r="AB442" s="2952"/>
      <c r="AC442" s="2942">
        <f t="shared" si="242"/>
        <v>0</v>
      </c>
      <c r="AD442" s="2962"/>
      <c r="AE442" s="2962"/>
      <c r="AF442" s="2962"/>
      <c r="AG442" s="2962"/>
      <c r="AH442" s="2962"/>
      <c r="AI442" s="2962"/>
      <c r="AJ442" s="2962"/>
      <c r="AK442" s="2962"/>
      <c r="AL442" s="2962"/>
      <c r="AM442" s="2962"/>
      <c r="AN442" s="2962"/>
      <c r="AO442" s="2962"/>
      <c r="AP442" s="2962"/>
      <c r="AQ442" s="2962"/>
      <c r="AR442" s="2962"/>
      <c r="AS442" s="2962"/>
      <c r="AT442" s="2972"/>
      <c r="AU442" s="2973"/>
      <c r="AV442" s="1120">
        <f t="shared" si="243"/>
        <v>0</v>
      </c>
      <c r="AW442" s="1120">
        <f t="shared" si="244"/>
        <v>0</v>
      </c>
      <c r="AX442" s="1120">
        <f t="shared" si="245"/>
        <v>0</v>
      </c>
      <c r="AY442" s="2987">
        <f t="shared" si="246"/>
        <v>0</v>
      </c>
      <c r="AZ442" s="2942">
        <f t="shared" si="247"/>
        <v>0</v>
      </c>
      <c r="BA442" s="2942">
        <f t="shared" si="248"/>
        <v>0</v>
      </c>
      <c r="BB442" s="2942">
        <f t="shared" si="249"/>
        <v>0</v>
      </c>
      <c r="BC442" s="2942">
        <f t="shared" si="250"/>
        <v>0</v>
      </c>
      <c r="BD442" s="2942">
        <f t="shared" si="251"/>
        <v>0</v>
      </c>
      <c r="BE442" s="2942">
        <f t="shared" si="252"/>
        <v>0</v>
      </c>
      <c r="BF442" s="2942">
        <f t="shared" si="253"/>
        <v>0</v>
      </c>
      <c r="BG442" s="2942">
        <f t="shared" si="254"/>
        <v>0</v>
      </c>
      <c r="BH442" s="2942">
        <f t="shared" si="255"/>
        <v>0</v>
      </c>
      <c r="BI442" s="2942">
        <f t="shared" si="256"/>
        <v>0</v>
      </c>
      <c r="BJ442" s="2942">
        <f t="shared" si="257"/>
        <v>0</v>
      </c>
      <c r="BK442" s="2942">
        <f t="shared" si="258"/>
        <v>0</v>
      </c>
      <c r="BL442" s="2942">
        <f t="shared" si="259"/>
        <v>0</v>
      </c>
      <c r="BM442" s="2942">
        <f t="shared" si="260"/>
        <v>0</v>
      </c>
      <c r="BN442" s="2942">
        <f t="shared" si="261"/>
        <v>0</v>
      </c>
      <c r="BO442" s="2942">
        <f t="shared" si="262"/>
        <v>0</v>
      </c>
      <c r="BP442" s="2942">
        <f t="shared" si="263"/>
        <v>0</v>
      </c>
      <c r="BQ442" s="2942">
        <f t="shared" si="264"/>
        <v>0</v>
      </c>
      <c r="BR442" s="2942">
        <f t="shared" si="265"/>
        <v>0</v>
      </c>
      <c r="BS442" s="2942">
        <f t="shared" si="266"/>
        <v>0</v>
      </c>
      <c r="BT442" s="2994">
        <f t="shared" si="267"/>
        <v>0</v>
      </c>
    </row>
    <row r="443" spans="1:72">
      <c r="A443" s="2939"/>
      <c r="B443" s="2940"/>
      <c r="C443" s="2940"/>
      <c r="D443" s="2941"/>
      <c r="E443" s="2942">
        <f t="shared" si="239"/>
        <v>0</v>
      </c>
      <c r="F443" s="2943"/>
      <c r="G443" s="2944">
        <f t="shared" si="240"/>
        <v>0</v>
      </c>
      <c r="H443" s="2945">
        <f t="shared" si="241"/>
        <v>0</v>
      </c>
      <c r="I443" s="2952"/>
      <c r="J443" s="2952"/>
      <c r="K443" s="2952"/>
      <c r="L443" s="2952"/>
      <c r="M443" s="2952"/>
      <c r="N443" s="2952"/>
      <c r="O443" s="2952"/>
      <c r="P443" s="2952"/>
      <c r="Q443" s="2952"/>
      <c r="R443" s="2952"/>
      <c r="S443" s="2952"/>
      <c r="T443" s="2952"/>
      <c r="U443" s="2952"/>
      <c r="V443" s="2952"/>
      <c r="W443" s="2952"/>
      <c r="X443" s="2952"/>
      <c r="Y443" s="2952"/>
      <c r="Z443" s="2952"/>
      <c r="AA443" s="2952"/>
      <c r="AB443" s="2952"/>
      <c r="AC443" s="2942">
        <f t="shared" si="242"/>
        <v>0</v>
      </c>
      <c r="AD443" s="2962"/>
      <c r="AE443" s="2962"/>
      <c r="AF443" s="2962"/>
      <c r="AG443" s="2962"/>
      <c r="AH443" s="2962"/>
      <c r="AI443" s="2962"/>
      <c r="AJ443" s="2962"/>
      <c r="AK443" s="2962"/>
      <c r="AL443" s="2962"/>
      <c r="AM443" s="2962"/>
      <c r="AN443" s="2962"/>
      <c r="AO443" s="2962"/>
      <c r="AP443" s="2962"/>
      <c r="AQ443" s="2962"/>
      <c r="AR443" s="2962"/>
      <c r="AS443" s="2962"/>
      <c r="AT443" s="2972"/>
      <c r="AU443" s="2973"/>
      <c r="AV443" s="1120">
        <f t="shared" si="243"/>
        <v>0</v>
      </c>
      <c r="AW443" s="1120">
        <f t="shared" si="244"/>
        <v>0</v>
      </c>
      <c r="AX443" s="1120">
        <f t="shared" si="245"/>
        <v>0</v>
      </c>
      <c r="AY443" s="2987">
        <f t="shared" si="246"/>
        <v>0</v>
      </c>
      <c r="AZ443" s="2942">
        <f t="shared" si="247"/>
        <v>0</v>
      </c>
      <c r="BA443" s="2942">
        <f t="shared" si="248"/>
        <v>0</v>
      </c>
      <c r="BB443" s="2942">
        <f t="shared" si="249"/>
        <v>0</v>
      </c>
      <c r="BC443" s="2942">
        <f t="shared" si="250"/>
        <v>0</v>
      </c>
      <c r="BD443" s="2942">
        <f t="shared" si="251"/>
        <v>0</v>
      </c>
      <c r="BE443" s="2942">
        <f t="shared" si="252"/>
        <v>0</v>
      </c>
      <c r="BF443" s="2942">
        <f t="shared" si="253"/>
        <v>0</v>
      </c>
      <c r="BG443" s="2942">
        <f t="shared" si="254"/>
        <v>0</v>
      </c>
      <c r="BH443" s="2942">
        <f t="shared" si="255"/>
        <v>0</v>
      </c>
      <c r="BI443" s="2942">
        <f t="shared" si="256"/>
        <v>0</v>
      </c>
      <c r="BJ443" s="2942">
        <f t="shared" si="257"/>
        <v>0</v>
      </c>
      <c r="BK443" s="2942">
        <f t="shared" si="258"/>
        <v>0</v>
      </c>
      <c r="BL443" s="2942">
        <f t="shared" si="259"/>
        <v>0</v>
      </c>
      <c r="BM443" s="2942">
        <f t="shared" si="260"/>
        <v>0</v>
      </c>
      <c r="BN443" s="2942">
        <f t="shared" si="261"/>
        <v>0</v>
      </c>
      <c r="BO443" s="2942">
        <f t="shared" si="262"/>
        <v>0</v>
      </c>
      <c r="BP443" s="2942">
        <f t="shared" si="263"/>
        <v>0</v>
      </c>
      <c r="BQ443" s="2942">
        <f t="shared" si="264"/>
        <v>0</v>
      </c>
      <c r="BR443" s="2942">
        <f t="shared" si="265"/>
        <v>0</v>
      </c>
      <c r="BS443" s="2942">
        <f t="shared" si="266"/>
        <v>0</v>
      </c>
      <c r="BT443" s="2994">
        <f t="shared" si="267"/>
        <v>0</v>
      </c>
    </row>
    <row r="444" spans="1:72">
      <c r="A444" s="2939"/>
      <c r="B444" s="2940"/>
      <c r="C444" s="2940"/>
      <c r="D444" s="2941"/>
      <c r="E444" s="2942">
        <f t="shared" si="239"/>
        <v>0</v>
      </c>
      <c r="F444" s="2943"/>
      <c r="G444" s="2944">
        <f t="shared" si="240"/>
        <v>0</v>
      </c>
      <c r="H444" s="2945">
        <f t="shared" si="241"/>
        <v>0</v>
      </c>
      <c r="I444" s="2952"/>
      <c r="J444" s="2952"/>
      <c r="K444" s="2952"/>
      <c r="L444" s="2952"/>
      <c r="M444" s="2952"/>
      <c r="N444" s="2952"/>
      <c r="O444" s="2952"/>
      <c r="P444" s="2952"/>
      <c r="Q444" s="2952"/>
      <c r="R444" s="2952"/>
      <c r="S444" s="2952"/>
      <c r="T444" s="2952"/>
      <c r="U444" s="2952"/>
      <c r="V444" s="2952"/>
      <c r="W444" s="2952"/>
      <c r="X444" s="2952"/>
      <c r="Y444" s="2952"/>
      <c r="Z444" s="2952"/>
      <c r="AA444" s="2952"/>
      <c r="AB444" s="2952"/>
      <c r="AC444" s="2942">
        <f t="shared" si="242"/>
        <v>0</v>
      </c>
      <c r="AD444" s="2962"/>
      <c r="AE444" s="2962"/>
      <c r="AF444" s="2962"/>
      <c r="AG444" s="2962"/>
      <c r="AH444" s="2962"/>
      <c r="AI444" s="2962"/>
      <c r="AJ444" s="2962"/>
      <c r="AK444" s="2962"/>
      <c r="AL444" s="2962"/>
      <c r="AM444" s="2962"/>
      <c r="AN444" s="2962"/>
      <c r="AO444" s="2962"/>
      <c r="AP444" s="2962"/>
      <c r="AQ444" s="2962"/>
      <c r="AR444" s="2962"/>
      <c r="AS444" s="2962"/>
      <c r="AT444" s="2972"/>
      <c r="AU444" s="2973"/>
      <c r="AV444" s="1120">
        <f t="shared" si="243"/>
        <v>0</v>
      </c>
      <c r="AW444" s="1120">
        <f t="shared" si="244"/>
        <v>0</v>
      </c>
      <c r="AX444" s="1120">
        <f t="shared" si="245"/>
        <v>0</v>
      </c>
      <c r="AY444" s="2987">
        <f t="shared" si="246"/>
        <v>0</v>
      </c>
      <c r="AZ444" s="2942">
        <f t="shared" si="247"/>
        <v>0</v>
      </c>
      <c r="BA444" s="2942">
        <f t="shared" si="248"/>
        <v>0</v>
      </c>
      <c r="BB444" s="2942">
        <f t="shared" si="249"/>
        <v>0</v>
      </c>
      <c r="BC444" s="2942">
        <f t="shared" si="250"/>
        <v>0</v>
      </c>
      <c r="BD444" s="2942">
        <f t="shared" si="251"/>
        <v>0</v>
      </c>
      <c r="BE444" s="2942">
        <f t="shared" si="252"/>
        <v>0</v>
      </c>
      <c r="BF444" s="2942">
        <f t="shared" si="253"/>
        <v>0</v>
      </c>
      <c r="BG444" s="2942">
        <f t="shared" si="254"/>
        <v>0</v>
      </c>
      <c r="BH444" s="2942">
        <f t="shared" si="255"/>
        <v>0</v>
      </c>
      <c r="BI444" s="2942">
        <f t="shared" si="256"/>
        <v>0</v>
      </c>
      <c r="BJ444" s="2942">
        <f t="shared" si="257"/>
        <v>0</v>
      </c>
      <c r="BK444" s="2942">
        <f t="shared" si="258"/>
        <v>0</v>
      </c>
      <c r="BL444" s="2942">
        <f t="shared" si="259"/>
        <v>0</v>
      </c>
      <c r="BM444" s="2942">
        <f t="shared" si="260"/>
        <v>0</v>
      </c>
      <c r="BN444" s="2942">
        <f t="shared" si="261"/>
        <v>0</v>
      </c>
      <c r="BO444" s="2942">
        <f t="shared" si="262"/>
        <v>0</v>
      </c>
      <c r="BP444" s="2942">
        <f t="shared" si="263"/>
        <v>0</v>
      </c>
      <c r="BQ444" s="2942">
        <f t="shared" si="264"/>
        <v>0</v>
      </c>
      <c r="BR444" s="2942">
        <f t="shared" si="265"/>
        <v>0</v>
      </c>
      <c r="BS444" s="2942">
        <f t="shared" si="266"/>
        <v>0</v>
      </c>
      <c r="BT444" s="2994">
        <f t="shared" si="267"/>
        <v>0</v>
      </c>
    </row>
    <row r="445" spans="1:72">
      <c r="A445" s="2939"/>
      <c r="B445" s="2940"/>
      <c r="C445" s="2940"/>
      <c r="D445" s="2941"/>
      <c r="E445" s="2942">
        <f t="shared" si="239"/>
        <v>0</v>
      </c>
      <c r="F445" s="2943"/>
      <c r="G445" s="2944">
        <f t="shared" si="240"/>
        <v>0</v>
      </c>
      <c r="H445" s="2945">
        <f t="shared" si="241"/>
        <v>0</v>
      </c>
      <c r="I445" s="2952"/>
      <c r="J445" s="2952"/>
      <c r="K445" s="2952"/>
      <c r="L445" s="2952"/>
      <c r="M445" s="2952"/>
      <c r="N445" s="2952"/>
      <c r="O445" s="2952"/>
      <c r="P445" s="2952"/>
      <c r="Q445" s="2952"/>
      <c r="R445" s="2952"/>
      <c r="S445" s="2952"/>
      <c r="T445" s="2952"/>
      <c r="U445" s="2952"/>
      <c r="V445" s="2952"/>
      <c r="W445" s="2952"/>
      <c r="X445" s="2952"/>
      <c r="Y445" s="2952"/>
      <c r="Z445" s="2952"/>
      <c r="AA445" s="2952"/>
      <c r="AB445" s="2952"/>
      <c r="AC445" s="2942">
        <f t="shared" si="242"/>
        <v>0</v>
      </c>
      <c r="AD445" s="2962"/>
      <c r="AE445" s="2962"/>
      <c r="AF445" s="2962"/>
      <c r="AG445" s="2962"/>
      <c r="AH445" s="2962"/>
      <c r="AI445" s="2962"/>
      <c r="AJ445" s="2962"/>
      <c r="AK445" s="2962"/>
      <c r="AL445" s="2962"/>
      <c r="AM445" s="2962"/>
      <c r="AN445" s="2962"/>
      <c r="AO445" s="2962"/>
      <c r="AP445" s="2962"/>
      <c r="AQ445" s="2962"/>
      <c r="AR445" s="2962"/>
      <c r="AS445" s="2962"/>
      <c r="AT445" s="2972"/>
      <c r="AU445" s="2973"/>
      <c r="AV445" s="1120">
        <f t="shared" si="243"/>
        <v>0</v>
      </c>
      <c r="AW445" s="1120">
        <f t="shared" si="244"/>
        <v>0</v>
      </c>
      <c r="AX445" s="1120">
        <f t="shared" si="245"/>
        <v>0</v>
      </c>
      <c r="AY445" s="2987">
        <f t="shared" si="246"/>
        <v>0</v>
      </c>
      <c r="AZ445" s="2942">
        <f t="shared" si="247"/>
        <v>0</v>
      </c>
      <c r="BA445" s="2942">
        <f t="shared" si="248"/>
        <v>0</v>
      </c>
      <c r="BB445" s="2942">
        <f t="shared" si="249"/>
        <v>0</v>
      </c>
      <c r="BC445" s="2942">
        <f t="shared" si="250"/>
        <v>0</v>
      </c>
      <c r="BD445" s="2942">
        <f t="shared" si="251"/>
        <v>0</v>
      </c>
      <c r="BE445" s="2942">
        <f t="shared" si="252"/>
        <v>0</v>
      </c>
      <c r="BF445" s="2942">
        <f t="shared" si="253"/>
        <v>0</v>
      </c>
      <c r="BG445" s="2942">
        <f t="shared" si="254"/>
        <v>0</v>
      </c>
      <c r="BH445" s="2942">
        <f t="shared" si="255"/>
        <v>0</v>
      </c>
      <c r="BI445" s="2942">
        <f t="shared" si="256"/>
        <v>0</v>
      </c>
      <c r="BJ445" s="2942">
        <f t="shared" si="257"/>
        <v>0</v>
      </c>
      <c r="BK445" s="2942">
        <f t="shared" si="258"/>
        <v>0</v>
      </c>
      <c r="BL445" s="2942">
        <f t="shared" si="259"/>
        <v>0</v>
      </c>
      <c r="BM445" s="2942">
        <f t="shared" si="260"/>
        <v>0</v>
      </c>
      <c r="BN445" s="2942">
        <f t="shared" si="261"/>
        <v>0</v>
      </c>
      <c r="BO445" s="2942">
        <f t="shared" si="262"/>
        <v>0</v>
      </c>
      <c r="BP445" s="2942">
        <f t="shared" si="263"/>
        <v>0</v>
      </c>
      <c r="BQ445" s="2942">
        <f t="shared" si="264"/>
        <v>0</v>
      </c>
      <c r="BR445" s="2942">
        <f t="shared" si="265"/>
        <v>0</v>
      </c>
      <c r="BS445" s="2942">
        <f t="shared" si="266"/>
        <v>0</v>
      </c>
      <c r="BT445" s="2994">
        <f t="shared" si="267"/>
        <v>0</v>
      </c>
    </row>
    <row r="446" spans="1:72">
      <c r="A446" s="2939"/>
      <c r="B446" s="2940"/>
      <c r="C446" s="2940"/>
      <c r="D446" s="2941"/>
      <c r="E446" s="2942">
        <f t="shared" si="239"/>
        <v>0</v>
      </c>
      <c r="F446" s="2943"/>
      <c r="G446" s="2944">
        <f t="shared" si="240"/>
        <v>0</v>
      </c>
      <c r="H446" s="2945">
        <f t="shared" si="241"/>
        <v>0</v>
      </c>
      <c r="I446" s="2952"/>
      <c r="J446" s="2952"/>
      <c r="K446" s="2952"/>
      <c r="L446" s="2952"/>
      <c r="M446" s="2952"/>
      <c r="N446" s="2952"/>
      <c r="O446" s="2952"/>
      <c r="P446" s="2952"/>
      <c r="Q446" s="2952"/>
      <c r="R446" s="2952"/>
      <c r="S446" s="2952"/>
      <c r="T446" s="2952"/>
      <c r="U446" s="2952"/>
      <c r="V446" s="2952"/>
      <c r="W446" s="2952"/>
      <c r="X446" s="2952"/>
      <c r="Y446" s="2952"/>
      <c r="Z446" s="2952"/>
      <c r="AA446" s="2952"/>
      <c r="AB446" s="2952"/>
      <c r="AC446" s="2942">
        <f t="shared" si="242"/>
        <v>0</v>
      </c>
      <c r="AD446" s="2962"/>
      <c r="AE446" s="2962"/>
      <c r="AF446" s="2962"/>
      <c r="AG446" s="2962"/>
      <c r="AH446" s="2962"/>
      <c r="AI446" s="2962"/>
      <c r="AJ446" s="2962"/>
      <c r="AK446" s="2962"/>
      <c r="AL446" s="2962"/>
      <c r="AM446" s="2962"/>
      <c r="AN446" s="2962"/>
      <c r="AO446" s="2962"/>
      <c r="AP446" s="2962"/>
      <c r="AQ446" s="2962"/>
      <c r="AR446" s="2962"/>
      <c r="AS446" s="2962"/>
      <c r="AT446" s="2972"/>
      <c r="AU446" s="2973"/>
      <c r="AV446" s="1120">
        <f t="shared" si="243"/>
        <v>0</v>
      </c>
      <c r="AW446" s="1120">
        <f t="shared" si="244"/>
        <v>0</v>
      </c>
      <c r="AX446" s="1120">
        <f t="shared" si="245"/>
        <v>0</v>
      </c>
      <c r="AY446" s="2987">
        <f t="shared" si="246"/>
        <v>0</v>
      </c>
      <c r="AZ446" s="2942">
        <f t="shared" si="247"/>
        <v>0</v>
      </c>
      <c r="BA446" s="2942">
        <f t="shared" si="248"/>
        <v>0</v>
      </c>
      <c r="BB446" s="2942">
        <f t="shared" si="249"/>
        <v>0</v>
      </c>
      <c r="BC446" s="2942">
        <f t="shared" si="250"/>
        <v>0</v>
      </c>
      <c r="BD446" s="2942">
        <f t="shared" si="251"/>
        <v>0</v>
      </c>
      <c r="BE446" s="2942">
        <f t="shared" si="252"/>
        <v>0</v>
      </c>
      <c r="BF446" s="2942">
        <f t="shared" si="253"/>
        <v>0</v>
      </c>
      <c r="BG446" s="2942">
        <f t="shared" si="254"/>
        <v>0</v>
      </c>
      <c r="BH446" s="2942">
        <f t="shared" si="255"/>
        <v>0</v>
      </c>
      <c r="BI446" s="2942">
        <f t="shared" si="256"/>
        <v>0</v>
      </c>
      <c r="BJ446" s="2942">
        <f t="shared" si="257"/>
        <v>0</v>
      </c>
      <c r="BK446" s="2942">
        <f t="shared" si="258"/>
        <v>0</v>
      </c>
      <c r="BL446" s="2942">
        <f t="shared" si="259"/>
        <v>0</v>
      </c>
      <c r="BM446" s="2942">
        <f t="shared" si="260"/>
        <v>0</v>
      </c>
      <c r="BN446" s="2942">
        <f t="shared" si="261"/>
        <v>0</v>
      </c>
      <c r="BO446" s="2942">
        <f t="shared" si="262"/>
        <v>0</v>
      </c>
      <c r="BP446" s="2942">
        <f t="shared" si="263"/>
        <v>0</v>
      </c>
      <c r="BQ446" s="2942">
        <f t="shared" si="264"/>
        <v>0</v>
      </c>
      <c r="BR446" s="2942">
        <f t="shared" si="265"/>
        <v>0</v>
      </c>
      <c r="BS446" s="2942">
        <f t="shared" si="266"/>
        <v>0</v>
      </c>
      <c r="BT446" s="2994">
        <f t="shared" si="267"/>
        <v>0</v>
      </c>
    </row>
    <row r="447" spans="1:72">
      <c r="A447" s="2939"/>
      <c r="B447" s="2940"/>
      <c r="C447" s="2940"/>
      <c r="D447" s="2941"/>
      <c r="E447" s="2942">
        <f t="shared" si="239"/>
        <v>0</v>
      </c>
      <c r="F447" s="2943"/>
      <c r="G447" s="2944">
        <f t="shared" si="240"/>
        <v>0</v>
      </c>
      <c r="H447" s="2945">
        <f t="shared" si="241"/>
        <v>0</v>
      </c>
      <c r="I447" s="2952"/>
      <c r="J447" s="2952"/>
      <c r="K447" s="2952"/>
      <c r="L447" s="2952"/>
      <c r="M447" s="2952"/>
      <c r="N447" s="2952"/>
      <c r="O447" s="2952"/>
      <c r="P447" s="2952"/>
      <c r="Q447" s="2952"/>
      <c r="R447" s="2952"/>
      <c r="S447" s="2952"/>
      <c r="T447" s="2952"/>
      <c r="U447" s="2952"/>
      <c r="V447" s="2952"/>
      <c r="W447" s="2952"/>
      <c r="X447" s="2952"/>
      <c r="Y447" s="2952"/>
      <c r="Z447" s="2952"/>
      <c r="AA447" s="2952"/>
      <c r="AB447" s="2952"/>
      <c r="AC447" s="2942">
        <f t="shared" si="242"/>
        <v>0</v>
      </c>
      <c r="AD447" s="2962"/>
      <c r="AE447" s="2962"/>
      <c r="AF447" s="2962"/>
      <c r="AG447" s="2962"/>
      <c r="AH447" s="2962"/>
      <c r="AI447" s="2962"/>
      <c r="AJ447" s="2962"/>
      <c r="AK447" s="2962"/>
      <c r="AL447" s="2962"/>
      <c r="AM447" s="2962"/>
      <c r="AN447" s="2962"/>
      <c r="AO447" s="2962"/>
      <c r="AP447" s="2962"/>
      <c r="AQ447" s="2962"/>
      <c r="AR447" s="2962"/>
      <c r="AS447" s="2962"/>
      <c r="AT447" s="2972"/>
      <c r="AU447" s="2973"/>
      <c r="AV447" s="1120">
        <f t="shared" si="243"/>
        <v>0</v>
      </c>
      <c r="AW447" s="1120">
        <f t="shared" si="244"/>
        <v>0</v>
      </c>
      <c r="AX447" s="1120">
        <f t="shared" si="245"/>
        <v>0</v>
      </c>
      <c r="AY447" s="2987">
        <f t="shared" si="246"/>
        <v>0</v>
      </c>
      <c r="AZ447" s="2942">
        <f t="shared" si="247"/>
        <v>0</v>
      </c>
      <c r="BA447" s="2942">
        <f t="shared" si="248"/>
        <v>0</v>
      </c>
      <c r="BB447" s="2942">
        <f t="shared" si="249"/>
        <v>0</v>
      </c>
      <c r="BC447" s="2942">
        <f t="shared" si="250"/>
        <v>0</v>
      </c>
      <c r="BD447" s="2942">
        <f t="shared" si="251"/>
        <v>0</v>
      </c>
      <c r="BE447" s="2942">
        <f t="shared" si="252"/>
        <v>0</v>
      </c>
      <c r="BF447" s="2942">
        <f t="shared" si="253"/>
        <v>0</v>
      </c>
      <c r="BG447" s="2942">
        <f t="shared" si="254"/>
        <v>0</v>
      </c>
      <c r="BH447" s="2942">
        <f t="shared" si="255"/>
        <v>0</v>
      </c>
      <c r="BI447" s="2942">
        <f t="shared" si="256"/>
        <v>0</v>
      </c>
      <c r="BJ447" s="2942">
        <f t="shared" si="257"/>
        <v>0</v>
      </c>
      <c r="BK447" s="2942">
        <f t="shared" si="258"/>
        <v>0</v>
      </c>
      <c r="BL447" s="2942">
        <f t="shared" si="259"/>
        <v>0</v>
      </c>
      <c r="BM447" s="2942">
        <f t="shared" si="260"/>
        <v>0</v>
      </c>
      <c r="BN447" s="2942">
        <f t="shared" si="261"/>
        <v>0</v>
      </c>
      <c r="BO447" s="2942">
        <f t="shared" si="262"/>
        <v>0</v>
      </c>
      <c r="BP447" s="2942">
        <f t="shared" si="263"/>
        <v>0</v>
      </c>
      <c r="BQ447" s="2942">
        <f t="shared" si="264"/>
        <v>0</v>
      </c>
      <c r="BR447" s="2942">
        <f t="shared" si="265"/>
        <v>0</v>
      </c>
      <c r="BS447" s="2942">
        <f t="shared" si="266"/>
        <v>0</v>
      </c>
      <c r="BT447" s="2994">
        <f t="shared" si="267"/>
        <v>0</v>
      </c>
    </row>
    <row r="448" spans="1:72">
      <c r="A448" s="2939"/>
      <c r="B448" s="2940"/>
      <c r="C448" s="2940"/>
      <c r="D448" s="2941"/>
      <c r="E448" s="2942">
        <f t="shared" si="239"/>
        <v>0</v>
      </c>
      <c r="F448" s="2943"/>
      <c r="G448" s="2944">
        <f t="shared" si="240"/>
        <v>0</v>
      </c>
      <c r="H448" s="2945">
        <f t="shared" si="241"/>
        <v>0</v>
      </c>
      <c r="I448" s="2952"/>
      <c r="J448" s="2952"/>
      <c r="K448" s="2952"/>
      <c r="L448" s="2952"/>
      <c r="M448" s="2952"/>
      <c r="N448" s="2952"/>
      <c r="O448" s="2952"/>
      <c r="P448" s="2952"/>
      <c r="Q448" s="2952"/>
      <c r="R448" s="2952"/>
      <c r="S448" s="2952"/>
      <c r="T448" s="2952"/>
      <c r="U448" s="2952"/>
      <c r="V448" s="2952"/>
      <c r="W448" s="2952"/>
      <c r="X448" s="2952"/>
      <c r="Y448" s="2952"/>
      <c r="Z448" s="2952"/>
      <c r="AA448" s="2952"/>
      <c r="AB448" s="2952"/>
      <c r="AC448" s="2942">
        <f t="shared" si="242"/>
        <v>0</v>
      </c>
      <c r="AD448" s="2962"/>
      <c r="AE448" s="2962"/>
      <c r="AF448" s="2962"/>
      <c r="AG448" s="2962"/>
      <c r="AH448" s="2962"/>
      <c r="AI448" s="2962"/>
      <c r="AJ448" s="2962"/>
      <c r="AK448" s="2962"/>
      <c r="AL448" s="2962"/>
      <c r="AM448" s="2962"/>
      <c r="AN448" s="2962"/>
      <c r="AO448" s="2962"/>
      <c r="AP448" s="2962"/>
      <c r="AQ448" s="2962"/>
      <c r="AR448" s="2962"/>
      <c r="AS448" s="2962"/>
      <c r="AT448" s="2972"/>
      <c r="AU448" s="2973"/>
      <c r="AV448" s="1120">
        <f t="shared" si="243"/>
        <v>0</v>
      </c>
      <c r="AW448" s="1120">
        <f t="shared" si="244"/>
        <v>0</v>
      </c>
      <c r="AX448" s="1120">
        <f t="shared" si="245"/>
        <v>0</v>
      </c>
      <c r="AY448" s="2987">
        <f t="shared" si="246"/>
        <v>0</v>
      </c>
      <c r="AZ448" s="2942">
        <f t="shared" si="247"/>
        <v>0</v>
      </c>
      <c r="BA448" s="2942">
        <f t="shared" si="248"/>
        <v>0</v>
      </c>
      <c r="BB448" s="2942">
        <f t="shared" si="249"/>
        <v>0</v>
      </c>
      <c r="BC448" s="2942">
        <f t="shared" si="250"/>
        <v>0</v>
      </c>
      <c r="BD448" s="2942">
        <f t="shared" si="251"/>
        <v>0</v>
      </c>
      <c r="BE448" s="2942">
        <f t="shared" si="252"/>
        <v>0</v>
      </c>
      <c r="BF448" s="2942">
        <f t="shared" si="253"/>
        <v>0</v>
      </c>
      <c r="BG448" s="2942">
        <f t="shared" si="254"/>
        <v>0</v>
      </c>
      <c r="BH448" s="2942">
        <f t="shared" si="255"/>
        <v>0</v>
      </c>
      <c r="BI448" s="2942">
        <f t="shared" si="256"/>
        <v>0</v>
      </c>
      <c r="BJ448" s="2942">
        <f t="shared" si="257"/>
        <v>0</v>
      </c>
      <c r="BK448" s="2942">
        <f t="shared" si="258"/>
        <v>0</v>
      </c>
      <c r="BL448" s="2942">
        <f t="shared" si="259"/>
        <v>0</v>
      </c>
      <c r="BM448" s="2942">
        <f t="shared" si="260"/>
        <v>0</v>
      </c>
      <c r="BN448" s="2942">
        <f t="shared" si="261"/>
        <v>0</v>
      </c>
      <c r="BO448" s="2942">
        <f t="shared" si="262"/>
        <v>0</v>
      </c>
      <c r="BP448" s="2942">
        <f t="shared" si="263"/>
        <v>0</v>
      </c>
      <c r="BQ448" s="2942">
        <f t="shared" si="264"/>
        <v>0</v>
      </c>
      <c r="BR448" s="2942">
        <f t="shared" si="265"/>
        <v>0</v>
      </c>
      <c r="BS448" s="2942">
        <f t="shared" si="266"/>
        <v>0</v>
      </c>
      <c r="BT448" s="2994">
        <f t="shared" si="267"/>
        <v>0</v>
      </c>
    </row>
    <row r="449" spans="1:72">
      <c r="A449" s="2939"/>
      <c r="B449" s="2940"/>
      <c r="C449" s="2940"/>
      <c r="D449" s="2941"/>
      <c r="E449" s="2942">
        <f t="shared" si="239"/>
        <v>0</v>
      </c>
      <c r="F449" s="2943"/>
      <c r="G449" s="2944">
        <f t="shared" si="240"/>
        <v>0</v>
      </c>
      <c r="H449" s="2945">
        <f t="shared" si="241"/>
        <v>0</v>
      </c>
      <c r="I449" s="2952"/>
      <c r="J449" s="2952"/>
      <c r="K449" s="2952"/>
      <c r="L449" s="2952"/>
      <c r="M449" s="2952"/>
      <c r="N449" s="2952"/>
      <c r="O449" s="2952"/>
      <c r="P449" s="2952"/>
      <c r="Q449" s="2952"/>
      <c r="R449" s="2952"/>
      <c r="S449" s="2952"/>
      <c r="T449" s="2952"/>
      <c r="U449" s="2952"/>
      <c r="V449" s="2952"/>
      <c r="W449" s="2952"/>
      <c r="X449" s="2952"/>
      <c r="Y449" s="2952"/>
      <c r="Z449" s="2952"/>
      <c r="AA449" s="2952"/>
      <c r="AB449" s="2952"/>
      <c r="AC449" s="2942">
        <f t="shared" si="242"/>
        <v>0</v>
      </c>
      <c r="AD449" s="2962"/>
      <c r="AE449" s="2962"/>
      <c r="AF449" s="2962"/>
      <c r="AG449" s="2962"/>
      <c r="AH449" s="2962"/>
      <c r="AI449" s="2962"/>
      <c r="AJ449" s="2962"/>
      <c r="AK449" s="2962"/>
      <c r="AL449" s="2962"/>
      <c r="AM449" s="2962"/>
      <c r="AN449" s="2962"/>
      <c r="AO449" s="2962"/>
      <c r="AP449" s="2962"/>
      <c r="AQ449" s="2962"/>
      <c r="AR449" s="2962"/>
      <c r="AS449" s="2962"/>
      <c r="AT449" s="2972"/>
      <c r="AU449" s="2973"/>
      <c r="AV449" s="1120">
        <f t="shared" si="243"/>
        <v>0</v>
      </c>
      <c r="AW449" s="1120">
        <f t="shared" si="244"/>
        <v>0</v>
      </c>
      <c r="AX449" s="1120">
        <f t="shared" si="245"/>
        <v>0</v>
      </c>
      <c r="AY449" s="2987">
        <f t="shared" si="246"/>
        <v>0</v>
      </c>
      <c r="AZ449" s="2942">
        <f t="shared" si="247"/>
        <v>0</v>
      </c>
      <c r="BA449" s="2942">
        <f t="shared" si="248"/>
        <v>0</v>
      </c>
      <c r="BB449" s="2942">
        <f t="shared" si="249"/>
        <v>0</v>
      </c>
      <c r="BC449" s="2942">
        <f t="shared" si="250"/>
        <v>0</v>
      </c>
      <c r="BD449" s="2942">
        <f t="shared" si="251"/>
        <v>0</v>
      </c>
      <c r="BE449" s="2942">
        <f t="shared" si="252"/>
        <v>0</v>
      </c>
      <c r="BF449" s="2942">
        <f t="shared" si="253"/>
        <v>0</v>
      </c>
      <c r="BG449" s="2942">
        <f t="shared" si="254"/>
        <v>0</v>
      </c>
      <c r="BH449" s="2942">
        <f t="shared" si="255"/>
        <v>0</v>
      </c>
      <c r="BI449" s="2942">
        <f t="shared" si="256"/>
        <v>0</v>
      </c>
      <c r="BJ449" s="2942">
        <f t="shared" si="257"/>
        <v>0</v>
      </c>
      <c r="BK449" s="2942">
        <f t="shared" si="258"/>
        <v>0</v>
      </c>
      <c r="BL449" s="2942">
        <f t="shared" si="259"/>
        <v>0</v>
      </c>
      <c r="BM449" s="2942">
        <f t="shared" si="260"/>
        <v>0</v>
      </c>
      <c r="BN449" s="2942">
        <f t="shared" si="261"/>
        <v>0</v>
      </c>
      <c r="BO449" s="2942">
        <f t="shared" si="262"/>
        <v>0</v>
      </c>
      <c r="BP449" s="2942">
        <f t="shared" si="263"/>
        <v>0</v>
      </c>
      <c r="BQ449" s="2942">
        <f t="shared" si="264"/>
        <v>0</v>
      </c>
      <c r="BR449" s="2942">
        <f t="shared" si="265"/>
        <v>0</v>
      </c>
      <c r="BS449" s="2942">
        <f t="shared" si="266"/>
        <v>0</v>
      </c>
      <c r="BT449" s="2994">
        <f t="shared" si="267"/>
        <v>0</v>
      </c>
    </row>
    <row r="450" spans="1:72">
      <c r="A450" s="2939"/>
      <c r="B450" s="2940"/>
      <c r="C450" s="2940"/>
      <c r="D450" s="2941"/>
      <c r="E450" s="2942">
        <f t="shared" si="239"/>
        <v>0</v>
      </c>
      <c r="F450" s="2943"/>
      <c r="G450" s="2944">
        <f t="shared" si="240"/>
        <v>0</v>
      </c>
      <c r="H450" s="2945">
        <f t="shared" si="241"/>
        <v>0</v>
      </c>
      <c r="I450" s="2952"/>
      <c r="J450" s="2952"/>
      <c r="K450" s="2952"/>
      <c r="L450" s="2952"/>
      <c r="M450" s="2952"/>
      <c r="N450" s="2952"/>
      <c r="O450" s="2952"/>
      <c r="P450" s="2952"/>
      <c r="Q450" s="2952"/>
      <c r="R450" s="2952"/>
      <c r="S450" s="2952"/>
      <c r="T450" s="2952"/>
      <c r="U450" s="2952"/>
      <c r="V450" s="2952"/>
      <c r="W450" s="2952"/>
      <c r="X450" s="2952"/>
      <c r="Y450" s="2952"/>
      <c r="Z450" s="2952"/>
      <c r="AA450" s="2952"/>
      <c r="AB450" s="2952"/>
      <c r="AC450" s="2942">
        <f t="shared" si="242"/>
        <v>0</v>
      </c>
      <c r="AD450" s="2962"/>
      <c r="AE450" s="2962"/>
      <c r="AF450" s="2962"/>
      <c r="AG450" s="2962"/>
      <c r="AH450" s="2962"/>
      <c r="AI450" s="2962"/>
      <c r="AJ450" s="2962"/>
      <c r="AK450" s="2962"/>
      <c r="AL450" s="2962"/>
      <c r="AM450" s="2962"/>
      <c r="AN450" s="2962"/>
      <c r="AO450" s="2962"/>
      <c r="AP450" s="2962"/>
      <c r="AQ450" s="2962"/>
      <c r="AR450" s="2962"/>
      <c r="AS450" s="2962"/>
      <c r="AT450" s="2972"/>
      <c r="AU450" s="2973"/>
      <c r="AV450" s="1120">
        <f t="shared" si="243"/>
        <v>0</v>
      </c>
      <c r="AW450" s="1120">
        <f t="shared" si="244"/>
        <v>0</v>
      </c>
      <c r="AX450" s="1120">
        <f t="shared" si="245"/>
        <v>0</v>
      </c>
      <c r="AY450" s="2987">
        <f t="shared" si="246"/>
        <v>0</v>
      </c>
      <c r="AZ450" s="2942">
        <f t="shared" si="247"/>
        <v>0</v>
      </c>
      <c r="BA450" s="2942">
        <f t="shared" si="248"/>
        <v>0</v>
      </c>
      <c r="BB450" s="2942">
        <f t="shared" si="249"/>
        <v>0</v>
      </c>
      <c r="BC450" s="2942">
        <f t="shared" si="250"/>
        <v>0</v>
      </c>
      <c r="BD450" s="2942">
        <f t="shared" si="251"/>
        <v>0</v>
      </c>
      <c r="BE450" s="2942">
        <f t="shared" si="252"/>
        <v>0</v>
      </c>
      <c r="BF450" s="2942">
        <f t="shared" si="253"/>
        <v>0</v>
      </c>
      <c r="BG450" s="2942">
        <f t="shared" si="254"/>
        <v>0</v>
      </c>
      <c r="BH450" s="2942">
        <f t="shared" si="255"/>
        <v>0</v>
      </c>
      <c r="BI450" s="2942">
        <f t="shared" si="256"/>
        <v>0</v>
      </c>
      <c r="BJ450" s="2942">
        <f t="shared" si="257"/>
        <v>0</v>
      </c>
      <c r="BK450" s="2942">
        <f t="shared" si="258"/>
        <v>0</v>
      </c>
      <c r="BL450" s="2942">
        <f t="shared" si="259"/>
        <v>0</v>
      </c>
      <c r="BM450" s="2942">
        <f t="shared" si="260"/>
        <v>0</v>
      </c>
      <c r="BN450" s="2942">
        <f t="shared" si="261"/>
        <v>0</v>
      </c>
      <c r="BO450" s="2942">
        <f t="shared" si="262"/>
        <v>0</v>
      </c>
      <c r="BP450" s="2942">
        <f t="shared" si="263"/>
        <v>0</v>
      </c>
      <c r="BQ450" s="2942">
        <f t="shared" si="264"/>
        <v>0</v>
      </c>
      <c r="BR450" s="2942">
        <f t="shared" si="265"/>
        <v>0</v>
      </c>
      <c r="BS450" s="2942">
        <f t="shared" si="266"/>
        <v>0</v>
      </c>
      <c r="BT450" s="2994">
        <f t="shared" si="267"/>
        <v>0</v>
      </c>
    </row>
    <row r="451" spans="1:72">
      <c r="A451" s="2939"/>
      <c r="B451" s="2940"/>
      <c r="C451" s="2940"/>
      <c r="D451" s="2941"/>
      <c r="E451" s="2942">
        <f t="shared" si="239"/>
        <v>0</v>
      </c>
      <c r="F451" s="2943"/>
      <c r="G451" s="2944">
        <f t="shared" si="240"/>
        <v>0</v>
      </c>
      <c r="H451" s="2945">
        <f t="shared" si="241"/>
        <v>0</v>
      </c>
      <c r="I451" s="2952"/>
      <c r="J451" s="2952"/>
      <c r="K451" s="2952"/>
      <c r="L451" s="2952"/>
      <c r="M451" s="2952"/>
      <c r="N451" s="2952"/>
      <c r="O451" s="2952"/>
      <c r="P451" s="2952"/>
      <c r="Q451" s="2952"/>
      <c r="R451" s="2952"/>
      <c r="S451" s="2952"/>
      <c r="T451" s="2952"/>
      <c r="U451" s="2952"/>
      <c r="V451" s="2952"/>
      <c r="W451" s="2952"/>
      <c r="X451" s="2952"/>
      <c r="Y451" s="2952"/>
      <c r="Z451" s="2952"/>
      <c r="AA451" s="2952"/>
      <c r="AB451" s="2952"/>
      <c r="AC451" s="2942">
        <f t="shared" si="242"/>
        <v>0</v>
      </c>
      <c r="AD451" s="2962"/>
      <c r="AE451" s="2962"/>
      <c r="AF451" s="2962"/>
      <c r="AG451" s="2962"/>
      <c r="AH451" s="2962"/>
      <c r="AI451" s="2962"/>
      <c r="AJ451" s="2962"/>
      <c r="AK451" s="2962"/>
      <c r="AL451" s="2962"/>
      <c r="AM451" s="2962"/>
      <c r="AN451" s="2962"/>
      <c r="AO451" s="2962"/>
      <c r="AP451" s="2962"/>
      <c r="AQ451" s="2962"/>
      <c r="AR451" s="2962"/>
      <c r="AS451" s="2962"/>
      <c r="AT451" s="2972"/>
      <c r="AU451" s="2973"/>
      <c r="AV451" s="1120">
        <f t="shared" si="243"/>
        <v>0</v>
      </c>
      <c r="AW451" s="1120">
        <f t="shared" si="244"/>
        <v>0</v>
      </c>
      <c r="AX451" s="1120">
        <f t="shared" si="245"/>
        <v>0</v>
      </c>
      <c r="AY451" s="2987">
        <f t="shared" si="246"/>
        <v>0</v>
      </c>
      <c r="AZ451" s="2942">
        <f t="shared" si="247"/>
        <v>0</v>
      </c>
      <c r="BA451" s="2942">
        <f t="shared" si="248"/>
        <v>0</v>
      </c>
      <c r="BB451" s="2942">
        <f t="shared" si="249"/>
        <v>0</v>
      </c>
      <c r="BC451" s="2942">
        <f t="shared" si="250"/>
        <v>0</v>
      </c>
      <c r="BD451" s="2942">
        <f t="shared" si="251"/>
        <v>0</v>
      </c>
      <c r="BE451" s="2942">
        <f t="shared" si="252"/>
        <v>0</v>
      </c>
      <c r="BF451" s="2942">
        <f t="shared" si="253"/>
        <v>0</v>
      </c>
      <c r="BG451" s="2942">
        <f t="shared" si="254"/>
        <v>0</v>
      </c>
      <c r="BH451" s="2942">
        <f t="shared" si="255"/>
        <v>0</v>
      </c>
      <c r="BI451" s="2942">
        <f t="shared" si="256"/>
        <v>0</v>
      </c>
      <c r="BJ451" s="2942">
        <f t="shared" si="257"/>
        <v>0</v>
      </c>
      <c r="BK451" s="2942">
        <f t="shared" si="258"/>
        <v>0</v>
      </c>
      <c r="BL451" s="2942">
        <f t="shared" si="259"/>
        <v>0</v>
      </c>
      <c r="BM451" s="2942">
        <f t="shared" si="260"/>
        <v>0</v>
      </c>
      <c r="BN451" s="2942">
        <f t="shared" si="261"/>
        <v>0</v>
      </c>
      <c r="BO451" s="2942">
        <f t="shared" si="262"/>
        <v>0</v>
      </c>
      <c r="BP451" s="2942">
        <f t="shared" si="263"/>
        <v>0</v>
      </c>
      <c r="BQ451" s="2942">
        <f t="shared" si="264"/>
        <v>0</v>
      </c>
      <c r="BR451" s="2942">
        <f t="shared" si="265"/>
        <v>0</v>
      </c>
      <c r="BS451" s="2942">
        <f t="shared" si="266"/>
        <v>0</v>
      </c>
      <c r="BT451" s="2994">
        <f t="shared" si="267"/>
        <v>0</v>
      </c>
    </row>
    <row r="452" spans="1:72">
      <c r="A452" s="2939"/>
      <c r="B452" s="2940"/>
      <c r="C452" s="2940"/>
      <c r="D452" s="2941"/>
      <c r="E452" s="2942">
        <f t="shared" si="239"/>
        <v>0</v>
      </c>
      <c r="F452" s="2943"/>
      <c r="G452" s="2944">
        <f t="shared" si="240"/>
        <v>0</v>
      </c>
      <c r="H452" s="2945">
        <f t="shared" si="241"/>
        <v>0</v>
      </c>
      <c r="I452" s="2952"/>
      <c r="J452" s="2952"/>
      <c r="K452" s="2952"/>
      <c r="L452" s="2952"/>
      <c r="M452" s="2952"/>
      <c r="N452" s="2952"/>
      <c r="O452" s="2952"/>
      <c r="P452" s="2952"/>
      <c r="Q452" s="2952"/>
      <c r="R452" s="2952"/>
      <c r="S452" s="2952"/>
      <c r="T452" s="2952"/>
      <c r="U452" s="2952"/>
      <c r="V452" s="2952"/>
      <c r="W452" s="2952"/>
      <c r="X452" s="2952"/>
      <c r="Y452" s="2952"/>
      <c r="Z452" s="2952"/>
      <c r="AA452" s="2952"/>
      <c r="AB452" s="2952"/>
      <c r="AC452" s="2942">
        <f t="shared" si="242"/>
        <v>0</v>
      </c>
      <c r="AD452" s="2962"/>
      <c r="AE452" s="2962"/>
      <c r="AF452" s="2962"/>
      <c r="AG452" s="2962"/>
      <c r="AH452" s="2962"/>
      <c r="AI452" s="2962"/>
      <c r="AJ452" s="2962"/>
      <c r="AK452" s="2962"/>
      <c r="AL452" s="2962"/>
      <c r="AM452" s="2962"/>
      <c r="AN452" s="2962"/>
      <c r="AO452" s="2962"/>
      <c r="AP452" s="2962"/>
      <c r="AQ452" s="2962"/>
      <c r="AR452" s="2962"/>
      <c r="AS452" s="2962"/>
      <c r="AT452" s="2972"/>
      <c r="AU452" s="2973"/>
      <c r="AV452" s="1120">
        <f t="shared" si="243"/>
        <v>0</v>
      </c>
      <c r="AW452" s="1120">
        <f t="shared" si="244"/>
        <v>0</v>
      </c>
      <c r="AX452" s="1120">
        <f t="shared" si="245"/>
        <v>0</v>
      </c>
      <c r="AY452" s="2987">
        <f t="shared" si="246"/>
        <v>0</v>
      </c>
      <c r="AZ452" s="2942">
        <f t="shared" si="247"/>
        <v>0</v>
      </c>
      <c r="BA452" s="2942">
        <f t="shared" si="248"/>
        <v>0</v>
      </c>
      <c r="BB452" s="2942">
        <f t="shared" si="249"/>
        <v>0</v>
      </c>
      <c r="BC452" s="2942">
        <f t="shared" si="250"/>
        <v>0</v>
      </c>
      <c r="BD452" s="2942">
        <f t="shared" si="251"/>
        <v>0</v>
      </c>
      <c r="BE452" s="2942">
        <f t="shared" si="252"/>
        <v>0</v>
      </c>
      <c r="BF452" s="2942">
        <f t="shared" si="253"/>
        <v>0</v>
      </c>
      <c r="BG452" s="2942">
        <f t="shared" si="254"/>
        <v>0</v>
      </c>
      <c r="BH452" s="2942">
        <f t="shared" si="255"/>
        <v>0</v>
      </c>
      <c r="BI452" s="2942">
        <f t="shared" si="256"/>
        <v>0</v>
      </c>
      <c r="BJ452" s="2942">
        <f t="shared" si="257"/>
        <v>0</v>
      </c>
      <c r="BK452" s="2942">
        <f t="shared" si="258"/>
        <v>0</v>
      </c>
      <c r="BL452" s="2942">
        <f t="shared" si="259"/>
        <v>0</v>
      </c>
      <c r="BM452" s="2942">
        <f t="shared" si="260"/>
        <v>0</v>
      </c>
      <c r="BN452" s="2942">
        <f t="shared" si="261"/>
        <v>0</v>
      </c>
      <c r="BO452" s="2942">
        <f t="shared" si="262"/>
        <v>0</v>
      </c>
      <c r="BP452" s="2942">
        <f t="shared" si="263"/>
        <v>0</v>
      </c>
      <c r="BQ452" s="2942">
        <f t="shared" si="264"/>
        <v>0</v>
      </c>
      <c r="BR452" s="2942">
        <f t="shared" si="265"/>
        <v>0</v>
      </c>
      <c r="BS452" s="2942">
        <f t="shared" si="266"/>
        <v>0</v>
      </c>
      <c r="BT452" s="2994">
        <f t="shared" si="267"/>
        <v>0</v>
      </c>
    </row>
    <row r="453" spans="1:72">
      <c r="A453" s="2939"/>
      <c r="B453" s="2940"/>
      <c r="C453" s="2940"/>
      <c r="D453" s="2941"/>
      <c r="E453" s="2942">
        <f t="shared" si="239"/>
        <v>0</v>
      </c>
      <c r="F453" s="2943"/>
      <c r="G453" s="2944">
        <f t="shared" si="240"/>
        <v>0</v>
      </c>
      <c r="H453" s="2945">
        <f t="shared" si="241"/>
        <v>0</v>
      </c>
      <c r="I453" s="2952"/>
      <c r="J453" s="2952"/>
      <c r="K453" s="2952"/>
      <c r="L453" s="2952"/>
      <c r="M453" s="2952"/>
      <c r="N453" s="2952"/>
      <c r="O453" s="2952"/>
      <c r="P453" s="2952"/>
      <c r="Q453" s="2952"/>
      <c r="R453" s="2952"/>
      <c r="S453" s="2952"/>
      <c r="T453" s="2952"/>
      <c r="U453" s="2952"/>
      <c r="V453" s="2952"/>
      <c r="W453" s="2952"/>
      <c r="X453" s="2952"/>
      <c r="Y453" s="2952"/>
      <c r="Z453" s="2952"/>
      <c r="AA453" s="2952"/>
      <c r="AB453" s="2952"/>
      <c r="AC453" s="2942">
        <f t="shared" si="242"/>
        <v>0</v>
      </c>
      <c r="AD453" s="2962"/>
      <c r="AE453" s="2962"/>
      <c r="AF453" s="2962"/>
      <c r="AG453" s="2962"/>
      <c r="AH453" s="2962"/>
      <c r="AI453" s="2962"/>
      <c r="AJ453" s="2962"/>
      <c r="AK453" s="2962"/>
      <c r="AL453" s="2962"/>
      <c r="AM453" s="2962"/>
      <c r="AN453" s="2962"/>
      <c r="AO453" s="2962"/>
      <c r="AP453" s="2962"/>
      <c r="AQ453" s="2962"/>
      <c r="AR453" s="2962"/>
      <c r="AS453" s="2962"/>
      <c r="AT453" s="2972"/>
      <c r="AU453" s="2973"/>
      <c r="AV453" s="1120">
        <f t="shared" si="243"/>
        <v>0</v>
      </c>
      <c r="AW453" s="1120">
        <f t="shared" si="244"/>
        <v>0</v>
      </c>
      <c r="AX453" s="1120">
        <f t="shared" si="245"/>
        <v>0</v>
      </c>
      <c r="AY453" s="2987">
        <f t="shared" si="246"/>
        <v>0</v>
      </c>
      <c r="AZ453" s="2942">
        <f t="shared" si="247"/>
        <v>0</v>
      </c>
      <c r="BA453" s="2942">
        <f t="shared" si="248"/>
        <v>0</v>
      </c>
      <c r="BB453" s="2942">
        <f t="shared" si="249"/>
        <v>0</v>
      </c>
      <c r="BC453" s="2942">
        <f t="shared" si="250"/>
        <v>0</v>
      </c>
      <c r="BD453" s="2942">
        <f t="shared" si="251"/>
        <v>0</v>
      </c>
      <c r="BE453" s="2942">
        <f t="shared" si="252"/>
        <v>0</v>
      </c>
      <c r="BF453" s="2942">
        <f t="shared" si="253"/>
        <v>0</v>
      </c>
      <c r="BG453" s="2942">
        <f t="shared" si="254"/>
        <v>0</v>
      </c>
      <c r="BH453" s="2942">
        <f t="shared" si="255"/>
        <v>0</v>
      </c>
      <c r="BI453" s="2942">
        <f t="shared" si="256"/>
        <v>0</v>
      </c>
      <c r="BJ453" s="2942">
        <f t="shared" si="257"/>
        <v>0</v>
      </c>
      <c r="BK453" s="2942">
        <f t="shared" si="258"/>
        <v>0</v>
      </c>
      <c r="BL453" s="2942">
        <f t="shared" si="259"/>
        <v>0</v>
      </c>
      <c r="BM453" s="2942">
        <f t="shared" si="260"/>
        <v>0</v>
      </c>
      <c r="BN453" s="2942">
        <f t="shared" si="261"/>
        <v>0</v>
      </c>
      <c r="BO453" s="2942">
        <f t="shared" si="262"/>
        <v>0</v>
      </c>
      <c r="BP453" s="2942">
        <f t="shared" si="263"/>
        <v>0</v>
      </c>
      <c r="BQ453" s="2942">
        <f t="shared" si="264"/>
        <v>0</v>
      </c>
      <c r="BR453" s="2942">
        <f t="shared" si="265"/>
        <v>0</v>
      </c>
      <c r="BS453" s="2942">
        <f t="shared" si="266"/>
        <v>0</v>
      </c>
      <c r="BT453" s="2994">
        <f t="shared" si="267"/>
        <v>0</v>
      </c>
    </row>
    <row r="454" spans="1:72">
      <c r="A454" s="2939"/>
      <c r="B454" s="2940"/>
      <c r="C454" s="2940"/>
      <c r="D454" s="2941"/>
      <c r="E454" s="2942">
        <f t="shared" si="239"/>
        <v>0</v>
      </c>
      <c r="F454" s="2943"/>
      <c r="G454" s="2944">
        <f t="shared" si="240"/>
        <v>0</v>
      </c>
      <c r="H454" s="2945">
        <f t="shared" si="241"/>
        <v>0</v>
      </c>
      <c r="I454" s="2952"/>
      <c r="J454" s="2952"/>
      <c r="K454" s="2952"/>
      <c r="L454" s="2952"/>
      <c r="M454" s="2952"/>
      <c r="N454" s="2952"/>
      <c r="O454" s="2952"/>
      <c r="P454" s="2952"/>
      <c r="Q454" s="2952"/>
      <c r="R454" s="2952"/>
      <c r="S454" s="2952"/>
      <c r="T454" s="2952"/>
      <c r="U454" s="2952"/>
      <c r="V454" s="2952"/>
      <c r="W454" s="2952"/>
      <c r="X454" s="2952"/>
      <c r="Y454" s="2952"/>
      <c r="Z454" s="2952"/>
      <c r="AA454" s="2952"/>
      <c r="AB454" s="2952"/>
      <c r="AC454" s="2942">
        <f t="shared" si="242"/>
        <v>0</v>
      </c>
      <c r="AD454" s="2962"/>
      <c r="AE454" s="2962"/>
      <c r="AF454" s="2962"/>
      <c r="AG454" s="2962"/>
      <c r="AH454" s="2962"/>
      <c r="AI454" s="2962"/>
      <c r="AJ454" s="2962"/>
      <c r="AK454" s="2962"/>
      <c r="AL454" s="2962"/>
      <c r="AM454" s="2962"/>
      <c r="AN454" s="2962"/>
      <c r="AO454" s="2962"/>
      <c r="AP454" s="2962"/>
      <c r="AQ454" s="2962"/>
      <c r="AR454" s="2962"/>
      <c r="AS454" s="2962"/>
      <c r="AT454" s="2972"/>
      <c r="AU454" s="2973"/>
      <c r="AV454" s="1120">
        <f t="shared" si="243"/>
        <v>0</v>
      </c>
      <c r="AW454" s="1120">
        <f t="shared" si="244"/>
        <v>0</v>
      </c>
      <c r="AX454" s="1120">
        <f t="shared" si="245"/>
        <v>0</v>
      </c>
      <c r="AY454" s="2987">
        <f t="shared" si="246"/>
        <v>0</v>
      </c>
      <c r="AZ454" s="2942">
        <f t="shared" si="247"/>
        <v>0</v>
      </c>
      <c r="BA454" s="2942">
        <f t="shared" si="248"/>
        <v>0</v>
      </c>
      <c r="BB454" s="2942">
        <f t="shared" si="249"/>
        <v>0</v>
      </c>
      <c r="BC454" s="2942">
        <f t="shared" si="250"/>
        <v>0</v>
      </c>
      <c r="BD454" s="2942">
        <f t="shared" si="251"/>
        <v>0</v>
      </c>
      <c r="BE454" s="2942">
        <f t="shared" si="252"/>
        <v>0</v>
      </c>
      <c r="BF454" s="2942">
        <f t="shared" si="253"/>
        <v>0</v>
      </c>
      <c r="BG454" s="2942">
        <f t="shared" si="254"/>
        <v>0</v>
      </c>
      <c r="BH454" s="2942">
        <f t="shared" si="255"/>
        <v>0</v>
      </c>
      <c r="BI454" s="2942">
        <f t="shared" si="256"/>
        <v>0</v>
      </c>
      <c r="BJ454" s="2942">
        <f t="shared" si="257"/>
        <v>0</v>
      </c>
      <c r="BK454" s="2942">
        <f t="shared" si="258"/>
        <v>0</v>
      </c>
      <c r="BL454" s="2942">
        <f t="shared" si="259"/>
        <v>0</v>
      </c>
      <c r="BM454" s="2942">
        <f t="shared" si="260"/>
        <v>0</v>
      </c>
      <c r="BN454" s="2942">
        <f t="shared" si="261"/>
        <v>0</v>
      </c>
      <c r="BO454" s="2942">
        <f t="shared" si="262"/>
        <v>0</v>
      </c>
      <c r="BP454" s="2942">
        <f t="shared" si="263"/>
        <v>0</v>
      </c>
      <c r="BQ454" s="2942">
        <f t="shared" si="264"/>
        <v>0</v>
      </c>
      <c r="BR454" s="2942">
        <f t="shared" si="265"/>
        <v>0</v>
      </c>
      <c r="BS454" s="2942">
        <f t="shared" si="266"/>
        <v>0</v>
      </c>
      <c r="BT454" s="2994">
        <f t="shared" si="267"/>
        <v>0</v>
      </c>
    </row>
    <row r="455" spans="1:72">
      <c r="A455" s="2939"/>
      <c r="B455" s="2940"/>
      <c r="C455" s="2940"/>
      <c r="D455" s="2941"/>
      <c r="E455" s="2942">
        <f t="shared" si="239"/>
        <v>0</v>
      </c>
      <c r="F455" s="2943"/>
      <c r="G455" s="2944">
        <f t="shared" si="240"/>
        <v>0</v>
      </c>
      <c r="H455" s="2945">
        <f t="shared" si="241"/>
        <v>0</v>
      </c>
      <c r="I455" s="2952"/>
      <c r="J455" s="2952"/>
      <c r="K455" s="2952"/>
      <c r="L455" s="2952"/>
      <c r="M455" s="2952"/>
      <c r="N455" s="2952"/>
      <c r="O455" s="2952"/>
      <c r="P455" s="2952"/>
      <c r="Q455" s="2952"/>
      <c r="R455" s="2952"/>
      <c r="S455" s="2952"/>
      <c r="T455" s="2952"/>
      <c r="U455" s="2952"/>
      <c r="V455" s="2952"/>
      <c r="W455" s="2952"/>
      <c r="X455" s="2952"/>
      <c r="Y455" s="2952"/>
      <c r="Z455" s="2952"/>
      <c r="AA455" s="2952"/>
      <c r="AB455" s="2952"/>
      <c r="AC455" s="2942">
        <f t="shared" si="242"/>
        <v>0</v>
      </c>
      <c r="AD455" s="2962"/>
      <c r="AE455" s="2962"/>
      <c r="AF455" s="2962"/>
      <c r="AG455" s="2962"/>
      <c r="AH455" s="2962"/>
      <c r="AI455" s="2962"/>
      <c r="AJ455" s="2962"/>
      <c r="AK455" s="2962"/>
      <c r="AL455" s="2962"/>
      <c r="AM455" s="2962"/>
      <c r="AN455" s="2962"/>
      <c r="AO455" s="2962"/>
      <c r="AP455" s="2962"/>
      <c r="AQ455" s="2962"/>
      <c r="AR455" s="2962"/>
      <c r="AS455" s="2962"/>
      <c r="AT455" s="2972"/>
      <c r="AU455" s="2973"/>
      <c r="AV455" s="1120">
        <f t="shared" si="243"/>
        <v>0</v>
      </c>
      <c r="AW455" s="1120">
        <f t="shared" si="244"/>
        <v>0</v>
      </c>
      <c r="AX455" s="1120">
        <f t="shared" si="245"/>
        <v>0</v>
      </c>
      <c r="AY455" s="2987">
        <f t="shared" si="246"/>
        <v>0</v>
      </c>
      <c r="AZ455" s="2942">
        <f t="shared" si="247"/>
        <v>0</v>
      </c>
      <c r="BA455" s="2942">
        <f t="shared" si="248"/>
        <v>0</v>
      </c>
      <c r="BB455" s="2942">
        <f t="shared" si="249"/>
        <v>0</v>
      </c>
      <c r="BC455" s="2942">
        <f t="shared" si="250"/>
        <v>0</v>
      </c>
      <c r="BD455" s="2942">
        <f t="shared" si="251"/>
        <v>0</v>
      </c>
      <c r="BE455" s="2942">
        <f t="shared" si="252"/>
        <v>0</v>
      </c>
      <c r="BF455" s="2942">
        <f t="shared" si="253"/>
        <v>0</v>
      </c>
      <c r="BG455" s="2942">
        <f t="shared" si="254"/>
        <v>0</v>
      </c>
      <c r="BH455" s="2942">
        <f t="shared" si="255"/>
        <v>0</v>
      </c>
      <c r="BI455" s="2942">
        <f t="shared" si="256"/>
        <v>0</v>
      </c>
      <c r="BJ455" s="2942">
        <f t="shared" si="257"/>
        <v>0</v>
      </c>
      <c r="BK455" s="2942">
        <f t="shared" si="258"/>
        <v>0</v>
      </c>
      <c r="BL455" s="2942">
        <f t="shared" si="259"/>
        <v>0</v>
      </c>
      <c r="BM455" s="2942">
        <f t="shared" si="260"/>
        <v>0</v>
      </c>
      <c r="BN455" s="2942">
        <f t="shared" si="261"/>
        <v>0</v>
      </c>
      <c r="BO455" s="2942">
        <f t="shared" si="262"/>
        <v>0</v>
      </c>
      <c r="BP455" s="2942">
        <f t="shared" si="263"/>
        <v>0</v>
      </c>
      <c r="BQ455" s="2942">
        <f t="shared" si="264"/>
        <v>0</v>
      </c>
      <c r="BR455" s="2942">
        <f t="shared" si="265"/>
        <v>0</v>
      </c>
      <c r="BS455" s="2942">
        <f t="shared" si="266"/>
        <v>0</v>
      </c>
      <c r="BT455" s="2994">
        <f t="shared" si="267"/>
        <v>0</v>
      </c>
    </row>
    <row r="456" spans="1:72">
      <c r="A456" s="2939"/>
      <c r="B456" s="2940"/>
      <c r="C456" s="2940"/>
      <c r="D456" s="2941"/>
      <c r="E456" s="2942">
        <f t="shared" si="239"/>
        <v>0</v>
      </c>
      <c r="F456" s="2943"/>
      <c r="G456" s="2944">
        <f t="shared" si="240"/>
        <v>0</v>
      </c>
      <c r="H456" s="2945">
        <f t="shared" si="241"/>
        <v>0</v>
      </c>
      <c r="I456" s="2952"/>
      <c r="J456" s="2952"/>
      <c r="K456" s="2952"/>
      <c r="L456" s="2952"/>
      <c r="M456" s="2952"/>
      <c r="N456" s="2952"/>
      <c r="O456" s="2952"/>
      <c r="P456" s="2952"/>
      <c r="Q456" s="2952"/>
      <c r="R456" s="2952"/>
      <c r="S456" s="2952"/>
      <c r="T456" s="2952"/>
      <c r="U456" s="2952"/>
      <c r="V456" s="2952"/>
      <c r="W456" s="2952"/>
      <c r="X456" s="2952"/>
      <c r="Y456" s="2952"/>
      <c r="Z456" s="2952"/>
      <c r="AA456" s="2952"/>
      <c r="AB456" s="2952"/>
      <c r="AC456" s="2942">
        <f t="shared" si="242"/>
        <v>0</v>
      </c>
      <c r="AD456" s="2962"/>
      <c r="AE456" s="2962"/>
      <c r="AF456" s="2962"/>
      <c r="AG456" s="2962"/>
      <c r="AH456" s="2962"/>
      <c r="AI456" s="2962"/>
      <c r="AJ456" s="2962"/>
      <c r="AK456" s="2962"/>
      <c r="AL456" s="2962"/>
      <c r="AM456" s="2962"/>
      <c r="AN456" s="2962"/>
      <c r="AO456" s="2962"/>
      <c r="AP456" s="2962"/>
      <c r="AQ456" s="2962"/>
      <c r="AR456" s="2962"/>
      <c r="AS456" s="2962"/>
      <c r="AT456" s="2972"/>
      <c r="AU456" s="2973"/>
      <c r="AV456" s="1120">
        <f t="shared" si="243"/>
        <v>0</v>
      </c>
      <c r="AW456" s="1120">
        <f t="shared" si="244"/>
        <v>0</v>
      </c>
      <c r="AX456" s="1120">
        <f t="shared" si="245"/>
        <v>0</v>
      </c>
      <c r="AY456" s="2987">
        <f t="shared" si="246"/>
        <v>0</v>
      </c>
      <c r="AZ456" s="2942">
        <f t="shared" si="247"/>
        <v>0</v>
      </c>
      <c r="BA456" s="2942">
        <f t="shared" si="248"/>
        <v>0</v>
      </c>
      <c r="BB456" s="2942">
        <f t="shared" si="249"/>
        <v>0</v>
      </c>
      <c r="BC456" s="2942">
        <f t="shared" si="250"/>
        <v>0</v>
      </c>
      <c r="BD456" s="2942">
        <f t="shared" si="251"/>
        <v>0</v>
      </c>
      <c r="BE456" s="2942">
        <f t="shared" si="252"/>
        <v>0</v>
      </c>
      <c r="BF456" s="2942">
        <f t="shared" si="253"/>
        <v>0</v>
      </c>
      <c r="BG456" s="2942">
        <f t="shared" si="254"/>
        <v>0</v>
      </c>
      <c r="BH456" s="2942">
        <f t="shared" si="255"/>
        <v>0</v>
      </c>
      <c r="BI456" s="2942">
        <f t="shared" si="256"/>
        <v>0</v>
      </c>
      <c r="BJ456" s="2942">
        <f t="shared" si="257"/>
        <v>0</v>
      </c>
      <c r="BK456" s="2942">
        <f t="shared" si="258"/>
        <v>0</v>
      </c>
      <c r="BL456" s="2942">
        <f t="shared" si="259"/>
        <v>0</v>
      </c>
      <c r="BM456" s="2942">
        <f t="shared" si="260"/>
        <v>0</v>
      </c>
      <c r="BN456" s="2942">
        <f t="shared" si="261"/>
        <v>0</v>
      </c>
      <c r="BO456" s="2942">
        <f t="shared" si="262"/>
        <v>0</v>
      </c>
      <c r="BP456" s="2942">
        <f t="shared" si="263"/>
        <v>0</v>
      </c>
      <c r="BQ456" s="2942">
        <f t="shared" si="264"/>
        <v>0</v>
      </c>
      <c r="BR456" s="2942">
        <f t="shared" si="265"/>
        <v>0</v>
      </c>
      <c r="BS456" s="2942">
        <f t="shared" si="266"/>
        <v>0</v>
      </c>
      <c r="BT456" s="2994">
        <f t="shared" si="267"/>
        <v>0</v>
      </c>
    </row>
    <row r="457" spans="1:72">
      <c r="A457" s="2939"/>
      <c r="B457" s="2940"/>
      <c r="C457" s="2940"/>
      <c r="D457" s="2941"/>
      <c r="E457" s="2942">
        <f t="shared" si="239"/>
        <v>0</v>
      </c>
      <c r="F457" s="2943"/>
      <c r="G457" s="2944">
        <f t="shared" si="240"/>
        <v>0</v>
      </c>
      <c r="H457" s="2945">
        <f t="shared" si="241"/>
        <v>0</v>
      </c>
      <c r="I457" s="2952"/>
      <c r="J457" s="2952"/>
      <c r="K457" s="2952"/>
      <c r="L457" s="2952"/>
      <c r="M457" s="2952"/>
      <c r="N457" s="2952"/>
      <c r="O457" s="2952"/>
      <c r="P457" s="2952"/>
      <c r="Q457" s="2952"/>
      <c r="R457" s="2952"/>
      <c r="S457" s="2952"/>
      <c r="T457" s="2952"/>
      <c r="U457" s="2952"/>
      <c r="V457" s="2952"/>
      <c r="W457" s="2952"/>
      <c r="X457" s="2952"/>
      <c r="Y457" s="2952"/>
      <c r="Z457" s="2952"/>
      <c r="AA457" s="2952"/>
      <c r="AB457" s="2952"/>
      <c r="AC457" s="2942">
        <f t="shared" si="242"/>
        <v>0</v>
      </c>
      <c r="AD457" s="2962"/>
      <c r="AE457" s="2962"/>
      <c r="AF457" s="2962"/>
      <c r="AG457" s="2962"/>
      <c r="AH457" s="2962"/>
      <c r="AI457" s="2962"/>
      <c r="AJ457" s="2962"/>
      <c r="AK457" s="2962"/>
      <c r="AL457" s="2962"/>
      <c r="AM457" s="2962"/>
      <c r="AN457" s="2962"/>
      <c r="AO457" s="2962"/>
      <c r="AP457" s="2962"/>
      <c r="AQ457" s="2962"/>
      <c r="AR457" s="2962"/>
      <c r="AS457" s="2962"/>
      <c r="AT457" s="2972"/>
      <c r="AU457" s="2973"/>
      <c r="AV457" s="1120">
        <f t="shared" si="243"/>
        <v>0</v>
      </c>
      <c r="AW457" s="1120">
        <f t="shared" si="244"/>
        <v>0</v>
      </c>
      <c r="AX457" s="1120">
        <f t="shared" si="245"/>
        <v>0</v>
      </c>
      <c r="AY457" s="2987">
        <f t="shared" si="246"/>
        <v>0</v>
      </c>
      <c r="AZ457" s="2942">
        <f t="shared" si="247"/>
        <v>0</v>
      </c>
      <c r="BA457" s="2942">
        <f t="shared" si="248"/>
        <v>0</v>
      </c>
      <c r="BB457" s="2942">
        <f t="shared" si="249"/>
        <v>0</v>
      </c>
      <c r="BC457" s="2942">
        <f t="shared" si="250"/>
        <v>0</v>
      </c>
      <c r="BD457" s="2942">
        <f t="shared" si="251"/>
        <v>0</v>
      </c>
      <c r="BE457" s="2942">
        <f t="shared" si="252"/>
        <v>0</v>
      </c>
      <c r="BF457" s="2942">
        <f t="shared" si="253"/>
        <v>0</v>
      </c>
      <c r="BG457" s="2942">
        <f t="shared" si="254"/>
        <v>0</v>
      </c>
      <c r="BH457" s="2942">
        <f t="shared" si="255"/>
        <v>0</v>
      </c>
      <c r="BI457" s="2942">
        <f t="shared" si="256"/>
        <v>0</v>
      </c>
      <c r="BJ457" s="2942">
        <f t="shared" si="257"/>
        <v>0</v>
      </c>
      <c r="BK457" s="2942">
        <f t="shared" si="258"/>
        <v>0</v>
      </c>
      <c r="BL457" s="2942">
        <f t="shared" si="259"/>
        <v>0</v>
      </c>
      <c r="BM457" s="2942">
        <f t="shared" si="260"/>
        <v>0</v>
      </c>
      <c r="BN457" s="2942">
        <f t="shared" si="261"/>
        <v>0</v>
      </c>
      <c r="BO457" s="2942">
        <f t="shared" si="262"/>
        <v>0</v>
      </c>
      <c r="BP457" s="2942">
        <f t="shared" si="263"/>
        <v>0</v>
      </c>
      <c r="BQ457" s="2942">
        <f t="shared" si="264"/>
        <v>0</v>
      </c>
      <c r="BR457" s="2942">
        <f t="shared" si="265"/>
        <v>0</v>
      </c>
      <c r="BS457" s="2942">
        <f t="shared" si="266"/>
        <v>0</v>
      </c>
      <c r="BT457" s="2994">
        <f t="shared" si="267"/>
        <v>0</v>
      </c>
    </row>
    <row r="458" spans="1:72">
      <c r="A458" s="2939"/>
      <c r="B458" s="2940"/>
      <c r="C458" s="2940"/>
      <c r="D458" s="2941"/>
      <c r="E458" s="2942">
        <f t="shared" si="239"/>
        <v>0</v>
      </c>
      <c r="F458" s="2943"/>
      <c r="G458" s="2944">
        <f t="shared" si="240"/>
        <v>0</v>
      </c>
      <c r="H458" s="2945">
        <f t="shared" si="241"/>
        <v>0</v>
      </c>
      <c r="I458" s="2952"/>
      <c r="J458" s="2952"/>
      <c r="K458" s="2952"/>
      <c r="L458" s="2952"/>
      <c r="M458" s="2952"/>
      <c r="N458" s="2952"/>
      <c r="O458" s="2952"/>
      <c r="P458" s="2952"/>
      <c r="Q458" s="2952"/>
      <c r="R458" s="2952"/>
      <c r="S458" s="2952"/>
      <c r="T458" s="2952"/>
      <c r="U458" s="2952"/>
      <c r="V458" s="2952"/>
      <c r="W458" s="2952"/>
      <c r="X458" s="2952"/>
      <c r="Y458" s="2952"/>
      <c r="Z458" s="2952"/>
      <c r="AA458" s="2952"/>
      <c r="AB458" s="2952"/>
      <c r="AC458" s="2942">
        <f t="shared" si="242"/>
        <v>0</v>
      </c>
      <c r="AD458" s="2962"/>
      <c r="AE458" s="2962"/>
      <c r="AF458" s="2962"/>
      <c r="AG458" s="2962"/>
      <c r="AH458" s="2962"/>
      <c r="AI458" s="2962"/>
      <c r="AJ458" s="2962"/>
      <c r="AK458" s="2962"/>
      <c r="AL458" s="2962"/>
      <c r="AM458" s="2962"/>
      <c r="AN458" s="2962"/>
      <c r="AO458" s="2962"/>
      <c r="AP458" s="2962"/>
      <c r="AQ458" s="2962"/>
      <c r="AR458" s="2962"/>
      <c r="AS458" s="2962"/>
      <c r="AT458" s="2972"/>
      <c r="AU458" s="2973"/>
      <c r="AV458" s="1120">
        <f t="shared" si="243"/>
        <v>0</v>
      </c>
      <c r="AW458" s="1120">
        <f t="shared" si="244"/>
        <v>0</v>
      </c>
      <c r="AX458" s="1120">
        <f t="shared" si="245"/>
        <v>0</v>
      </c>
      <c r="AY458" s="2987">
        <f t="shared" si="246"/>
        <v>0</v>
      </c>
      <c r="AZ458" s="2942">
        <f t="shared" si="247"/>
        <v>0</v>
      </c>
      <c r="BA458" s="2942">
        <f t="shared" si="248"/>
        <v>0</v>
      </c>
      <c r="BB458" s="2942">
        <f t="shared" si="249"/>
        <v>0</v>
      </c>
      <c r="BC458" s="2942">
        <f t="shared" si="250"/>
        <v>0</v>
      </c>
      <c r="BD458" s="2942">
        <f t="shared" si="251"/>
        <v>0</v>
      </c>
      <c r="BE458" s="2942">
        <f t="shared" si="252"/>
        <v>0</v>
      </c>
      <c r="BF458" s="2942">
        <f t="shared" si="253"/>
        <v>0</v>
      </c>
      <c r="BG458" s="2942">
        <f t="shared" si="254"/>
        <v>0</v>
      </c>
      <c r="BH458" s="2942">
        <f t="shared" si="255"/>
        <v>0</v>
      </c>
      <c r="BI458" s="2942">
        <f t="shared" si="256"/>
        <v>0</v>
      </c>
      <c r="BJ458" s="2942">
        <f t="shared" si="257"/>
        <v>0</v>
      </c>
      <c r="BK458" s="2942">
        <f t="shared" si="258"/>
        <v>0</v>
      </c>
      <c r="BL458" s="2942">
        <f t="shared" si="259"/>
        <v>0</v>
      </c>
      <c r="BM458" s="2942">
        <f t="shared" si="260"/>
        <v>0</v>
      </c>
      <c r="BN458" s="2942">
        <f t="shared" si="261"/>
        <v>0</v>
      </c>
      <c r="BO458" s="2942">
        <f t="shared" si="262"/>
        <v>0</v>
      </c>
      <c r="BP458" s="2942">
        <f t="shared" si="263"/>
        <v>0</v>
      </c>
      <c r="BQ458" s="2942">
        <f t="shared" si="264"/>
        <v>0</v>
      </c>
      <c r="BR458" s="2942">
        <f t="shared" si="265"/>
        <v>0</v>
      </c>
      <c r="BS458" s="2942">
        <f t="shared" si="266"/>
        <v>0</v>
      </c>
      <c r="BT458" s="2994">
        <f t="shared" si="267"/>
        <v>0</v>
      </c>
    </row>
    <row r="459" spans="1:72">
      <c r="A459" s="2939"/>
      <c r="B459" s="2940"/>
      <c r="C459" s="2940"/>
      <c r="D459" s="2941"/>
      <c r="E459" s="2942">
        <f t="shared" si="239"/>
        <v>0</v>
      </c>
      <c r="F459" s="2943"/>
      <c r="G459" s="2944">
        <f t="shared" si="240"/>
        <v>0</v>
      </c>
      <c r="H459" s="2945">
        <f t="shared" si="241"/>
        <v>0</v>
      </c>
      <c r="I459" s="2952"/>
      <c r="J459" s="2952"/>
      <c r="K459" s="2952"/>
      <c r="L459" s="2952"/>
      <c r="M459" s="2952"/>
      <c r="N459" s="2952"/>
      <c r="O459" s="2952"/>
      <c r="P459" s="2952"/>
      <c r="Q459" s="2952"/>
      <c r="R459" s="2952"/>
      <c r="S459" s="2952"/>
      <c r="T459" s="2952"/>
      <c r="U459" s="2952"/>
      <c r="V459" s="2952"/>
      <c r="W459" s="2952"/>
      <c r="X459" s="2952"/>
      <c r="Y459" s="2952"/>
      <c r="Z459" s="2952"/>
      <c r="AA459" s="2952"/>
      <c r="AB459" s="2952"/>
      <c r="AC459" s="2942">
        <f t="shared" si="242"/>
        <v>0</v>
      </c>
      <c r="AD459" s="2962"/>
      <c r="AE459" s="2962"/>
      <c r="AF459" s="2962"/>
      <c r="AG459" s="2962"/>
      <c r="AH459" s="2962"/>
      <c r="AI459" s="2962"/>
      <c r="AJ459" s="2962"/>
      <c r="AK459" s="2962"/>
      <c r="AL459" s="2962"/>
      <c r="AM459" s="2962"/>
      <c r="AN459" s="2962"/>
      <c r="AO459" s="2962"/>
      <c r="AP459" s="2962"/>
      <c r="AQ459" s="2962"/>
      <c r="AR459" s="2962"/>
      <c r="AS459" s="2962"/>
      <c r="AT459" s="2972"/>
      <c r="AU459" s="2973"/>
      <c r="AV459" s="1120">
        <f t="shared" si="243"/>
        <v>0</v>
      </c>
      <c r="AW459" s="1120">
        <f t="shared" si="244"/>
        <v>0</v>
      </c>
      <c r="AX459" s="1120">
        <f t="shared" si="245"/>
        <v>0</v>
      </c>
      <c r="AY459" s="2987">
        <f t="shared" si="246"/>
        <v>0</v>
      </c>
      <c r="AZ459" s="2942">
        <f t="shared" si="247"/>
        <v>0</v>
      </c>
      <c r="BA459" s="2942">
        <f t="shared" si="248"/>
        <v>0</v>
      </c>
      <c r="BB459" s="2942">
        <f t="shared" si="249"/>
        <v>0</v>
      </c>
      <c r="BC459" s="2942">
        <f t="shared" si="250"/>
        <v>0</v>
      </c>
      <c r="BD459" s="2942">
        <f t="shared" si="251"/>
        <v>0</v>
      </c>
      <c r="BE459" s="2942">
        <f t="shared" si="252"/>
        <v>0</v>
      </c>
      <c r="BF459" s="2942">
        <f t="shared" si="253"/>
        <v>0</v>
      </c>
      <c r="BG459" s="2942">
        <f t="shared" si="254"/>
        <v>0</v>
      </c>
      <c r="BH459" s="2942">
        <f t="shared" si="255"/>
        <v>0</v>
      </c>
      <c r="BI459" s="2942">
        <f t="shared" si="256"/>
        <v>0</v>
      </c>
      <c r="BJ459" s="2942">
        <f t="shared" si="257"/>
        <v>0</v>
      </c>
      <c r="BK459" s="2942">
        <f t="shared" si="258"/>
        <v>0</v>
      </c>
      <c r="BL459" s="2942">
        <f t="shared" si="259"/>
        <v>0</v>
      </c>
      <c r="BM459" s="2942">
        <f t="shared" si="260"/>
        <v>0</v>
      </c>
      <c r="BN459" s="2942">
        <f t="shared" si="261"/>
        <v>0</v>
      </c>
      <c r="BO459" s="2942">
        <f t="shared" si="262"/>
        <v>0</v>
      </c>
      <c r="BP459" s="2942">
        <f t="shared" si="263"/>
        <v>0</v>
      </c>
      <c r="BQ459" s="2942">
        <f t="shared" si="264"/>
        <v>0</v>
      </c>
      <c r="BR459" s="2942">
        <f t="shared" si="265"/>
        <v>0</v>
      </c>
      <c r="BS459" s="2942">
        <f t="shared" si="266"/>
        <v>0</v>
      </c>
      <c r="BT459" s="2994">
        <f t="shared" si="267"/>
        <v>0</v>
      </c>
    </row>
    <row r="460" spans="1:72">
      <c r="A460" s="2939"/>
      <c r="B460" s="2940"/>
      <c r="C460" s="2940"/>
      <c r="D460" s="2941"/>
      <c r="E460" s="2942">
        <f t="shared" si="239"/>
        <v>0</v>
      </c>
      <c r="F460" s="2943"/>
      <c r="G460" s="2944">
        <f t="shared" si="240"/>
        <v>0</v>
      </c>
      <c r="H460" s="2945">
        <f t="shared" si="241"/>
        <v>0</v>
      </c>
      <c r="I460" s="2952"/>
      <c r="J460" s="2952"/>
      <c r="K460" s="2952"/>
      <c r="L460" s="2952"/>
      <c r="M460" s="2952"/>
      <c r="N460" s="2952"/>
      <c r="O460" s="2952"/>
      <c r="P460" s="2952"/>
      <c r="Q460" s="2952"/>
      <c r="R460" s="2952"/>
      <c r="S460" s="2952"/>
      <c r="T460" s="2952"/>
      <c r="U460" s="2952"/>
      <c r="V460" s="2952"/>
      <c r="W460" s="2952"/>
      <c r="X460" s="2952"/>
      <c r="Y460" s="2952"/>
      <c r="Z460" s="2952"/>
      <c r="AA460" s="2952"/>
      <c r="AB460" s="2952"/>
      <c r="AC460" s="2942">
        <f t="shared" si="242"/>
        <v>0</v>
      </c>
      <c r="AD460" s="2962"/>
      <c r="AE460" s="2962"/>
      <c r="AF460" s="2962"/>
      <c r="AG460" s="2962"/>
      <c r="AH460" s="2962"/>
      <c r="AI460" s="2962"/>
      <c r="AJ460" s="2962"/>
      <c r="AK460" s="2962"/>
      <c r="AL460" s="2962"/>
      <c r="AM460" s="2962"/>
      <c r="AN460" s="2962"/>
      <c r="AO460" s="2962"/>
      <c r="AP460" s="2962"/>
      <c r="AQ460" s="2962"/>
      <c r="AR460" s="2962"/>
      <c r="AS460" s="2962"/>
      <c r="AT460" s="2972"/>
      <c r="AU460" s="2973"/>
      <c r="AV460" s="1120">
        <f t="shared" si="243"/>
        <v>0</v>
      </c>
      <c r="AW460" s="1120">
        <f t="shared" si="244"/>
        <v>0</v>
      </c>
      <c r="AX460" s="1120">
        <f t="shared" si="245"/>
        <v>0</v>
      </c>
      <c r="AY460" s="2987">
        <f t="shared" si="246"/>
        <v>0</v>
      </c>
      <c r="AZ460" s="2942">
        <f t="shared" si="247"/>
        <v>0</v>
      </c>
      <c r="BA460" s="2942">
        <f t="shared" si="248"/>
        <v>0</v>
      </c>
      <c r="BB460" s="2942">
        <f t="shared" si="249"/>
        <v>0</v>
      </c>
      <c r="BC460" s="2942">
        <f t="shared" si="250"/>
        <v>0</v>
      </c>
      <c r="BD460" s="2942">
        <f t="shared" si="251"/>
        <v>0</v>
      </c>
      <c r="BE460" s="2942">
        <f t="shared" si="252"/>
        <v>0</v>
      </c>
      <c r="BF460" s="2942">
        <f t="shared" si="253"/>
        <v>0</v>
      </c>
      <c r="BG460" s="2942">
        <f t="shared" si="254"/>
        <v>0</v>
      </c>
      <c r="BH460" s="2942">
        <f t="shared" si="255"/>
        <v>0</v>
      </c>
      <c r="BI460" s="2942">
        <f t="shared" si="256"/>
        <v>0</v>
      </c>
      <c r="BJ460" s="2942">
        <f t="shared" si="257"/>
        <v>0</v>
      </c>
      <c r="BK460" s="2942">
        <f t="shared" si="258"/>
        <v>0</v>
      </c>
      <c r="BL460" s="2942">
        <f t="shared" si="259"/>
        <v>0</v>
      </c>
      <c r="BM460" s="2942">
        <f t="shared" si="260"/>
        <v>0</v>
      </c>
      <c r="BN460" s="2942">
        <f t="shared" si="261"/>
        <v>0</v>
      </c>
      <c r="BO460" s="2942">
        <f t="shared" si="262"/>
        <v>0</v>
      </c>
      <c r="BP460" s="2942">
        <f t="shared" si="263"/>
        <v>0</v>
      </c>
      <c r="BQ460" s="2942">
        <f t="shared" si="264"/>
        <v>0</v>
      </c>
      <c r="BR460" s="2942">
        <f t="shared" si="265"/>
        <v>0</v>
      </c>
      <c r="BS460" s="2942">
        <f t="shared" si="266"/>
        <v>0</v>
      </c>
      <c r="BT460" s="2994">
        <f t="shared" si="267"/>
        <v>0</v>
      </c>
    </row>
    <row r="461" spans="1:72">
      <c r="A461" s="2939"/>
      <c r="B461" s="2940"/>
      <c r="C461" s="2940"/>
      <c r="D461" s="2941"/>
      <c r="E461" s="2942">
        <f t="shared" si="239"/>
        <v>0</v>
      </c>
      <c r="F461" s="2943"/>
      <c r="G461" s="2944">
        <f t="shared" si="240"/>
        <v>0</v>
      </c>
      <c r="H461" s="2945">
        <f t="shared" si="241"/>
        <v>0</v>
      </c>
      <c r="I461" s="2952"/>
      <c r="J461" s="2952"/>
      <c r="K461" s="2952"/>
      <c r="L461" s="2952"/>
      <c r="M461" s="2952"/>
      <c r="N461" s="2952"/>
      <c r="O461" s="2952"/>
      <c r="P461" s="2952"/>
      <c r="Q461" s="2952"/>
      <c r="R461" s="2952"/>
      <c r="S461" s="2952"/>
      <c r="T461" s="2952"/>
      <c r="U461" s="2952"/>
      <c r="V461" s="2952"/>
      <c r="W461" s="2952"/>
      <c r="X461" s="2952"/>
      <c r="Y461" s="2952"/>
      <c r="Z461" s="2952"/>
      <c r="AA461" s="2952"/>
      <c r="AB461" s="2952"/>
      <c r="AC461" s="2942">
        <f t="shared" si="242"/>
        <v>0</v>
      </c>
      <c r="AD461" s="2962"/>
      <c r="AE461" s="2962"/>
      <c r="AF461" s="2962"/>
      <c r="AG461" s="2962"/>
      <c r="AH461" s="2962"/>
      <c r="AI461" s="2962"/>
      <c r="AJ461" s="2962"/>
      <c r="AK461" s="2962"/>
      <c r="AL461" s="2962"/>
      <c r="AM461" s="2962"/>
      <c r="AN461" s="2962"/>
      <c r="AO461" s="2962"/>
      <c r="AP461" s="2962"/>
      <c r="AQ461" s="2962"/>
      <c r="AR461" s="2962"/>
      <c r="AS461" s="2962"/>
      <c r="AT461" s="2972"/>
      <c r="AU461" s="2973"/>
      <c r="AV461" s="1120">
        <f t="shared" si="243"/>
        <v>0</v>
      </c>
      <c r="AW461" s="1120">
        <f t="shared" si="244"/>
        <v>0</v>
      </c>
      <c r="AX461" s="1120">
        <f t="shared" si="245"/>
        <v>0</v>
      </c>
      <c r="AY461" s="2987">
        <f t="shared" si="246"/>
        <v>0</v>
      </c>
      <c r="AZ461" s="2942">
        <f t="shared" si="247"/>
        <v>0</v>
      </c>
      <c r="BA461" s="2942">
        <f t="shared" si="248"/>
        <v>0</v>
      </c>
      <c r="BB461" s="2942">
        <f t="shared" si="249"/>
        <v>0</v>
      </c>
      <c r="BC461" s="2942">
        <f t="shared" si="250"/>
        <v>0</v>
      </c>
      <c r="BD461" s="2942">
        <f t="shared" si="251"/>
        <v>0</v>
      </c>
      <c r="BE461" s="2942">
        <f t="shared" si="252"/>
        <v>0</v>
      </c>
      <c r="BF461" s="2942">
        <f t="shared" si="253"/>
        <v>0</v>
      </c>
      <c r="BG461" s="2942">
        <f t="shared" si="254"/>
        <v>0</v>
      </c>
      <c r="BH461" s="2942">
        <f t="shared" si="255"/>
        <v>0</v>
      </c>
      <c r="BI461" s="2942">
        <f t="shared" si="256"/>
        <v>0</v>
      </c>
      <c r="BJ461" s="2942">
        <f t="shared" si="257"/>
        <v>0</v>
      </c>
      <c r="BK461" s="2942">
        <f t="shared" si="258"/>
        <v>0</v>
      </c>
      <c r="BL461" s="2942">
        <f t="shared" si="259"/>
        <v>0</v>
      </c>
      <c r="BM461" s="2942">
        <f t="shared" si="260"/>
        <v>0</v>
      </c>
      <c r="BN461" s="2942">
        <f t="shared" si="261"/>
        <v>0</v>
      </c>
      <c r="BO461" s="2942">
        <f t="shared" si="262"/>
        <v>0</v>
      </c>
      <c r="BP461" s="2942">
        <f t="shared" si="263"/>
        <v>0</v>
      </c>
      <c r="BQ461" s="2942">
        <f t="shared" si="264"/>
        <v>0</v>
      </c>
      <c r="BR461" s="2942">
        <f t="shared" si="265"/>
        <v>0</v>
      </c>
      <c r="BS461" s="2942">
        <f t="shared" si="266"/>
        <v>0</v>
      </c>
      <c r="BT461" s="2994">
        <f t="shared" si="267"/>
        <v>0</v>
      </c>
    </row>
    <row r="462" spans="1:72">
      <c r="A462" s="2939"/>
      <c r="B462" s="2940"/>
      <c r="C462" s="2940"/>
      <c r="D462" s="2941"/>
      <c r="E462" s="2942">
        <f t="shared" si="239"/>
        <v>0</v>
      </c>
      <c r="F462" s="2943"/>
      <c r="G462" s="2944">
        <f t="shared" si="240"/>
        <v>0</v>
      </c>
      <c r="H462" s="2945">
        <f t="shared" si="241"/>
        <v>0</v>
      </c>
      <c r="I462" s="2952"/>
      <c r="J462" s="2952"/>
      <c r="K462" s="2952"/>
      <c r="L462" s="2952"/>
      <c r="M462" s="2952"/>
      <c r="N462" s="2952"/>
      <c r="O462" s="2952"/>
      <c r="P462" s="2952"/>
      <c r="Q462" s="2952"/>
      <c r="R462" s="2952"/>
      <c r="S462" s="2952"/>
      <c r="T462" s="2952"/>
      <c r="U462" s="2952"/>
      <c r="V462" s="2952"/>
      <c r="W462" s="2952"/>
      <c r="X462" s="2952"/>
      <c r="Y462" s="2952"/>
      <c r="Z462" s="2952"/>
      <c r="AA462" s="2952"/>
      <c r="AB462" s="2952"/>
      <c r="AC462" s="2942">
        <f t="shared" si="242"/>
        <v>0</v>
      </c>
      <c r="AD462" s="2962"/>
      <c r="AE462" s="2962"/>
      <c r="AF462" s="2962"/>
      <c r="AG462" s="2962"/>
      <c r="AH462" s="2962"/>
      <c r="AI462" s="2962"/>
      <c r="AJ462" s="2962"/>
      <c r="AK462" s="2962"/>
      <c r="AL462" s="2962"/>
      <c r="AM462" s="2962"/>
      <c r="AN462" s="2962"/>
      <c r="AO462" s="2962"/>
      <c r="AP462" s="2962"/>
      <c r="AQ462" s="2962"/>
      <c r="AR462" s="2962"/>
      <c r="AS462" s="2962"/>
      <c r="AT462" s="2972"/>
      <c r="AU462" s="2973"/>
      <c r="AV462" s="1120">
        <f t="shared" si="243"/>
        <v>0</v>
      </c>
      <c r="AW462" s="1120">
        <f t="shared" si="244"/>
        <v>0</v>
      </c>
      <c r="AX462" s="1120">
        <f t="shared" si="245"/>
        <v>0</v>
      </c>
      <c r="AY462" s="2987">
        <f t="shared" si="246"/>
        <v>0</v>
      </c>
      <c r="AZ462" s="2942">
        <f t="shared" si="247"/>
        <v>0</v>
      </c>
      <c r="BA462" s="2942">
        <f t="shared" si="248"/>
        <v>0</v>
      </c>
      <c r="BB462" s="2942">
        <f t="shared" si="249"/>
        <v>0</v>
      </c>
      <c r="BC462" s="2942">
        <f t="shared" si="250"/>
        <v>0</v>
      </c>
      <c r="BD462" s="2942">
        <f t="shared" si="251"/>
        <v>0</v>
      </c>
      <c r="BE462" s="2942">
        <f t="shared" si="252"/>
        <v>0</v>
      </c>
      <c r="BF462" s="2942">
        <f t="shared" si="253"/>
        <v>0</v>
      </c>
      <c r="BG462" s="2942">
        <f t="shared" si="254"/>
        <v>0</v>
      </c>
      <c r="BH462" s="2942">
        <f t="shared" si="255"/>
        <v>0</v>
      </c>
      <c r="BI462" s="2942">
        <f t="shared" si="256"/>
        <v>0</v>
      </c>
      <c r="BJ462" s="2942">
        <f t="shared" si="257"/>
        <v>0</v>
      </c>
      <c r="BK462" s="2942">
        <f t="shared" si="258"/>
        <v>0</v>
      </c>
      <c r="BL462" s="2942">
        <f t="shared" si="259"/>
        <v>0</v>
      </c>
      <c r="BM462" s="2942">
        <f t="shared" si="260"/>
        <v>0</v>
      </c>
      <c r="BN462" s="2942">
        <f t="shared" si="261"/>
        <v>0</v>
      </c>
      <c r="BO462" s="2942">
        <f t="shared" si="262"/>
        <v>0</v>
      </c>
      <c r="BP462" s="2942">
        <f t="shared" si="263"/>
        <v>0</v>
      </c>
      <c r="BQ462" s="2942">
        <f t="shared" si="264"/>
        <v>0</v>
      </c>
      <c r="BR462" s="2942">
        <f t="shared" si="265"/>
        <v>0</v>
      </c>
      <c r="BS462" s="2942">
        <f t="shared" si="266"/>
        <v>0</v>
      </c>
      <c r="BT462" s="2994">
        <f t="shared" si="267"/>
        <v>0</v>
      </c>
    </row>
    <row r="463" spans="1:72">
      <c r="A463" s="2939"/>
      <c r="B463" s="2940"/>
      <c r="C463" s="2940"/>
      <c r="D463" s="2941"/>
      <c r="E463" s="2942">
        <f t="shared" si="239"/>
        <v>0</v>
      </c>
      <c r="F463" s="2943"/>
      <c r="G463" s="2944">
        <f t="shared" si="240"/>
        <v>0</v>
      </c>
      <c r="H463" s="2945">
        <f t="shared" si="241"/>
        <v>0</v>
      </c>
      <c r="I463" s="2952"/>
      <c r="J463" s="2952"/>
      <c r="K463" s="2952"/>
      <c r="L463" s="2952"/>
      <c r="M463" s="2952"/>
      <c r="N463" s="2952"/>
      <c r="O463" s="2952"/>
      <c r="P463" s="2952"/>
      <c r="Q463" s="2952"/>
      <c r="R463" s="2952"/>
      <c r="S463" s="2952"/>
      <c r="T463" s="2952"/>
      <c r="U463" s="2952"/>
      <c r="V463" s="2952"/>
      <c r="W463" s="2952"/>
      <c r="X463" s="2952"/>
      <c r="Y463" s="2952"/>
      <c r="Z463" s="2952"/>
      <c r="AA463" s="2952"/>
      <c r="AB463" s="2952"/>
      <c r="AC463" s="2942">
        <f t="shared" si="242"/>
        <v>0</v>
      </c>
      <c r="AD463" s="2962"/>
      <c r="AE463" s="2962"/>
      <c r="AF463" s="2962"/>
      <c r="AG463" s="2962"/>
      <c r="AH463" s="2962"/>
      <c r="AI463" s="2962"/>
      <c r="AJ463" s="2962"/>
      <c r="AK463" s="2962"/>
      <c r="AL463" s="2962"/>
      <c r="AM463" s="2962"/>
      <c r="AN463" s="2962"/>
      <c r="AO463" s="2962"/>
      <c r="AP463" s="2962"/>
      <c r="AQ463" s="2962"/>
      <c r="AR463" s="2962"/>
      <c r="AS463" s="2962"/>
      <c r="AT463" s="2972"/>
      <c r="AU463" s="2973"/>
      <c r="AV463" s="1120">
        <f t="shared" si="243"/>
        <v>0</v>
      </c>
      <c r="AW463" s="1120">
        <f t="shared" si="244"/>
        <v>0</v>
      </c>
      <c r="AX463" s="1120">
        <f t="shared" si="245"/>
        <v>0</v>
      </c>
      <c r="AY463" s="2987">
        <f t="shared" si="246"/>
        <v>0</v>
      </c>
      <c r="AZ463" s="2942">
        <f t="shared" si="247"/>
        <v>0</v>
      </c>
      <c r="BA463" s="2942">
        <f t="shared" si="248"/>
        <v>0</v>
      </c>
      <c r="BB463" s="2942">
        <f t="shared" si="249"/>
        <v>0</v>
      </c>
      <c r="BC463" s="2942">
        <f t="shared" si="250"/>
        <v>0</v>
      </c>
      <c r="BD463" s="2942">
        <f t="shared" si="251"/>
        <v>0</v>
      </c>
      <c r="BE463" s="2942">
        <f t="shared" si="252"/>
        <v>0</v>
      </c>
      <c r="BF463" s="2942">
        <f t="shared" si="253"/>
        <v>0</v>
      </c>
      <c r="BG463" s="2942">
        <f t="shared" si="254"/>
        <v>0</v>
      </c>
      <c r="BH463" s="2942">
        <f t="shared" si="255"/>
        <v>0</v>
      </c>
      <c r="BI463" s="2942">
        <f t="shared" si="256"/>
        <v>0</v>
      </c>
      <c r="BJ463" s="2942">
        <f t="shared" si="257"/>
        <v>0</v>
      </c>
      <c r="BK463" s="2942">
        <f t="shared" si="258"/>
        <v>0</v>
      </c>
      <c r="BL463" s="2942">
        <f t="shared" si="259"/>
        <v>0</v>
      </c>
      <c r="BM463" s="2942">
        <f t="shared" si="260"/>
        <v>0</v>
      </c>
      <c r="BN463" s="2942">
        <f t="shared" si="261"/>
        <v>0</v>
      </c>
      <c r="BO463" s="2942">
        <f t="shared" si="262"/>
        <v>0</v>
      </c>
      <c r="BP463" s="2942">
        <f t="shared" si="263"/>
        <v>0</v>
      </c>
      <c r="BQ463" s="2942">
        <f t="shared" si="264"/>
        <v>0</v>
      </c>
      <c r="BR463" s="2942">
        <f t="shared" si="265"/>
        <v>0</v>
      </c>
      <c r="BS463" s="2942">
        <f t="shared" si="266"/>
        <v>0</v>
      </c>
      <c r="BT463" s="2994">
        <f t="shared" si="267"/>
        <v>0</v>
      </c>
    </row>
    <row r="464" spans="1:72">
      <c r="A464" s="2939"/>
      <c r="B464" s="2940"/>
      <c r="C464" s="2940"/>
      <c r="D464" s="2941"/>
      <c r="E464" s="2942">
        <f t="shared" si="239"/>
        <v>0</v>
      </c>
      <c r="F464" s="2943"/>
      <c r="G464" s="2944">
        <f t="shared" si="240"/>
        <v>0</v>
      </c>
      <c r="H464" s="2945">
        <f t="shared" si="241"/>
        <v>0</v>
      </c>
      <c r="I464" s="2952"/>
      <c r="J464" s="2952"/>
      <c r="K464" s="2952"/>
      <c r="L464" s="2952"/>
      <c r="M464" s="2952"/>
      <c r="N464" s="2952"/>
      <c r="O464" s="2952"/>
      <c r="P464" s="2952"/>
      <c r="Q464" s="2952"/>
      <c r="R464" s="2952"/>
      <c r="S464" s="2952"/>
      <c r="T464" s="2952"/>
      <c r="U464" s="2952"/>
      <c r="V464" s="2952"/>
      <c r="W464" s="2952"/>
      <c r="X464" s="2952"/>
      <c r="Y464" s="2952"/>
      <c r="Z464" s="2952"/>
      <c r="AA464" s="2952"/>
      <c r="AB464" s="2952"/>
      <c r="AC464" s="2942">
        <f t="shared" si="242"/>
        <v>0</v>
      </c>
      <c r="AD464" s="2962"/>
      <c r="AE464" s="2962"/>
      <c r="AF464" s="2962"/>
      <c r="AG464" s="2962"/>
      <c r="AH464" s="2962"/>
      <c r="AI464" s="2962"/>
      <c r="AJ464" s="2962"/>
      <c r="AK464" s="2962"/>
      <c r="AL464" s="2962"/>
      <c r="AM464" s="2962"/>
      <c r="AN464" s="2962"/>
      <c r="AO464" s="2962"/>
      <c r="AP464" s="2962"/>
      <c r="AQ464" s="2962"/>
      <c r="AR464" s="2962"/>
      <c r="AS464" s="2962"/>
      <c r="AT464" s="2972"/>
      <c r="AU464" s="2973"/>
      <c r="AV464" s="1120">
        <f t="shared" si="243"/>
        <v>0</v>
      </c>
      <c r="AW464" s="1120">
        <f t="shared" si="244"/>
        <v>0</v>
      </c>
      <c r="AX464" s="1120">
        <f t="shared" si="245"/>
        <v>0</v>
      </c>
      <c r="AY464" s="2987">
        <f t="shared" si="246"/>
        <v>0</v>
      </c>
      <c r="AZ464" s="2942">
        <f t="shared" si="247"/>
        <v>0</v>
      </c>
      <c r="BA464" s="2942">
        <f t="shared" si="248"/>
        <v>0</v>
      </c>
      <c r="BB464" s="2942">
        <f t="shared" si="249"/>
        <v>0</v>
      </c>
      <c r="BC464" s="2942">
        <f t="shared" si="250"/>
        <v>0</v>
      </c>
      <c r="BD464" s="2942">
        <f t="shared" si="251"/>
        <v>0</v>
      </c>
      <c r="BE464" s="2942">
        <f t="shared" si="252"/>
        <v>0</v>
      </c>
      <c r="BF464" s="2942">
        <f t="shared" si="253"/>
        <v>0</v>
      </c>
      <c r="BG464" s="2942">
        <f t="shared" si="254"/>
        <v>0</v>
      </c>
      <c r="BH464" s="2942">
        <f t="shared" si="255"/>
        <v>0</v>
      </c>
      <c r="BI464" s="2942">
        <f t="shared" si="256"/>
        <v>0</v>
      </c>
      <c r="BJ464" s="2942">
        <f t="shared" si="257"/>
        <v>0</v>
      </c>
      <c r="BK464" s="2942">
        <f t="shared" si="258"/>
        <v>0</v>
      </c>
      <c r="BL464" s="2942">
        <f t="shared" si="259"/>
        <v>0</v>
      </c>
      <c r="BM464" s="2942">
        <f t="shared" si="260"/>
        <v>0</v>
      </c>
      <c r="BN464" s="2942">
        <f t="shared" si="261"/>
        <v>0</v>
      </c>
      <c r="BO464" s="2942">
        <f t="shared" si="262"/>
        <v>0</v>
      </c>
      <c r="BP464" s="2942">
        <f t="shared" si="263"/>
        <v>0</v>
      </c>
      <c r="BQ464" s="2942">
        <f t="shared" si="264"/>
        <v>0</v>
      </c>
      <c r="BR464" s="2942">
        <f t="shared" si="265"/>
        <v>0</v>
      </c>
      <c r="BS464" s="2942">
        <f t="shared" si="266"/>
        <v>0</v>
      </c>
      <c r="BT464" s="2994">
        <f t="shared" si="267"/>
        <v>0</v>
      </c>
    </row>
    <row r="465" spans="1:72">
      <c r="A465" s="2939"/>
      <c r="B465" s="2940"/>
      <c r="C465" s="2940"/>
      <c r="D465" s="2941"/>
      <c r="E465" s="2942">
        <f t="shared" si="239"/>
        <v>0</v>
      </c>
      <c r="F465" s="2943"/>
      <c r="G465" s="2944">
        <f t="shared" si="240"/>
        <v>0</v>
      </c>
      <c r="H465" s="2945">
        <f t="shared" si="241"/>
        <v>0</v>
      </c>
      <c r="I465" s="2952"/>
      <c r="J465" s="2952"/>
      <c r="K465" s="2952"/>
      <c r="L465" s="2952"/>
      <c r="M465" s="2952"/>
      <c r="N465" s="2952"/>
      <c r="O465" s="2952"/>
      <c r="P465" s="2952"/>
      <c r="Q465" s="2952"/>
      <c r="R465" s="2952"/>
      <c r="S465" s="2952"/>
      <c r="T465" s="2952"/>
      <c r="U465" s="2952"/>
      <c r="V465" s="2952"/>
      <c r="W465" s="2952"/>
      <c r="X465" s="2952"/>
      <c r="Y465" s="2952"/>
      <c r="Z465" s="2952"/>
      <c r="AA465" s="2952"/>
      <c r="AB465" s="2952"/>
      <c r="AC465" s="2942">
        <f t="shared" si="242"/>
        <v>0</v>
      </c>
      <c r="AD465" s="2962"/>
      <c r="AE465" s="2962"/>
      <c r="AF465" s="2962"/>
      <c r="AG465" s="2962"/>
      <c r="AH465" s="2962"/>
      <c r="AI465" s="2962"/>
      <c r="AJ465" s="2962"/>
      <c r="AK465" s="2962"/>
      <c r="AL465" s="2962"/>
      <c r="AM465" s="2962"/>
      <c r="AN465" s="2962"/>
      <c r="AO465" s="2962"/>
      <c r="AP465" s="2962"/>
      <c r="AQ465" s="2962"/>
      <c r="AR465" s="2962"/>
      <c r="AS465" s="2962"/>
      <c r="AT465" s="2972"/>
      <c r="AU465" s="2973"/>
      <c r="AV465" s="1120">
        <f t="shared" si="243"/>
        <v>0</v>
      </c>
      <c r="AW465" s="1120">
        <f t="shared" si="244"/>
        <v>0</v>
      </c>
      <c r="AX465" s="1120">
        <f t="shared" si="245"/>
        <v>0</v>
      </c>
      <c r="AY465" s="2987">
        <f t="shared" si="246"/>
        <v>0</v>
      </c>
      <c r="AZ465" s="2942">
        <f t="shared" si="247"/>
        <v>0</v>
      </c>
      <c r="BA465" s="2942">
        <f t="shared" si="248"/>
        <v>0</v>
      </c>
      <c r="BB465" s="2942">
        <f t="shared" si="249"/>
        <v>0</v>
      </c>
      <c r="BC465" s="2942">
        <f t="shared" si="250"/>
        <v>0</v>
      </c>
      <c r="BD465" s="2942">
        <f t="shared" si="251"/>
        <v>0</v>
      </c>
      <c r="BE465" s="2942">
        <f t="shared" si="252"/>
        <v>0</v>
      </c>
      <c r="BF465" s="2942">
        <f t="shared" si="253"/>
        <v>0</v>
      </c>
      <c r="BG465" s="2942">
        <f t="shared" si="254"/>
        <v>0</v>
      </c>
      <c r="BH465" s="2942">
        <f t="shared" si="255"/>
        <v>0</v>
      </c>
      <c r="BI465" s="2942">
        <f t="shared" si="256"/>
        <v>0</v>
      </c>
      <c r="BJ465" s="2942">
        <f t="shared" si="257"/>
        <v>0</v>
      </c>
      <c r="BK465" s="2942">
        <f t="shared" si="258"/>
        <v>0</v>
      </c>
      <c r="BL465" s="2942">
        <f t="shared" si="259"/>
        <v>0</v>
      </c>
      <c r="BM465" s="2942">
        <f t="shared" si="260"/>
        <v>0</v>
      </c>
      <c r="BN465" s="2942">
        <f t="shared" si="261"/>
        <v>0</v>
      </c>
      <c r="BO465" s="2942">
        <f t="shared" si="262"/>
        <v>0</v>
      </c>
      <c r="BP465" s="2942">
        <f t="shared" si="263"/>
        <v>0</v>
      </c>
      <c r="BQ465" s="2942">
        <f t="shared" si="264"/>
        <v>0</v>
      </c>
      <c r="BR465" s="2942">
        <f t="shared" si="265"/>
        <v>0</v>
      </c>
      <c r="BS465" s="2942">
        <f t="shared" si="266"/>
        <v>0</v>
      </c>
      <c r="BT465" s="2994">
        <f t="shared" si="267"/>
        <v>0</v>
      </c>
    </row>
    <row r="466" spans="1:72">
      <c r="A466" s="2939"/>
      <c r="B466" s="2940"/>
      <c r="C466" s="2940"/>
      <c r="D466" s="2941"/>
      <c r="E466" s="2942">
        <f t="shared" si="239"/>
        <v>0</v>
      </c>
      <c r="F466" s="2943"/>
      <c r="G466" s="2944">
        <f t="shared" si="240"/>
        <v>0</v>
      </c>
      <c r="H466" s="2945">
        <f t="shared" si="241"/>
        <v>0</v>
      </c>
      <c r="I466" s="2952"/>
      <c r="J466" s="2952"/>
      <c r="K466" s="2952"/>
      <c r="L466" s="2952"/>
      <c r="M466" s="2952"/>
      <c r="N466" s="2952"/>
      <c r="O466" s="2952"/>
      <c r="P466" s="2952"/>
      <c r="Q466" s="2952"/>
      <c r="R466" s="2952"/>
      <c r="S466" s="2952"/>
      <c r="T466" s="2952"/>
      <c r="U466" s="2952"/>
      <c r="V466" s="2952"/>
      <c r="W466" s="2952"/>
      <c r="X466" s="2952"/>
      <c r="Y466" s="2952"/>
      <c r="Z466" s="2952"/>
      <c r="AA466" s="2952"/>
      <c r="AB466" s="2952"/>
      <c r="AC466" s="2942">
        <f t="shared" si="242"/>
        <v>0</v>
      </c>
      <c r="AD466" s="2962"/>
      <c r="AE466" s="2962"/>
      <c r="AF466" s="2962"/>
      <c r="AG466" s="2962"/>
      <c r="AH466" s="2962"/>
      <c r="AI466" s="2962"/>
      <c r="AJ466" s="2962"/>
      <c r="AK466" s="2962"/>
      <c r="AL466" s="2962"/>
      <c r="AM466" s="2962"/>
      <c r="AN466" s="2962"/>
      <c r="AO466" s="2962"/>
      <c r="AP466" s="2962"/>
      <c r="AQ466" s="2962"/>
      <c r="AR466" s="2962"/>
      <c r="AS466" s="2962"/>
      <c r="AT466" s="2972"/>
      <c r="AU466" s="2973"/>
      <c r="AV466" s="1120">
        <f t="shared" si="243"/>
        <v>0</v>
      </c>
      <c r="AW466" s="1120">
        <f t="shared" si="244"/>
        <v>0</v>
      </c>
      <c r="AX466" s="1120">
        <f t="shared" si="245"/>
        <v>0</v>
      </c>
      <c r="AY466" s="2987">
        <f t="shared" si="246"/>
        <v>0</v>
      </c>
      <c r="AZ466" s="2942">
        <f t="shared" si="247"/>
        <v>0</v>
      </c>
      <c r="BA466" s="2942">
        <f t="shared" si="248"/>
        <v>0</v>
      </c>
      <c r="BB466" s="2942">
        <f t="shared" si="249"/>
        <v>0</v>
      </c>
      <c r="BC466" s="2942">
        <f t="shared" si="250"/>
        <v>0</v>
      </c>
      <c r="BD466" s="2942">
        <f t="shared" si="251"/>
        <v>0</v>
      </c>
      <c r="BE466" s="2942">
        <f t="shared" si="252"/>
        <v>0</v>
      </c>
      <c r="BF466" s="2942">
        <f t="shared" si="253"/>
        <v>0</v>
      </c>
      <c r="BG466" s="2942">
        <f t="shared" si="254"/>
        <v>0</v>
      </c>
      <c r="BH466" s="2942">
        <f t="shared" si="255"/>
        <v>0</v>
      </c>
      <c r="BI466" s="2942">
        <f t="shared" si="256"/>
        <v>0</v>
      </c>
      <c r="BJ466" s="2942">
        <f t="shared" si="257"/>
        <v>0</v>
      </c>
      <c r="BK466" s="2942">
        <f t="shared" si="258"/>
        <v>0</v>
      </c>
      <c r="BL466" s="2942">
        <f t="shared" si="259"/>
        <v>0</v>
      </c>
      <c r="BM466" s="2942">
        <f t="shared" si="260"/>
        <v>0</v>
      </c>
      <c r="BN466" s="2942">
        <f t="shared" si="261"/>
        <v>0</v>
      </c>
      <c r="BO466" s="2942">
        <f t="shared" si="262"/>
        <v>0</v>
      </c>
      <c r="BP466" s="2942">
        <f t="shared" si="263"/>
        <v>0</v>
      </c>
      <c r="BQ466" s="2942">
        <f t="shared" si="264"/>
        <v>0</v>
      </c>
      <c r="BR466" s="2942">
        <f t="shared" si="265"/>
        <v>0</v>
      </c>
      <c r="BS466" s="2942">
        <f t="shared" si="266"/>
        <v>0</v>
      </c>
      <c r="BT466" s="2994">
        <f t="shared" si="267"/>
        <v>0</v>
      </c>
    </row>
    <row r="467" spans="1:72">
      <c r="A467" s="2939"/>
      <c r="B467" s="2940"/>
      <c r="C467" s="2940"/>
      <c r="D467" s="2941"/>
      <c r="E467" s="2942">
        <f t="shared" si="239"/>
        <v>0</v>
      </c>
      <c r="F467" s="2943"/>
      <c r="G467" s="2944">
        <f t="shared" si="240"/>
        <v>0</v>
      </c>
      <c r="H467" s="2945">
        <f t="shared" si="241"/>
        <v>0</v>
      </c>
      <c r="I467" s="2952"/>
      <c r="J467" s="2952"/>
      <c r="K467" s="2952"/>
      <c r="L467" s="2952"/>
      <c r="M467" s="2952"/>
      <c r="N467" s="2952"/>
      <c r="O467" s="2952"/>
      <c r="P467" s="2952"/>
      <c r="Q467" s="2952"/>
      <c r="R467" s="2952"/>
      <c r="S467" s="2952"/>
      <c r="T467" s="2952"/>
      <c r="U467" s="2952"/>
      <c r="V467" s="2952"/>
      <c r="W467" s="2952"/>
      <c r="X467" s="2952"/>
      <c r="Y467" s="2952"/>
      <c r="Z467" s="2952"/>
      <c r="AA467" s="2952"/>
      <c r="AB467" s="2952"/>
      <c r="AC467" s="2942">
        <f t="shared" si="242"/>
        <v>0</v>
      </c>
      <c r="AD467" s="2962"/>
      <c r="AE467" s="2962"/>
      <c r="AF467" s="2962"/>
      <c r="AG467" s="2962"/>
      <c r="AH467" s="2962"/>
      <c r="AI467" s="2962"/>
      <c r="AJ467" s="2962"/>
      <c r="AK467" s="2962"/>
      <c r="AL467" s="2962"/>
      <c r="AM467" s="2962"/>
      <c r="AN467" s="2962"/>
      <c r="AO467" s="2962"/>
      <c r="AP467" s="2962"/>
      <c r="AQ467" s="2962"/>
      <c r="AR467" s="2962"/>
      <c r="AS467" s="2962"/>
      <c r="AT467" s="2972"/>
      <c r="AU467" s="2973"/>
      <c r="AV467" s="1120">
        <f t="shared" si="243"/>
        <v>0</v>
      </c>
      <c r="AW467" s="1120">
        <f t="shared" si="244"/>
        <v>0</v>
      </c>
      <c r="AX467" s="1120">
        <f t="shared" si="245"/>
        <v>0</v>
      </c>
      <c r="AY467" s="2987">
        <f t="shared" si="246"/>
        <v>0</v>
      </c>
      <c r="AZ467" s="2942">
        <f t="shared" si="247"/>
        <v>0</v>
      </c>
      <c r="BA467" s="2942">
        <f t="shared" si="248"/>
        <v>0</v>
      </c>
      <c r="BB467" s="2942">
        <f t="shared" si="249"/>
        <v>0</v>
      </c>
      <c r="BC467" s="2942">
        <f t="shared" si="250"/>
        <v>0</v>
      </c>
      <c r="BD467" s="2942">
        <f t="shared" si="251"/>
        <v>0</v>
      </c>
      <c r="BE467" s="2942">
        <f t="shared" si="252"/>
        <v>0</v>
      </c>
      <c r="BF467" s="2942">
        <f t="shared" si="253"/>
        <v>0</v>
      </c>
      <c r="BG467" s="2942">
        <f t="shared" si="254"/>
        <v>0</v>
      </c>
      <c r="BH467" s="2942">
        <f t="shared" si="255"/>
        <v>0</v>
      </c>
      <c r="BI467" s="2942">
        <f t="shared" si="256"/>
        <v>0</v>
      </c>
      <c r="BJ467" s="2942">
        <f t="shared" si="257"/>
        <v>0</v>
      </c>
      <c r="BK467" s="2942">
        <f t="shared" si="258"/>
        <v>0</v>
      </c>
      <c r="BL467" s="2942">
        <f t="shared" si="259"/>
        <v>0</v>
      </c>
      <c r="BM467" s="2942">
        <f t="shared" si="260"/>
        <v>0</v>
      </c>
      <c r="BN467" s="2942">
        <f t="shared" si="261"/>
        <v>0</v>
      </c>
      <c r="BO467" s="2942">
        <f t="shared" si="262"/>
        <v>0</v>
      </c>
      <c r="BP467" s="2942">
        <f t="shared" si="263"/>
        <v>0</v>
      </c>
      <c r="BQ467" s="2942">
        <f t="shared" si="264"/>
        <v>0</v>
      </c>
      <c r="BR467" s="2942">
        <f t="shared" si="265"/>
        <v>0</v>
      </c>
      <c r="BS467" s="2942">
        <f t="shared" si="266"/>
        <v>0</v>
      </c>
      <c r="BT467" s="2994">
        <f t="shared" si="267"/>
        <v>0</v>
      </c>
    </row>
    <row r="468" spans="1:72">
      <c r="A468" s="2939"/>
      <c r="B468" s="2940"/>
      <c r="C468" s="2940"/>
      <c r="D468" s="2941"/>
      <c r="E468" s="2942">
        <f t="shared" si="239"/>
        <v>0</v>
      </c>
      <c r="F468" s="2943"/>
      <c r="G468" s="2944">
        <f t="shared" si="240"/>
        <v>0</v>
      </c>
      <c r="H468" s="2945">
        <f t="shared" si="241"/>
        <v>0</v>
      </c>
      <c r="I468" s="2952"/>
      <c r="J468" s="2952"/>
      <c r="K468" s="2952"/>
      <c r="L468" s="2952"/>
      <c r="M468" s="2952"/>
      <c r="N468" s="2952"/>
      <c r="O468" s="2952"/>
      <c r="P468" s="2952"/>
      <c r="Q468" s="2952"/>
      <c r="R468" s="2952"/>
      <c r="S468" s="2952"/>
      <c r="T468" s="2952"/>
      <c r="U468" s="2952"/>
      <c r="V468" s="2952"/>
      <c r="W468" s="2952"/>
      <c r="X468" s="2952"/>
      <c r="Y468" s="2952"/>
      <c r="Z468" s="2952"/>
      <c r="AA468" s="2952"/>
      <c r="AB468" s="2952"/>
      <c r="AC468" s="2942">
        <f t="shared" si="242"/>
        <v>0</v>
      </c>
      <c r="AD468" s="2962"/>
      <c r="AE468" s="2962"/>
      <c r="AF468" s="2962"/>
      <c r="AG468" s="2962"/>
      <c r="AH468" s="2962"/>
      <c r="AI468" s="2962"/>
      <c r="AJ468" s="2962"/>
      <c r="AK468" s="2962"/>
      <c r="AL468" s="2962"/>
      <c r="AM468" s="2962"/>
      <c r="AN468" s="2962"/>
      <c r="AO468" s="2962"/>
      <c r="AP468" s="2962"/>
      <c r="AQ468" s="2962"/>
      <c r="AR468" s="2962"/>
      <c r="AS468" s="2962"/>
      <c r="AT468" s="2972"/>
      <c r="AU468" s="2973"/>
      <c r="AV468" s="1120">
        <f t="shared" si="243"/>
        <v>0</v>
      </c>
      <c r="AW468" s="1120">
        <f t="shared" si="244"/>
        <v>0</v>
      </c>
      <c r="AX468" s="1120">
        <f t="shared" si="245"/>
        <v>0</v>
      </c>
      <c r="AY468" s="2987">
        <f t="shared" si="246"/>
        <v>0</v>
      </c>
      <c r="AZ468" s="2942">
        <f t="shared" si="247"/>
        <v>0</v>
      </c>
      <c r="BA468" s="2942">
        <f t="shared" si="248"/>
        <v>0</v>
      </c>
      <c r="BB468" s="2942">
        <f t="shared" si="249"/>
        <v>0</v>
      </c>
      <c r="BC468" s="2942">
        <f t="shared" si="250"/>
        <v>0</v>
      </c>
      <c r="BD468" s="2942">
        <f t="shared" si="251"/>
        <v>0</v>
      </c>
      <c r="BE468" s="2942">
        <f t="shared" si="252"/>
        <v>0</v>
      </c>
      <c r="BF468" s="2942">
        <f t="shared" si="253"/>
        <v>0</v>
      </c>
      <c r="BG468" s="2942">
        <f t="shared" si="254"/>
        <v>0</v>
      </c>
      <c r="BH468" s="2942">
        <f t="shared" si="255"/>
        <v>0</v>
      </c>
      <c r="BI468" s="2942">
        <f t="shared" si="256"/>
        <v>0</v>
      </c>
      <c r="BJ468" s="2942">
        <f t="shared" si="257"/>
        <v>0</v>
      </c>
      <c r="BK468" s="2942">
        <f t="shared" si="258"/>
        <v>0</v>
      </c>
      <c r="BL468" s="2942">
        <f t="shared" si="259"/>
        <v>0</v>
      </c>
      <c r="BM468" s="2942">
        <f t="shared" si="260"/>
        <v>0</v>
      </c>
      <c r="BN468" s="2942">
        <f t="shared" si="261"/>
        <v>0</v>
      </c>
      <c r="BO468" s="2942">
        <f t="shared" si="262"/>
        <v>0</v>
      </c>
      <c r="BP468" s="2942">
        <f t="shared" si="263"/>
        <v>0</v>
      </c>
      <c r="BQ468" s="2942">
        <f t="shared" si="264"/>
        <v>0</v>
      </c>
      <c r="BR468" s="2942">
        <f t="shared" si="265"/>
        <v>0</v>
      </c>
      <c r="BS468" s="2942">
        <f t="shared" si="266"/>
        <v>0</v>
      </c>
      <c r="BT468" s="2994">
        <f t="shared" si="267"/>
        <v>0</v>
      </c>
    </row>
    <row r="469" spans="1:72">
      <c r="A469" s="2939"/>
      <c r="B469" s="2940"/>
      <c r="C469" s="2940"/>
      <c r="D469" s="2941"/>
      <c r="E469" s="2942">
        <f t="shared" si="239"/>
        <v>0</v>
      </c>
      <c r="F469" s="2943"/>
      <c r="G469" s="2944">
        <f t="shared" si="240"/>
        <v>0</v>
      </c>
      <c r="H469" s="2945">
        <f t="shared" si="241"/>
        <v>0</v>
      </c>
      <c r="I469" s="2952"/>
      <c r="J469" s="2952"/>
      <c r="K469" s="2952"/>
      <c r="L469" s="2952"/>
      <c r="M469" s="2952"/>
      <c r="N469" s="2952"/>
      <c r="O469" s="2952"/>
      <c r="P469" s="2952"/>
      <c r="Q469" s="2952"/>
      <c r="R469" s="2952"/>
      <c r="S469" s="2952"/>
      <c r="T469" s="2952"/>
      <c r="U469" s="2952"/>
      <c r="V469" s="2952"/>
      <c r="W469" s="2952"/>
      <c r="X469" s="2952"/>
      <c r="Y469" s="2952"/>
      <c r="Z469" s="2952"/>
      <c r="AA469" s="2952"/>
      <c r="AB469" s="2952"/>
      <c r="AC469" s="2942">
        <f t="shared" si="242"/>
        <v>0</v>
      </c>
      <c r="AD469" s="2962"/>
      <c r="AE469" s="2962"/>
      <c r="AF469" s="2962"/>
      <c r="AG469" s="2962"/>
      <c r="AH469" s="2962"/>
      <c r="AI469" s="2962"/>
      <c r="AJ469" s="2962"/>
      <c r="AK469" s="2962"/>
      <c r="AL469" s="2962"/>
      <c r="AM469" s="2962"/>
      <c r="AN469" s="2962"/>
      <c r="AO469" s="2962"/>
      <c r="AP469" s="2962"/>
      <c r="AQ469" s="2962"/>
      <c r="AR469" s="2962"/>
      <c r="AS469" s="2962"/>
      <c r="AT469" s="2972"/>
      <c r="AU469" s="2973"/>
      <c r="AV469" s="1120">
        <f t="shared" si="243"/>
        <v>0</v>
      </c>
      <c r="AW469" s="1120">
        <f t="shared" si="244"/>
        <v>0</v>
      </c>
      <c r="AX469" s="1120">
        <f t="shared" si="245"/>
        <v>0</v>
      </c>
      <c r="AY469" s="2987">
        <f t="shared" si="246"/>
        <v>0</v>
      </c>
      <c r="AZ469" s="2942">
        <f t="shared" si="247"/>
        <v>0</v>
      </c>
      <c r="BA469" s="2942">
        <f t="shared" si="248"/>
        <v>0</v>
      </c>
      <c r="BB469" s="2942">
        <f t="shared" si="249"/>
        <v>0</v>
      </c>
      <c r="BC469" s="2942">
        <f t="shared" si="250"/>
        <v>0</v>
      </c>
      <c r="BD469" s="2942">
        <f t="shared" si="251"/>
        <v>0</v>
      </c>
      <c r="BE469" s="2942">
        <f t="shared" si="252"/>
        <v>0</v>
      </c>
      <c r="BF469" s="2942">
        <f t="shared" si="253"/>
        <v>0</v>
      </c>
      <c r="BG469" s="2942">
        <f t="shared" si="254"/>
        <v>0</v>
      </c>
      <c r="BH469" s="2942">
        <f t="shared" si="255"/>
        <v>0</v>
      </c>
      <c r="BI469" s="2942">
        <f t="shared" si="256"/>
        <v>0</v>
      </c>
      <c r="BJ469" s="2942">
        <f t="shared" si="257"/>
        <v>0</v>
      </c>
      <c r="BK469" s="2942">
        <f t="shared" si="258"/>
        <v>0</v>
      </c>
      <c r="BL469" s="2942">
        <f t="shared" si="259"/>
        <v>0</v>
      </c>
      <c r="BM469" s="2942">
        <f t="shared" si="260"/>
        <v>0</v>
      </c>
      <c r="BN469" s="2942">
        <f t="shared" si="261"/>
        <v>0</v>
      </c>
      <c r="BO469" s="2942">
        <f t="shared" si="262"/>
        <v>0</v>
      </c>
      <c r="BP469" s="2942">
        <f t="shared" si="263"/>
        <v>0</v>
      </c>
      <c r="BQ469" s="2942">
        <f t="shared" si="264"/>
        <v>0</v>
      </c>
      <c r="BR469" s="2942">
        <f t="shared" si="265"/>
        <v>0</v>
      </c>
      <c r="BS469" s="2942">
        <f t="shared" si="266"/>
        <v>0</v>
      </c>
      <c r="BT469" s="2994">
        <f t="shared" si="267"/>
        <v>0</v>
      </c>
    </row>
    <row r="470" spans="1:72">
      <c r="A470" s="2939"/>
      <c r="B470" s="2940"/>
      <c r="C470" s="2940"/>
      <c r="D470" s="2941"/>
      <c r="E470" s="2942">
        <f t="shared" si="239"/>
        <v>0</v>
      </c>
      <c r="F470" s="2943"/>
      <c r="G470" s="2944">
        <f t="shared" si="240"/>
        <v>0</v>
      </c>
      <c r="H470" s="2945">
        <f t="shared" si="241"/>
        <v>0</v>
      </c>
      <c r="I470" s="2952"/>
      <c r="J470" s="2952"/>
      <c r="K470" s="2952"/>
      <c r="L470" s="2952"/>
      <c r="M470" s="2952"/>
      <c r="N470" s="2952"/>
      <c r="O470" s="2952"/>
      <c r="P470" s="2952"/>
      <c r="Q470" s="2952"/>
      <c r="R470" s="2952"/>
      <c r="S470" s="2952"/>
      <c r="T470" s="2952"/>
      <c r="U470" s="2952"/>
      <c r="V470" s="2952"/>
      <c r="W470" s="2952"/>
      <c r="X470" s="2952"/>
      <c r="Y470" s="2952"/>
      <c r="Z470" s="2952"/>
      <c r="AA470" s="2952"/>
      <c r="AB470" s="2952"/>
      <c r="AC470" s="2942">
        <f t="shared" si="242"/>
        <v>0</v>
      </c>
      <c r="AD470" s="2962"/>
      <c r="AE470" s="2962"/>
      <c r="AF470" s="2962"/>
      <c r="AG470" s="2962"/>
      <c r="AH470" s="2962"/>
      <c r="AI470" s="2962"/>
      <c r="AJ470" s="2962"/>
      <c r="AK470" s="2962"/>
      <c r="AL470" s="2962"/>
      <c r="AM470" s="2962"/>
      <c r="AN470" s="2962"/>
      <c r="AO470" s="2962"/>
      <c r="AP470" s="2962"/>
      <c r="AQ470" s="2962"/>
      <c r="AR470" s="2962"/>
      <c r="AS470" s="2962"/>
      <c r="AT470" s="2972"/>
      <c r="AU470" s="2973"/>
      <c r="AV470" s="1120">
        <f t="shared" si="243"/>
        <v>0</v>
      </c>
      <c r="AW470" s="1120">
        <f t="shared" si="244"/>
        <v>0</v>
      </c>
      <c r="AX470" s="1120">
        <f t="shared" si="245"/>
        <v>0</v>
      </c>
      <c r="AY470" s="2987">
        <f t="shared" si="246"/>
        <v>0</v>
      </c>
      <c r="AZ470" s="2942">
        <f t="shared" si="247"/>
        <v>0</v>
      </c>
      <c r="BA470" s="2942">
        <f t="shared" si="248"/>
        <v>0</v>
      </c>
      <c r="BB470" s="2942">
        <f t="shared" si="249"/>
        <v>0</v>
      </c>
      <c r="BC470" s="2942">
        <f t="shared" si="250"/>
        <v>0</v>
      </c>
      <c r="BD470" s="2942">
        <f t="shared" si="251"/>
        <v>0</v>
      </c>
      <c r="BE470" s="2942">
        <f t="shared" si="252"/>
        <v>0</v>
      </c>
      <c r="BF470" s="2942">
        <f t="shared" si="253"/>
        <v>0</v>
      </c>
      <c r="BG470" s="2942">
        <f t="shared" si="254"/>
        <v>0</v>
      </c>
      <c r="BH470" s="2942">
        <f t="shared" si="255"/>
        <v>0</v>
      </c>
      <c r="BI470" s="2942">
        <f t="shared" si="256"/>
        <v>0</v>
      </c>
      <c r="BJ470" s="2942">
        <f t="shared" si="257"/>
        <v>0</v>
      </c>
      <c r="BK470" s="2942">
        <f t="shared" si="258"/>
        <v>0</v>
      </c>
      <c r="BL470" s="2942">
        <f t="shared" si="259"/>
        <v>0</v>
      </c>
      <c r="BM470" s="2942">
        <f t="shared" si="260"/>
        <v>0</v>
      </c>
      <c r="BN470" s="2942">
        <f t="shared" si="261"/>
        <v>0</v>
      </c>
      <c r="BO470" s="2942">
        <f t="shared" si="262"/>
        <v>0</v>
      </c>
      <c r="BP470" s="2942">
        <f t="shared" si="263"/>
        <v>0</v>
      </c>
      <c r="BQ470" s="2942">
        <f t="shared" si="264"/>
        <v>0</v>
      </c>
      <c r="BR470" s="2942">
        <f t="shared" si="265"/>
        <v>0</v>
      </c>
      <c r="BS470" s="2942">
        <f t="shared" si="266"/>
        <v>0</v>
      </c>
      <c r="BT470" s="2994">
        <f t="shared" si="267"/>
        <v>0</v>
      </c>
    </row>
    <row r="471" spans="1:72">
      <c r="A471" s="2939"/>
      <c r="B471" s="2940"/>
      <c r="C471" s="2940"/>
      <c r="D471" s="2941"/>
      <c r="E471" s="2942">
        <f t="shared" si="239"/>
        <v>0</v>
      </c>
      <c r="F471" s="2943"/>
      <c r="G471" s="2944">
        <f t="shared" si="240"/>
        <v>0</v>
      </c>
      <c r="H471" s="2945">
        <f t="shared" si="241"/>
        <v>0</v>
      </c>
      <c r="I471" s="2952"/>
      <c r="J471" s="2952"/>
      <c r="K471" s="2952"/>
      <c r="L471" s="2952"/>
      <c r="M471" s="2952"/>
      <c r="N471" s="2952"/>
      <c r="O471" s="2952"/>
      <c r="P471" s="2952"/>
      <c r="Q471" s="2952"/>
      <c r="R471" s="2952"/>
      <c r="S471" s="2952"/>
      <c r="T471" s="2952"/>
      <c r="U471" s="2952"/>
      <c r="V471" s="2952"/>
      <c r="W471" s="2952"/>
      <c r="X471" s="2952"/>
      <c r="Y471" s="2952"/>
      <c r="Z471" s="2952"/>
      <c r="AA471" s="2952"/>
      <c r="AB471" s="2952"/>
      <c r="AC471" s="2942">
        <f t="shared" si="242"/>
        <v>0</v>
      </c>
      <c r="AD471" s="2962"/>
      <c r="AE471" s="2962"/>
      <c r="AF471" s="2962"/>
      <c r="AG471" s="2962"/>
      <c r="AH471" s="2962"/>
      <c r="AI471" s="2962"/>
      <c r="AJ471" s="2962"/>
      <c r="AK471" s="2962"/>
      <c r="AL471" s="2962"/>
      <c r="AM471" s="2962"/>
      <c r="AN471" s="2962"/>
      <c r="AO471" s="2962"/>
      <c r="AP471" s="2962"/>
      <c r="AQ471" s="2962"/>
      <c r="AR471" s="2962"/>
      <c r="AS471" s="2962"/>
      <c r="AT471" s="2972"/>
      <c r="AU471" s="2973"/>
      <c r="AV471" s="1120">
        <f t="shared" si="243"/>
        <v>0</v>
      </c>
      <c r="AW471" s="1120">
        <f t="shared" si="244"/>
        <v>0</v>
      </c>
      <c r="AX471" s="1120">
        <f t="shared" si="245"/>
        <v>0</v>
      </c>
      <c r="AY471" s="2987">
        <f t="shared" si="246"/>
        <v>0</v>
      </c>
      <c r="AZ471" s="2942">
        <f t="shared" si="247"/>
        <v>0</v>
      </c>
      <c r="BA471" s="2942">
        <f t="shared" si="248"/>
        <v>0</v>
      </c>
      <c r="BB471" s="2942">
        <f t="shared" si="249"/>
        <v>0</v>
      </c>
      <c r="BC471" s="2942">
        <f t="shared" si="250"/>
        <v>0</v>
      </c>
      <c r="BD471" s="2942">
        <f t="shared" si="251"/>
        <v>0</v>
      </c>
      <c r="BE471" s="2942">
        <f t="shared" si="252"/>
        <v>0</v>
      </c>
      <c r="BF471" s="2942">
        <f t="shared" si="253"/>
        <v>0</v>
      </c>
      <c r="BG471" s="2942">
        <f t="shared" si="254"/>
        <v>0</v>
      </c>
      <c r="BH471" s="2942">
        <f t="shared" si="255"/>
        <v>0</v>
      </c>
      <c r="BI471" s="2942">
        <f t="shared" si="256"/>
        <v>0</v>
      </c>
      <c r="BJ471" s="2942">
        <f t="shared" si="257"/>
        <v>0</v>
      </c>
      <c r="BK471" s="2942">
        <f t="shared" si="258"/>
        <v>0</v>
      </c>
      <c r="BL471" s="2942">
        <f t="shared" si="259"/>
        <v>0</v>
      </c>
      <c r="BM471" s="2942">
        <f t="shared" si="260"/>
        <v>0</v>
      </c>
      <c r="BN471" s="2942">
        <f t="shared" si="261"/>
        <v>0</v>
      </c>
      <c r="BO471" s="2942">
        <f t="shared" si="262"/>
        <v>0</v>
      </c>
      <c r="BP471" s="2942">
        <f t="shared" si="263"/>
        <v>0</v>
      </c>
      <c r="BQ471" s="2942">
        <f t="shared" si="264"/>
        <v>0</v>
      </c>
      <c r="BR471" s="2942">
        <f t="shared" si="265"/>
        <v>0</v>
      </c>
      <c r="BS471" s="2942">
        <f t="shared" si="266"/>
        <v>0</v>
      </c>
      <c r="BT471" s="2994">
        <f t="shared" si="267"/>
        <v>0</v>
      </c>
    </row>
    <row r="472" spans="1:72">
      <c r="A472" s="2939"/>
      <c r="B472" s="2940"/>
      <c r="C472" s="2940"/>
      <c r="D472" s="2941"/>
      <c r="E472" s="2942">
        <f t="shared" si="239"/>
        <v>0</v>
      </c>
      <c r="F472" s="2943"/>
      <c r="G472" s="2944">
        <f t="shared" si="240"/>
        <v>0</v>
      </c>
      <c r="H472" s="2945">
        <f t="shared" si="241"/>
        <v>0</v>
      </c>
      <c r="I472" s="2952"/>
      <c r="J472" s="2952"/>
      <c r="K472" s="2952"/>
      <c r="L472" s="2952"/>
      <c r="M472" s="2952"/>
      <c r="N472" s="2952"/>
      <c r="O472" s="2952"/>
      <c r="P472" s="2952"/>
      <c r="Q472" s="2952"/>
      <c r="R472" s="2952"/>
      <c r="S472" s="2952"/>
      <c r="T472" s="2952"/>
      <c r="U472" s="2952"/>
      <c r="V472" s="2952"/>
      <c r="W472" s="2952"/>
      <c r="X472" s="2952"/>
      <c r="Y472" s="2952"/>
      <c r="Z472" s="2952"/>
      <c r="AA472" s="2952"/>
      <c r="AB472" s="2952"/>
      <c r="AC472" s="2942">
        <f t="shared" si="242"/>
        <v>0</v>
      </c>
      <c r="AD472" s="2962"/>
      <c r="AE472" s="2962"/>
      <c r="AF472" s="2962"/>
      <c r="AG472" s="2962"/>
      <c r="AH472" s="2962"/>
      <c r="AI472" s="2962"/>
      <c r="AJ472" s="2962"/>
      <c r="AK472" s="2962"/>
      <c r="AL472" s="2962"/>
      <c r="AM472" s="2962"/>
      <c r="AN472" s="2962"/>
      <c r="AO472" s="2962"/>
      <c r="AP472" s="2962"/>
      <c r="AQ472" s="2962"/>
      <c r="AR472" s="2962"/>
      <c r="AS472" s="2962"/>
      <c r="AT472" s="2972"/>
      <c r="AU472" s="2973"/>
      <c r="AV472" s="1120">
        <f t="shared" si="243"/>
        <v>0</v>
      </c>
      <c r="AW472" s="1120">
        <f t="shared" si="244"/>
        <v>0</v>
      </c>
      <c r="AX472" s="1120">
        <f t="shared" si="245"/>
        <v>0</v>
      </c>
      <c r="AY472" s="2987">
        <f t="shared" si="246"/>
        <v>0</v>
      </c>
      <c r="AZ472" s="2942">
        <f t="shared" si="247"/>
        <v>0</v>
      </c>
      <c r="BA472" s="2942">
        <f t="shared" si="248"/>
        <v>0</v>
      </c>
      <c r="BB472" s="2942">
        <f t="shared" si="249"/>
        <v>0</v>
      </c>
      <c r="BC472" s="2942">
        <f t="shared" si="250"/>
        <v>0</v>
      </c>
      <c r="BD472" s="2942">
        <f t="shared" si="251"/>
        <v>0</v>
      </c>
      <c r="BE472" s="2942">
        <f t="shared" si="252"/>
        <v>0</v>
      </c>
      <c r="BF472" s="2942">
        <f t="shared" si="253"/>
        <v>0</v>
      </c>
      <c r="BG472" s="2942">
        <f t="shared" si="254"/>
        <v>0</v>
      </c>
      <c r="BH472" s="2942">
        <f t="shared" si="255"/>
        <v>0</v>
      </c>
      <c r="BI472" s="2942">
        <f t="shared" si="256"/>
        <v>0</v>
      </c>
      <c r="BJ472" s="2942">
        <f t="shared" si="257"/>
        <v>0</v>
      </c>
      <c r="BK472" s="2942">
        <f t="shared" si="258"/>
        <v>0</v>
      </c>
      <c r="BL472" s="2942">
        <f t="shared" si="259"/>
        <v>0</v>
      </c>
      <c r="BM472" s="2942">
        <f t="shared" si="260"/>
        <v>0</v>
      </c>
      <c r="BN472" s="2942">
        <f t="shared" si="261"/>
        <v>0</v>
      </c>
      <c r="BO472" s="2942">
        <f t="shared" si="262"/>
        <v>0</v>
      </c>
      <c r="BP472" s="2942">
        <f t="shared" si="263"/>
        <v>0</v>
      </c>
      <c r="BQ472" s="2942">
        <f t="shared" si="264"/>
        <v>0</v>
      </c>
      <c r="BR472" s="2942">
        <f t="shared" si="265"/>
        <v>0</v>
      </c>
      <c r="BS472" s="2942">
        <f t="shared" si="266"/>
        <v>0</v>
      </c>
      <c r="BT472" s="2994">
        <f t="shared" si="267"/>
        <v>0</v>
      </c>
    </row>
    <row r="473" spans="1:72">
      <c r="A473" s="2939"/>
      <c r="B473" s="2940"/>
      <c r="C473" s="2940"/>
      <c r="D473" s="2941"/>
      <c r="E473" s="2942">
        <f t="shared" si="239"/>
        <v>0</v>
      </c>
      <c r="F473" s="2943"/>
      <c r="G473" s="2944">
        <f t="shared" si="240"/>
        <v>0</v>
      </c>
      <c r="H473" s="2945">
        <f t="shared" si="241"/>
        <v>0</v>
      </c>
      <c r="I473" s="2952"/>
      <c r="J473" s="2952"/>
      <c r="K473" s="2952"/>
      <c r="L473" s="2952"/>
      <c r="M473" s="2952"/>
      <c r="N473" s="2952"/>
      <c r="O473" s="2952"/>
      <c r="P473" s="2952"/>
      <c r="Q473" s="2952"/>
      <c r="R473" s="2952"/>
      <c r="S473" s="2952"/>
      <c r="T473" s="2952"/>
      <c r="U473" s="2952"/>
      <c r="V473" s="2952"/>
      <c r="W473" s="2952"/>
      <c r="X473" s="2952"/>
      <c r="Y473" s="2952"/>
      <c r="Z473" s="2952"/>
      <c r="AA473" s="2952"/>
      <c r="AB473" s="2952"/>
      <c r="AC473" s="2942">
        <f t="shared" si="242"/>
        <v>0</v>
      </c>
      <c r="AD473" s="2962"/>
      <c r="AE473" s="2962"/>
      <c r="AF473" s="2962"/>
      <c r="AG473" s="2962"/>
      <c r="AH473" s="2962"/>
      <c r="AI473" s="2962"/>
      <c r="AJ473" s="2962"/>
      <c r="AK473" s="2962"/>
      <c r="AL473" s="2962"/>
      <c r="AM473" s="2962"/>
      <c r="AN473" s="2962"/>
      <c r="AO473" s="2962"/>
      <c r="AP473" s="2962"/>
      <c r="AQ473" s="2962"/>
      <c r="AR473" s="2962"/>
      <c r="AS473" s="2962"/>
      <c r="AT473" s="2972"/>
      <c r="AU473" s="2973"/>
      <c r="AV473" s="1120">
        <f t="shared" si="243"/>
        <v>0</v>
      </c>
      <c r="AW473" s="1120">
        <f t="shared" si="244"/>
        <v>0</v>
      </c>
      <c r="AX473" s="1120">
        <f t="shared" si="245"/>
        <v>0</v>
      </c>
      <c r="AY473" s="2987">
        <f t="shared" si="246"/>
        <v>0</v>
      </c>
      <c r="AZ473" s="2942">
        <f t="shared" si="247"/>
        <v>0</v>
      </c>
      <c r="BA473" s="2942">
        <f t="shared" si="248"/>
        <v>0</v>
      </c>
      <c r="BB473" s="2942">
        <f t="shared" si="249"/>
        <v>0</v>
      </c>
      <c r="BC473" s="2942">
        <f t="shared" si="250"/>
        <v>0</v>
      </c>
      <c r="BD473" s="2942">
        <f t="shared" si="251"/>
        <v>0</v>
      </c>
      <c r="BE473" s="2942">
        <f t="shared" si="252"/>
        <v>0</v>
      </c>
      <c r="BF473" s="2942">
        <f t="shared" si="253"/>
        <v>0</v>
      </c>
      <c r="BG473" s="2942">
        <f t="shared" si="254"/>
        <v>0</v>
      </c>
      <c r="BH473" s="2942">
        <f t="shared" si="255"/>
        <v>0</v>
      </c>
      <c r="BI473" s="2942">
        <f t="shared" si="256"/>
        <v>0</v>
      </c>
      <c r="BJ473" s="2942">
        <f t="shared" si="257"/>
        <v>0</v>
      </c>
      <c r="BK473" s="2942">
        <f t="shared" si="258"/>
        <v>0</v>
      </c>
      <c r="BL473" s="2942">
        <f t="shared" si="259"/>
        <v>0</v>
      </c>
      <c r="BM473" s="2942">
        <f t="shared" si="260"/>
        <v>0</v>
      </c>
      <c r="BN473" s="2942">
        <f t="shared" si="261"/>
        <v>0</v>
      </c>
      <c r="BO473" s="2942">
        <f t="shared" si="262"/>
        <v>0</v>
      </c>
      <c r="BP473" s="2942">
        <f t="shared" si="263"/>
        <v>0</v>
      </c>
      <c r="BQ473" s="2942">
        <f t="shared" si="264"/>
        <v>0</v>
      </c>
      <c r="BR473" s="2942">
        <f t="shared" si="265"/>
        <v>0</v>
      </c>
      <c r="BS473" s="2942">
        <f t="shared" si="266"/>
        <v>0</v>
      </c>
      <c r="BT473" s="2994">
        <f t="shared" si="267"/>
        <v>0</v>
      </c>
    </row>
    <row r="474" spans="1:72">
      <c r="A474" s="2939"/>
      <c r="B474" s="2940"/>
      <c r="C474" s="2940"/>
      <c r="D474" s="2941"/>
      <c r="E474" s="2942">
        <f t="shared" si="239"/>
        <v>0</v>
      </c>
      <c r="F474" s="2943"/>
      <c r="G474" s="2944">
        <f t="shared" si="240"/>
        <v>0</v>
      </c>
      <c r="H474" s="2945">
        <f t="shared" si="241"/>
        <v>0</v>
      </c>
      <c r="I474" s="2952"/>
      <c r="J474" s="2952"/>
      <c r="K474" s="2952"/>
      <c r="L474" s="2952"/>
      <c r="M474" s="2952"/>
      <c r="N474" s="2952"/>
      <c r="O474" s="2952"/>
      <c r="P474" s="2952"/>
      <c r="Q474" s="2952"/>
      <c r="R474" s="2952"/>
      <c r="S474" s="2952"/>
      <c r="T474" s="2952"/>
      <c r="U474" s="2952"/>
      <c r="V474" s="2952"/>
      <c r="W474" s="2952"/>
      <c r="X474" s="2952"/>
      <c r="Y474" s="2952"/>
      <c r="Z474" s="2952"/>
      <c r="AA474" s="2952"/>
      <c r="AB474" s="2952"/>
      <c r="AC474" s="2942">
        <f t="shared" si="242"/>
        <v>0</v>
      </c>
      <c r="AD474" s="2962"/>
      <c r="AE474" s="2962"/>
      <c r="AF474" s="2962"/>
      <c r="AG474" s="2962"/>
      <c r="AH474" s="2962"/>
      <c r="AI474" s="2962"/>
      <c r="AJ474" s="2962"/>
      <c r="AK474" s="2962"/>
      <c r="AL474" s="2962"/>
      <c r="AM474" s="2962"/>
      <c r="AN474" s="2962"/>
      <c r="AO474" s="2962"/>
      <c r="AP474" s="2962"/>
      <c r="AQ474" s="2962"/>
      <c r="AR474" s="2962"/>
      <c r="AS474" s="2962"/>
      <c r="AT474" s="2972"/>
      <c r="AU474" s="2973"/>
      <c r="AV474" s="1120">
        <f t="shared" si="243"/>
        <v>0</v>
      </c>
      <c r="AW474" s="1120">
        <f t="shared" si="244"/>
        <v>0</v>
      </c>
      <c r="AX474" s="1120">
        <f t="shared" si="245"/>
        <v>0</v>
      </c>
      <c r="AY474" s="2987">
        <f t="shared" si="246"/>
        <v>0</v>
      </c>
      <c r="AZ474" s="2942">
        <f t="shared" si="247"/>
        <v>0</v>
      </c>
      <c r="BA474" s="2942">
        <f t="shared" si="248"/>
        <v>0</v>
      </c>
      <c r="BB474" s="2942">
        <f t="shared" si="249"/>
        <v>0</v>
      </c>
      <c r="BC474" s="2942">
        <f t="shared" si="250"/>
        <v>0</v>
      </c>
      <c r="BD474" s="2942">
        <f t="shared" si="251"/>
        <v>0</v>
      </c>
      <c r="BE474" s="2942">
        <f t="shared" si="252"/>
        <v>0</v>
      </c>
      <c r="BF474" s="2942">
        <f t="shared" si="253"/>
        <v>0</v>
      </c>
      <c r="BG474" s="2942">
        <f t="shared" si="254"/>
        <v>0</v>
      </c>
      <c r="BH474" s="2942">
        <f t="shared" si="255"/>
        <v>0</v>
      </c>
      <c r="BI474" s="2942">
        <f t="shared" si="256"/>
        <v>0</v>
      </c>
      <c r="BJ474" s="2942">
        <f t="shared" si="257"/>
        <v>0</v>
      </c>
      <c r="BK474" s="2942">
        <f t="shared" si="258"/>
        <v>0</v>
      </c>
      <c r="BL474" s="2942">
        <f t="shared" si="259"/>
        <v>0</v>
      </c>
      <c r="BM474" s="2942">
        <f t="shared" si="260"/>
        <v>0</v>
      </c>
      <c r="BN474" s="2942">
        <f t="shared" si="261"/>
        <v>0</v>
      </c>
      <c r="BO474" s="2942">
        <f t="shared" si="262"/>
        <v>0</v>
      </c>
      <c r="BP474" s="2942">
        <f t="shared" si="263"/>
        <v>0</v>
      </c>
      <c r="BQ474" s="2942">
        <f t="shared" si="264"/>
        <v>0</v>
      </c>
      <c r="BR474" s="2942">
        <f t="shared" si="265"/>
        <v>0</v>
      </c>
      <c r="BS474" s="2942">
        <f t="shared" si="266"/>
        <v>0</v>
      </c>
      <c r="BT474" s="2994">
        <f t="shared" si="267"/>
        <v>0</v>
      </c>
    </row>
    <row r="475" spans="1:72">
      <c r="A475" s="2939"/>
      <c r="B475" s="2940"/>
      <c r="C475" s="2940"/>
      <c r="D475" s="2941"/>
      <c r="E475" s="2942">
        <f t="shared" si="239"/>
        <v>0</v>
      </c>
      <c r="F475" s="2943"/>
      <c r="G475" s="2944">
        <f t="shared" si="240"/>
        <v>0</v>
      </c>
      <c r="H475" s="2945">
        <f t="shared" si="241"/>
        <v>0</v>
      </c>
      <c r="I475" s="2952"/>
      <c r="J475" s="2952"/>
      <c r="K475" s="2952"/>
      <c r="L475" s="2952"/>
      <c r="M475" s="2952"/>
      <c r="N475" s="2952"/>
      <c r="O475" s="2952"/>
      <c r="P475" s="2952"/>
      <c r="Q475" s="2952"/>
      <c r="R475" s="2952"/>
      <c r="S475" s="2952"/>
      <c r="T475" s="2952"/>
      <c r="U475" s="2952"/>
      <c r="V475" s="2952"/>
      <c r="W475" s="2952"/>
      <c r="X475" s="2952"/>
      <c r="Y475" s="2952"/>
      <c r="Z475" s="2952"/>
      <c r="AA475" s="2952"/>
      <c r="AB475" s="2952"/>
      <c r="AC475" s="2942">
        <f t="shared" si="242"/>
        <v>0</v>
      </c>
      <c r="AD475" s="2962"/>
      <c r="AE475" s="2962"/>
      <c r="AF475" s="2962"/>
      <c r="AG475" s="2962"/>
      <c r="AH475" s="2962"/>
      <c r="AI475" s="2962"/>
      <c r="AJ475" s="2962"/>
      <c r="AK475" s="2962"/>
      <c r="AL475" s="2962"/>
      <c r="AM475" s="2962"/>
      <c r="AN475" s="2962"/>
      <c r="AO475" s="2962"/>
      <c r="AP475" s="2962"/>
      <c r="AQ475" s="2962"/>
      <c r="AR475" s="2962"/>
      <c r="AS475" s="2962"/>
      <c r="AT475" s="2972"/>
      <c r="AU475" s="2973"/>
      <c r="AV475" s="1120">
        <f t="shared" si="243"/>
        <v>0</v>
      </c>
      <c r="AW475" s="1120">
        <f t="shared" si="244"/>
        <v>0</v>
      </c>
      <c r="AX475" s="1120">
        <f t="shared" si="245"/>
        <v>0</v>
      </c>
      <c r="AY475" s="2987">
        <f t="shared" si="246"/>
        <v>0</v>
      </c>
      <c r="AZ475" s="2942">
        <f t="shared" si="247"/>
        <v>0</v>
      </c>
      <c r="BA475" s="2942">
        <f t="shared" si="248"/>
        <v>0</v>
      </c>
      <c r="BB475" s="2942">
        <f t="shared" si="249"/>
        <v>0</v>
      </c>
      <c r="BC475" s="2942">
        <f t="shared" si="250"/>
        <v>0</v>
      </c>
      <c r="BD475" s="2942">
        <f t="shared" si="251"/>
        <v>0</v>
      </c>
      <c r="BE475" s="2942">
        <f t="shared" si="252"/>
        <v>0</v>
      </c>
      <c r="BF475" s="2942">
        <f t="shared" si="253"/>
        <v>0</v>
      </c>
      <c r="BG475" s="2942">
        <f t="shared" si="254"/>
        <v>0</v>
      </c>
      <c r="BH475" s="2942">
        <f t="shared" si="255"/>
        <v>0</v>
      </c>
      <c r="BI475" s="2942">
        <f t="shared" si="256"/>
        <v>0</v>
      </c>
      <c r="BJ475" s="2942">
        <f t="shared" si="257"/>
        <v>0</v>
      </c>
      <c r="BK475" s="2942">
        <f t="shared" si="258"/>
        <v>0</v>
      </c>
      <c r="BL475" s="2942">
        <f t="shared" si="259"/>
        <v>0</v>
      </c>
      <c r="BM475" s="2942">
        <f t="shared" si="260"/>
        <v>0</v>
      </c>
      <c r="BN475" s="2942">
        <f t="shared" si="261"/>
        <v>0</v>
      </c>
      <c r="BO475" s="2942">
        <f t="shared" si="262"/>
        <v>0</v>
      </c>
      <c r="BP475" s="2942">
        <f t="shared" si="263"/>
        <v>0</v>
      </c>
      <c r="BQ475" s="2942">
        <f t="shared" si="264"/>
        <v>0</v>
      </c>
      <c r="BR475" s="2942">
        <f t="shared" si="265"/>
        <v>0</v>
      </c>
      <c r="BS475" s="2942">
        <f t="shared" si="266"/>
        <v>0</v>
      </c>
      <c r="BT475" s="2994">
        <f t="shared" si="267"/>
        <v>0</v>
      </c>
    </row>
    <row r="476" spans="1:72">
      <c r="A476" s="2939"/>
      <c r="B476" s="2940"/>
      <c r="C476" s="2940"/>
      <c r="D476" s="2941"/>
      <c r="E476" s="2942">
        <f t="shared" si="239"/>
        <v>0</v>
      </c>
      <c r="F476" s="2943"/>
      <c r="G476" s="2944">
        <f t="shared" si="240"/>
        <v>0</v>
      </c>
      <c r="H476" s="2945">
        <f t="shared" si="241"/>
        <v>0</v>
      </c>
      <c r="I476" s="2952"/>
      <c r="J476" s="2952"/>
      <c r="K476" s="2952"/>
      <c r="L476" s="2952"/>
      <c r="M476" s="2952"/>
      <c r="N476" s="2952"/>
      <c r="O476" s="2952"/>
      <c r="P476" s="2952"/>
      <c r="Q476" s="2952"/>
      <c r="R476" s="2952"/>
      <c r="S476" s="2952"/>
      <c r="T476" s="2952"/>
      <c r="U476" s="2952"/>
      <c r="V476" s="2952"/>
      <c r="W476" s="2952"/>
      <c r="X476" s="2952"/>
      <c r="Y476" s="2952"/>
      <c r="Z476" s="2952"/>
      <c r="AA476" s="2952"/>
      <c r="AB476" s="2952"/>
      <c r="AC476" s="2942">
        <f t="shared" si="242"/>
        <v>0</v>
      </c>
      <c r="AD476" s="2962"/>
      <c r="AE476" s="2962"/>
      <c r="AF476" s="2962"/>
      <c r="AG476" s="2962"/>
      <c r="AH476" s="2962"/>
      <c r="AI476" s="2962"/>
      <c r="AJ476" s="2962"/>
      <c r="AK476" s="2962"/>
      <c r="AL476" s="2962"/>
      <c r="AM476" s="2962"/>
      <c r="AN476" s="2962"/>
      <c r="AO476" s="2962"/>
      <c r="AP476" s="2962"/>
      <c r="AQ476" s="2962"/>
      <c r="AR476" s="2962"/>
      <c r="AS476" s="2962"/>
      <c r="AT476" s="2972"/>
      <c r="AU476" s="2973"/>
      <c r="AV476" s="1120">
        <f t="shared" si="243"/>
        <v>0</v>
      </c>
      <c r="AW476" s="1120">
        <f t="shared" si="244"/>
        <v>0</v>
      </c>
      <c r="AX476" s="1120">
        <f t="shared" si="245"/>
        <v>0</v>
      </c>
      <c r="AY476" s="2987">
        <f t="shared" si="246"/>
        <v>0</v>
      </c>
      <c r="AZ476" s="2942">
        <f t="shared" si="247"/>
        <v>0</v>
      </c>
      <c r="BA476" s="2942">
        <f t="shared" si="248"/>
        <v>0</v>
      </c>
      <c r="BB476" s="2942">
        <f t="shared" si="249"/>
        <v>0</v>
      </c>
      <c r="BC476" s="2942">
        <f t="shared" si="250"/>
        <v>0</v>
      </c>
      <c r="BD476" s="2942">
        <f t="shared" si="251"/>
        <v>0</v>
      </c>
      <c r="BE476" s="2942">
        <f t="shared" si="252"/>
        <v>0</v>
      </c>
      <c r="BF476" s="2942">
        <f t="shared" si="253"/>
        <v>0</v>
      </c>
      <c r="BG476" s="2942">
        <f t="shared" si="254"/>
        <v>0</v>
      </c>
      <c r="BH476" s="2942">
        <f t="shared" si="255"/>
        <v>0</v>
      </c>
      <c r="BI476" s="2942">
        <f t="shared" si="256"/>
        <v>0</v>
      </c>
      <c r="BJ476" s="2942">
        <f t="shared" si="257"/>
        <v>0</v>
      </c>
      <c r="BK476" s="2942">
        <f t="shared" si="258"/>
        <v>0</v>
      </c>
      <c r="BL476" s="2942">
        <f t="shared" si="259"/>
        <v>0</v>
      </c>
      <c r="BM476" s="2942">
        <f t="shared" si="260"/>
        <v>0</v>
      </c>
      <c r="BN476" s="2942">
        <f t="shared" si="261"/>
        <v>0</v>
      </c>
      <c r="BO476" s="2942">
        <f t="shared" si="262"/>
        <v>0</v>
      </c>
      <c r="BP476" s="2942">
        <f t="shared" si="263"/>
        <v>0</v>
      </c>
      <c r="BQ476" s="2942">
        <f t="shared" si="264"/>
        <v>0</v>
      </c>
      <c r="BR476" s="2942">
        <f t="shared" si="265"/>
        <v>0</v>
      </c>
      <c r="BS476" s="2942">
        <f t="shared" si="266"/>
        <v>0</v>
      </c>
      <c r="BT476" s="2994">
        <f t="shared" si="267"/>
        <v>0</v>
      </c>
    </row>
    <row r="477" spans="1:72">
      <c r="A477" s="2939"/>
      <c r="B477" s="2940"/>
      <c r="C477" s="2940"/>
      <c r="D477" s="2941"/>
      <c r="E477" s="2942">
        <f t="shared" si="239"/>
        <v>0</v>
      </c>
      <c r="F477" s="2943"/>
      <c r="G477" s="2944">
        <f t="shared" si="240"/>
        <v>0</v>
      </c>
      <c r="H477" s="2945">
        <f t="shared" si="241"/>
        <v>0</v>
      </c>
      <c r="I477" s="2952"/>
      <c r="J477" s="2952"/>
      <c r="K477" s="2952"/>
      <c r="L477" s="2952"/>
      <c r="M477" s="2952"/>
      <c r="N477" s="2952"/>
      <c r="O477" s="2952"/>
      <c r="P477" s="2952"/>
      <c r="Q477" s="2952"/>
      <c r="R477" s="2952"/>
      <c r="S477" s="2952"/>
      <c r="T477" s="2952"/>
      <c r="U477" s="2952"/>
      <c r="V477" s="2952"/>
      <c r="W477" s="2952"/>
      <c r="X477" s="2952"/>
      <c r="Y477" s="2952"/>
      <c r="Z477" s="2952"/>
      <c r="AA477" s="2952"/>
      <c r="AB477" s="2952"/>
      <c r="AC477" s="2942">
        <f t="shared" si="242"/>
        <v>0</v>
      </c>
      <c r="AD477" s="2962"/>
      <c r="AE477" s="2962"/>
      <c r="AF477" s="2962"/>
      <c r="AG477" s="2962"/>
      <c r="AH477" s="2962"/>
      <c r="AI477" s="2962"/>
      <c r="AJ477" s="2962"/>
      <c r="AK477" s="2962"/>
      <c r="AL477" s="2962"/>
      <c r="AM477" s="2962"/>
      <c r="AN477" s="2962"/>
      <c r="AO477" s="2962"/>
      <c r="AP477" s="2962"/>
      <c r="AQ477" s="2962"/>
      <c r="AR477" s="2962"/>
      <c r="AS477" s="2962"/>
      <c r="AT477" s="2972"/>
      <c r="AU477" s="2973"/>
      <c r="AV477" s="1120">
        <f t="shared" si="243"/>
        <v>0</v>
      </c>
      <c r="AW477" s="1120">
        <f t="shared" si="244"/>
        <v>0</v>
      </c>
      <c r="AX477" s="1120">
        <f t="shared" si="245"/>
        <v>0</v>
      </c>
      <c r="AY477" s="2987">
        <f t="shared" si="246"/>
        <v>0</v>
      </c>
      <c r="AZ477" s="2942">
        <f t="shared" si="247"/>
        <v>0</v>
      </c>
      <c r="BA477" s="2942">
        <f t="shared" si="248"/>
        <v>0</v>
      </c>
      <c r="BB477" s="2942">
        <f t="shared" si="249"/>
        <v>0</v>
      </c>
      <c r="BC477" s="2942">
        <f t="shared" si="250"/>
        <v>0</v>
      </c>
      <c r="BD477" s="2942">
        <f t="shared" si="251"/>
        <v>0</v>
      </c>
      <c r="BE477" s="2942">
        <f t="shared" si="252"/>
        <v>0</v>
      </c>
      <c r="BF477" s="2942">
        <f t="shared" si="253"/>
        <v>0</v>
      </c>
      <c r="BG477" s="2942">
        <f t="shared" si="254"/>
        <v>0</v>
      </c>
      <c r="BH477" s="2942">
        <f t="shared" si="255"/>
        <v>0</v>
      </c>
      <c r="BI477" s="2942">
        <f t="shared" si="256"/>
        <v>0</v>
      </c>
      <c r="BJ477" s="2942">
        <f t="shared" si="257"/>
        <v>0</v>
      </c>
      <c r="BK477" s="2942">
        <f t="shared" si="258"/>
        <v>0</v>
      </c>
      <c r="BL477" s="2942">
        <f t="shared" si="259"/>
        <v>0</v>
      </c>
      <c r="BM477" s="2942">
        <f t="shared" si="260"/>
        <v>0</v>
      </c>
      <c r="BN477" s="2942">
        <f t="shared" si="261"/>
        <v>0</v>
      </c>
      <c r="BO477" s="2942">
        <f t="shared" si="262"/>
        <v>0</v>
      </c>
      <c r="BP477" s="2942">
        <f t="shared" si="263"/>
        <v>0</v>
      </c>
      <c r="BQ477" s="2942">
        <f t="shared" si="264"/>
        <v>0</v>
      </c>
      <c r="BR477" s="2942">
        <f t="shared" si="265"/>
        <v>0</v>
      </c>
      <c r="BS477" s="2942">
        <f t="shared" si="266"/>
        <v>0</v>
      </c>
      <c r="BT477" s="2994">
        <f t="shared" si="267"/>
        <v>0</v>
      </c>
    </row>
    <row r="478" spans="1:72">
      <c r="A478" s="2939"/>
      <c r="B478" s="2940"/>
      <c r="C478" s="2940"/>
      <c r="D478" s="2941"/>
      <c r="E478" s="2942">
        <f t="shared" si="239"/>
        <v>0</v>
      </c>
      <c r="F478" s="2943"/>
      <c r="G478" s="2944">
        <f t="shared" si="240"/>
        <v>0</v>
      </c>
      <c r="H478" s="2945">
        <f t="shared" si="241"/>
        <v>0</v>
      </c>
      <c r="I478" s="2952"/>
      <c r="J478" s="2952"/>
      <c r="K478" s="2952"/>
      <c r="L478" s="2952"/>
      <c r="M478" s="2952"/>
      <c r="N478" s="2952"/>
      <c r="O478" s="2952"/>
      <c r="P478" s="2952"/>
      <c r="Q478" s="2952"/>
      <c r="R478" s="2952"/>
      <c r="S478" s="2952"/>
      <c r="T478" s="2952"/>
      <c r="U478" s="2952"/>
      <c r="V478" s="2952"/>
      <c r="W478" s="2952"/>
      <c r="X478" s="2952"/>
      <c r="Y478" s="2952"/>
      <c r="Z478" s="2952"/>
      <c r="AA478" s="2952"/>
      <c r="AB478" s="2952"/>
      <c r="AC478" s="2942">
        <f t="shared" si="242"/>
        <v>0</v>
      </c>
      <c r="AD478" s="2962"/>
      <c r="AE478" s="2962"/>
      <c r="AF478" s="2962"/>
      <c r="AG478" s="2962"/>
      <c r="AH478" s="2962"/>
      <c r="AI478" s="2962"/>
      <c r="AJ478" s="2962"/>
      <c r="AK478" s="2962"/>
      <c r="AL478" s="2962"/>
      <c r="AM478" s="2962"/>
      <c r="AN478" s="2962"/>
      <c r="AO478" s="2962"/>
      <c r="AP478" s="2962"/>
      <c r="AQ478" s="2962"/>
      <c r="AR478" s="2962"/>
      <c r="AS478" s="2962"/>
      <c r="AT478" s="2972"/>
      <c r="AU478" s="2973"/>
      <c r="AV478" s="1120">
        <f t="shared" si="243"/>
        <v>0</v>
      </c>
      <c r="AW478" s="1120">
        <f t="shared" si="244"/>
        <v>0</v>
      </c>
      <c r="AX478" s="1120">
        <f t="shared" si="245"/>
        <v>0</v>
      </c>
      <c r="AY478" s="2987">
        <f t="shared" si="246"/>
        <v>0</v>
      </c>
      <c r="AZ478" s="2942">
        <f t="shared" si="247"/>
        <v>0</v>
      </c>
      <c r="BA478" s="2942">
        <f t="shared" si="248"/>
        <v>0</v>
      </c>
      <c r="BB478" s="2942">
        <f t="shared" si="249"/>
        <v>0</v>
      </c>
      <c r="BC478" s="2942">
        <f t="shared" si="250"/>
        <v>0</v>
      </c>
      <c r="BD478" s="2942">
        <f t="shared" si="251"/>
        <v>0</v>
      </c>
      <c r="BE478" s="2942">
        <f t="shared" si="252"/>
        <v>0</v>
      </c>
      <c r="BF478" s="2942">
        <f t="shared" si="253"/>
        <v>0</v>
      </c>
      <c r="BG478" s="2942">
        <f t="shared" si="254"/>
        <v>0</v>
      </c>
      <c r="BH478" s="2942">
        <f t="shared" si="255"/>
        <v>0</v>
      </c>
      <c r="BI478" s="2942">
        <f t="shared" si="256"/>
        <v>0</v>
      </c>
      <c r="BJ478" s="2942">
        <f t="shared" si="257"/>
        <v>0</v>
      </c>
      <c r="BK478" s="2942">
        <f t="shared" si="258"/>
        <v>0</v>
      </c>
      <c r="BL478" s="2942">
        <f t="shared" si="259"/>
        <v>0</v>
      </c>
      <c r="BM478" s="2942">
        <f t="shared" si="260"/>
        <v>0</v>
      </c>
      <c r="BN478" s="2942">
        <f t="shared" si="261"/>
        <v>0</v>
      </c>
      <c r="BO478" s="2942">
        <f t="shared" si="262"/>
        <v>0</v>
      </c>
      <c r="BP478" s="2942">
        <f t="shared" si="263"/>
        <v>0</v>
      </c>
      <c r="BQ478" s="2942">
        <f t="shared" si="264"/>
        <v>0</v>
      </c>
      <c r="BR478" s="2942">
        <f t="shared" si="265"/>
        <v>0</v>
      </c>
      <c r="BS478" s="2942">
        <f t="shared" si="266"/>
        <v>0</v>
      </c>
      <c r="BT478" s="2994">
        <f t="shared" si="267"/>
        <v>0</v>
      </c>
    </row>
    <row r="479" spans="1:72">
      <c r="A479" s="2939"/>
      <c r="B479" s="2940"/>
      <c r="C479" s="2940"/>
      <c r="D479" s="2941"/>
      <c r="E479" s="2942">
        <f t="shared" si="239"/>
        <v>0</v>
      </c>
      <c r="F479" s="2943"/>
      <c r="G479" s="2944">
        <f t="shared" si="240"/>
        <v>0</v>
      </c>
      <c r="H479" s="2945">
        <f t="shared" si="241"/>
        <v>0</v>
      </c>
      <c r="I479" s="2952"/>
      <c r="J479" s="2952"/>
      <c r="K479" s="2952"/>
      <c r="L479" s="2952"/>
      <c r="M479" s="2952"/>
      <c r="N479" s="2952"/>
      <c r="O479" s="2952"/>
      <c r="P479" s="2952"/>
      <c r="Q479" s="2952"/>
      <c r="R479" s="2952"/>
      <c r="S479" s="2952"/>
      <c r="T479" s="2952"/>
      <c r="U479" s="2952"/>
      <c r="V479" s="2952"/>
      <c r="W479" s="2952"/>
      <c r="X479" s="2952"/>
      <c r="Y479" s="2952"/>
      <c r="Z479" s="2952"/>
      <c r="AA479" s="2952"/>
      <c r="AB479" s="2952"/>
      <c r="AC479" s="2942">
        <f t="shared" si="242"/>
        <v>0</v>
      </c>
      <c r="AD479" s="2962"/>
      <c r="AE479" s="2962"/>
      <c r="AF479" s="2962"/>
      <c r="AG479" s="2962"/>
      <c r="AH479" s="2962"/>
      <c r="AI479" s="2962"/>
      <c r="AJ479" s="2962"/>
      <c r="AK479" s="2962"/>
      <c r="AL479" s="2962"/>
      <c r="AM479" s="2962"/>
      <c r="AN479" s="2962"/>
      <c r="AO479" s="2962"/>
      <c r="AP479" s="2962"/>
      <c r="AQ479" s="2962"/>
      <c r="AR479" s="2962"/>
      <c r="AS479" s="2962"/>
      <c r="AT479" s="2972"/>
      <c r="AU479" s="2973"/>
      <c r="AV479" s="1120">
        <f t="shared" si="243"/>
        <v>0</v>
      </c>
      <c r="AW479" s="1120">
        <f t="shared" si="244"/>
        <v>0</v>
      </c>
      <c r="AX479" s="1120">
        <f t="shared" si="245"/>
        <v>0</v>
      </c>
      <c r="AY479" s="2987">
        <f t="shared" si="246"/>
        <v>0</v>
      </c>
      <c r="AZ479" s="2942">
        <f t="shared" si="247"/>
        <v>0</v>
      </c>
      <c r="BA479" s="2942">
        <f t="shared" si="248"/>
        <v>0</v>
      </c>
      <c r="BB479" s="2942">
        <f t="shared" si="249"/>
        <v>0</v>
      </c>
      <c r="BC479" s="2942">
        <f t="shared" si="250"/>
        <v>0</v>
      </c>
      <c r="BD479" s="2942">
        <f t="shared" si="251"/>
        <v>0</v>
      </c>
      <c r="BE479" s="2942">
        <f t="shared" si="252"/>
        <v>0</v>
      </c>
      <c r="BF479" s="2942">
        <f t="shared" si="253"/>
        <v>0</v>
      </c>
      <c r="BG479" s="2942">
        <f t="shared" si="254"/>
        <v>0</v>
      </c>
      <c r="BH479" s="2942">
        <f t="shared" si="255"/>
        <v>0</v>
      </c>
      <c r="BI479" s="2942">
        <f t="shared" si="256"/>
        <v>0</v>
      </c>
      <c r="BJ479" s="2942">
        <f t="shared" si="257"/>
        <v>0</v>
      </c>
      <c r="BK479" s="2942">
        <f t="shared" si="258"/>
        <v>0</v>
      </c>
      <c r="BL479" s="2942">
        <f t="shared" si="259"/>
        <v>0</v>
      </c>
      <c r="BM479" s="2942">
        <f t="shared" si="260"/>
        <v>0</v>
      </c>
      <c r="BN479" s="2942">
        <f t="shared" si="261"/>
        <v>0</v>
      </c>
      <c r="BO479" s="2942">
        <f t="shared" si="262"/>
        <v>0</v>
      </c>
      <c r="BP479" s="2942">
        <f t="shared" si="263"/>
        <v>0</v>
      </c>
      <c r="BQ479" s="2942">
        <f t="shared" si="264"/>
        <v>0</v>
      </c>
      <c r="BR479" s="2942">
        <f t="shared" si="265"/>
        <v>0</v>
      </c>
      <c r="BS479" s="2942">
        <f t="shared" si="266"/>
        <v>0</v>
      </c>
      <c r="BT479" s="2994">
        <f t="shared" si="267"/>
        <v>0</v>
      </c>
    </row>
    <row r="480" spans="1:72">
      <c r="A480" s="2939"/>
      <c r="B480" s="2940"/>
      <c r="C480" s="2940"/>
      <c r="D480" s="2941"/>
      <c r="E480" s="2942">
        <f t="shared" si="239"/>
        <v>0</v>
      </c>
      <c r="F480" s="2943"/>
      <c r="G480" s="2944">
        <f t="shared" si="240"/>
        <v>0</v>
      </c>
      <c r="H480" s="2945">
        <f t="shared" si="241"/>
        <v>0</v>
      </c>
      <c r="I480" s="2952"/>
      <c r="J480" s="2952"/>
      <c r="K480" s="2952"/>
      <c r="L480" s="2952"/>
      <c r="M480" s="2952"/>
      <c r="N480" s="2952"/>
      <c r="O480" s="2952"/>
      <c r="P480" s="2952"/>
      <c r="Q480" s="2952"/>
      <c r="R480" s="2952"/>
      <c r="S480" s="2952"/>
      <c r="T480" s="2952"/>
      <c r="U480" s="2952"/>
      <c r="V480" s="2952"/>
      <c r="W480" s="2952"/>
      <c r="X480" s="2952"/>
      <c r="Y480" s="2952"/>
      <c r="Z480" s="2952"/>
      <c r="AA480" s="2952"/>
      <c r="AB480" s="2952"/>
      <c r="AC480" s="2942">
        <f t="shared" si="242"/>
        <v>0</v>
      </c>
      <c r="AD480" s="2962"/>
      <c r="AE480" s="2962"/>
      <c r="AF480" s="2962"/>
      <c r="AG480" s="2962"/>
      <c r="AH480" s="2962"/>
      <c r="AI480" s="2962"/>
      <c r="AJ480" s="2962"/>
      <c r="AK480" s="2962"/>
      <c r="AL480" s="2962"/>
      <c r="AM480" s="2962"/>
      <c r="AN480" s="2962"/>
      <c r="AO480" s="2962"/>
      <c r="AP480" s="2962"/>
      <c r="AQ480" s="2962"/>
      <c r="AR480" s="2962"/>
      <c r="AS480" s="2962"/>
      <c r="AT480" s="2972"/>
      <c r="AU480" s="2973"/>
      <c r="AV480" s="1120">
        <f t="shared" si="243"/>
        <v>0</v>
      </c>
      <c r="AW480" s="1120">
        <f t="shared" si="244"/>
        <v>0</v>
      </c>
      <c r="AX480" s="1120">
        <f t="shared" si="245"/>
        <v>0</v>
      </c>
      <c r="AY480" s="2987">
        <f t="shared" si="246"/>
        <v>0</v>
      </c>
      <c r="AZ480" s="2942">
        <f t="shared" si="247"/>
        <v>0</v>
      </c>
      <c r="BA480" s="2942">
        <f t="shared" si="248"/>
        <v>0</v>
      </c>
      <c r="BB480" s="2942">
        <f t="shared" si="249"/>
        <v>0</v>
      </c>
      <c r="BC480" s="2942">
        <f t="shared" si="250"/>
        <v>0</v>
      </c>
      <c r="BD480" s="2942">
        <f t="shared" si="251"/>
        <v>0</v>
      </c>
      <c r="BE480" s="2942">
        <f t="shared" si="252"/>
        <v>0</v>
      </c>
      <c r="BF480" s="2942">
        <f t="shared" si="253"/>
        <v>0</v>
      </c>
      <c r="BG480" s="2942">
        <f t="shared" si="254"/>
        <v>0</v>
      </c>
      <c r="BH480" s="2942">
        <f t="shared" si="255"/>
        <v>0</v>
      </c>
      <c r="BI480" s="2942">
        <f t="shared" si="256"/>
        <v>0</v>
      </c>
      <c r="BJ480" s="2942">
        <f t="shared" si="257"/>
        <v>0</v>
      </c>
      <c r="BK480" s="2942">
        <f t="shared" si="258"/>
        <v>0</v>
      </c>
      <c r="BL480" s="2942">
        <f t="shared" si="259"/>
        <v>0</v>
      </c>
      <c r="BM480" s="2942">
        <f t="shared" si="260"/>
        <v>0</v>
      </c>
      <c r="BN480" s="2942">
        <f t="shared" si="261"/>
        <v>0</v>
      </c>
      <c r="BO480" s="2942">
        <f t="shared" si="262"/>
        <v>0</v>
      </c>
      <c r="BP480" s="2942">
        <f t="shared" si="263"/>
        <v>0</v>
      </c>
      <c r="BQ480" s="2942">
        <f t="shared" si="264"/>
        <v>0</v>
      </c>
      <c r="BR480" s="2942">
        <f t="shared" si="265"/>
        <v>0</v>
      </c>
      <c r="BS480" s="2942">
        <f t="shared" si="266"/>
        <v>0</v>
      </c>
      <c r="BT480" s="2994">
        <f t="shared" si="267"/>
        <v>0</v>
      </c>
    </row>
    <row r="481" spans="1:72">
      <c r="A481" s="2939"/>
      <c r="B481" s="2940"/>
      <c r="C481" s="2940"/>
      <c r="D481" s="2941"/>
      <c r="E481" s="2942">
        <f t="shared" si="239"/>
        <v>0</v>
      </c>
      <c r="F481" s="2943"/>
      <c r="G481" s="2944">
        <f t="shared" si="240"/>
        <v>0</v>
      </c>
      <c r="H481" s="2945">
        <f t="shared" si="241"/>
        <v>0</v>
      </c>
      <c r="I481" s="2952"/>
      <c r="J481" s="2952"/>
      <c r="K481" s="2952"/>
      <c r="L481" s="2952"/>
      <c r="M481" s="2952"/>
      <c r="N481" s="2952"/>
      <c r="O481" s="2952"/>
      <c r="P481" s="2952"/>
      <c r="Q481" s="2952"/>
      <c r="R481" s="2952"/>
      <c r="S481" s="2952"/>
      <c r="T481" s="2952"/>
      <c r="U481" s="2952"/>
      <c r="V481" s="2952"/>
      <c r="W481" s="2952"/>
      <c r="X481" s="2952"/>
      <c r="Y481" s="2952"/>
      <c r="Z481" s="2952"/>
      <c r="AA481" s="2952"/>
      <c r="AB481" s="2952"/>
      <c r="AC481" s="2942">
        <f t="shared" si="242"/>
        <v>0</v>
      </c>
      <c r="AD481" s="2962"/>
      <c r="AE481" s="2962"/>
      <c r="AF481" s="2962"/>
      <c r="AG481" s="2962"/>
      <c r="AH481" s="2962"/>
      <c r="AI481" s="2962"/>
      <c r="AJ481" s="2962"/>
      <c r="AK481" s="2962"/>
      <c r="AL481" s="2962"/>
      <c r="AM481" s="2962"/>
      <c r="AN481" s="2962"/>
      <c r="AO481" s="2962"/>
      <c r="AP481" s="2962"/>
      <c r="AQ481" s="2962"/>
      <c r="AR481" s="2962"/>
      <c r="AS481" s="2962"/>
      <c r="AT481" s="2972"/>
      <c r="AU481" s="2973"/>
      <c r="AV481" s="1120">
        <f t="shared" si="243"/>
        <v>0</v>
      </c>
      <c r="AW481" s="1120">
        <f t="shared" si="244"/>
        <v>0</v>
      </c>
      <c r="AX481" s="1120">
        <f t="shared" si="245"/>
        <v>0</v>
      </c>
      <c r="AY481" s="2987">
        <f t="shared" si="246"/>
        <v>0</v>
      </c>
      <c r="AZ481" s="2942">
        <f t="shared" si="247"/>
        <v>0</v>
      </c>
      <c r="BA481" s="2942">
        <f t="shared" si="248"/>
        <v>0</v>
      </c>
      <c r="BB481" s="2942">
        <f t="shared" si="249"/>
        <v>0</v>
      </c>
      <c r="BC481" s="2942">
        <f t="shared" si="250"/>
        <v>0</v>
      </c>
      <c r="BD481" s="2942">
        <f t="shared" si="251"/>
        <v>0</v>
      </c>
      <c r="BE481" s="2942">
        <f t="shared" si="252"/>
        <v>0</v>
      </c>
      <c r="BF481" s="2942">
        <f t="shared" si="253"/>
        <v>0</v>
      </c>
      <c r="BG481" s="2942">
        <f t="shared" si="254"/>
        <v>0</v>
      </c>
      <c r="BH481" s="2942">
        <f t="shared" si="255"/>
        <v>0</v>
      </c>
      <c r="BI481" s="2942">
        <f t="shared" si="256"/>
        <v>0</v>
      </c>
      <c r="BJ481" s="2942">
        <f t="shared" si="257"/>
        <v>0</v>
      </c>
      <c r="BK481" s="2942">
        <f t="shared" si="258"/>
        <v>0</v>
      </c>
      <c r="BL481" s="2942">
        <f t="shared" si="259"/>
        <v>0</v>
      </c>
      <c r="BM481" s="2942">
        <f t="shared" si="260"/>
        <v>0</v>
      </c>
      <c r="BN481" s="2942">
        <f t="shared" si="261"/>
        <v>0</v>
      </c>
      <c r="BO481" s="2942">
        <f t="shared" si="262"/>
        <v>0</v>
      </c>
      <c r="BP481" s="2942">
        <f t="shared" si="263"/>
        <v>0</v>
      </c>
      <c r="BQ481" s="2942">
        <f t="shared" si="264"/>
        <v>0</v>
      </c>
      <c r="BR481" s="2942">
        <f t="shared" si="265"/>
        <v>0</v>
      </c>
      <c r="BS481" s="2942">
        <f t="shared" si="266"/>
        <v>0</v>
      </c>
      <c r="BT481" s="2994">
        <f t="shared" si="267"/>
        <v>0</v>
      </c>
    </row>
    <row r="482" spans="1:72">
      <c r="A482" s="2939"/>
      <c r="B482" s="2940"/>
      <c r="C482" s="2940"/>
      <c r="D482" s="2941"/>
      <c r="E482" s="2942">
        <f t="shared" si="239"/>
        <v>0</v>
      </c>
      <c r="F482" s="2943"/>
      <c r="G482" s="2944">
        <f t="shared" si="240"/>
        <v>0</v>
      </c>
      <c r="H482" s="2945">
        <f t="shared" si="241"/>
        <v>0</v>
      </c>
      <c r="I482" s="2952"/>
      <c r="J482" s="2952"/>
      <c r="K482" s="2952"/>
      <c r="L482" s="2952"/>
      <c r="M482" s="2952"/>
      <c r="N482" s="2952"/>
      <c r="O482" s="2952"/>
      <c r="P482" s="2952"/>
      <c r="Q482" s="2952"/>
      <c r="R482" s="2952"/>
      <c r="S482" s="2952"/>
      <c r="T482" s="2952"/>
      <c r="U482" s="2952"/>
      <c r="V482" s="2952"/>
      <c r="W482" s="2952"/>
      <c r="X482" s="2952"/>
      <c r="Y482" s="2952"/>
      <c r="Z482" s="2952"/>
      <c r="AA482" s="2952"/>
      <c r="AB482" s="2952"/>
      <c r="AC482" s="2942">
        <f t="shared" si="242"/>
        <v>0</v>
      </c>
      <c r="AD482" s="2962"/>
      <c r="AE482" s="2962"/>
      <c r="AF482" s="2962"/>
      <c r="AG482" s="2962"/>
      <c r="AH482" s="2962"/>
      <c r="AI482" s="2962"/>
      <c r="AJ482" s="2962"/>
      <c r="AK482" s="2962"/>
      <c r="AL482" s="2962"/>
      <c r="AM482" s="2962"/>
      <c r="AN482" s="2962"/>
      <c r="AO482" s="2962"/>
      <c r="AP482" s="2962"/>
      <c r="AQ482" s="2962"/>
      <c r="AR482" s="2962"/>
      <c r="AS482" s="2962"/>
      <c r="AT482" s="2972"/>
      <c r="AU482" s="2973"/>
      <c r="AV482" s="1120">
        <f t="shared" si="243"/>
        <v>0</v>
      </c>
      <c r="AW482" s="1120">
        <f t="shared" si="244"/>
        <v>0</v>
      </c>
      <c r="AX482" s="1120">
        <f t="shared" si="245"/>
        <v>0</v>
      </c>
      <c r="AY482" s="2987">
        <f t="shared" si="246"/>
        <v>0</v>
      </c>
      <c r="AZ482" s="2942">
        <f t="shared" si="247"/>
        <v>0</v>
      </c>
      <c r="BA482" s="2942">
        <f t="shared" si="248"/>
        <v>0</v>
      </c>
      <c r="BB482" s="2942">
        <f t="shared" si="249"/>
        <v>0</v>
      </c>
      <c r="BC482" s="2942">
        <f t="shared" si="250"/>
        <v>0</v>
      </c>
      <c r="BD482" s="2942">
        <f t="shared" si="251"/>
        <v>0</v>
      </c>
      <c r="BE482" s="2942">
        <f t="shared" si="252"/>
        <v>0</v>
      </c>
      <c r="BF482" s="2942">
        <f t="shared" si="253"/>
        <v>0</v>
      </c>
      <c r="BG482" s="2942">
        <f t="shared" si="254"/>
        <v>0</v>
      </c>
      <c r="BH482" s="2942">
        <f t="shared" si="255"/>
        <v>0</v>
      </c>
      <c r="BI482" s="2942">
        <f t="shared" si="256"/>
        <v>0</v>
      </c>
      <c r="BJ482" s="2942">
        <f t="shared" si="257"/>
        <v>0</v>
      </c>
      <c r="BK482" s="2942">
        <f t="shared" si="258"/>
        <v>0</v>
      </c>
      <c r="BL482" s="2942">
        <f t="shared" si="259"/>
        <v>0</v>
      </c>
      <c r="BM482" s="2942">
        <f t="shared" si="260"/>
        <v>0</v>
      </c>
      <c r="BN482" s="2942">
        <f t="shared" si="261"/>
        <v>0</v>
      </c>
      <c r="BO482" s="2942">
        <f t="shared" si="262"/>
        <v>0</v>
      </c>
      <c r="BP482" s="2942">
        <f t="shared" si="263"/>
        <v>0</v>
      </c>
      <c r="BQ482" s="2942">
        <f t="shared" si="264"/>
        <v>0</v>
      </c>
      <c r="BR482" s="2942">
        <f t="shared" si="265"/>
        <v>0</v>
      </c>
      <c r="BS482" s="2942">
        <f t="shared" si="266"/>
        <v>0</v>
      </c>
      <c r="BT482" s="2994">
        <f t="shared" si="267"/>
        <v>0</v>
      </c>
    </row>
    <row r="483" spans="1:72">
      <c r="A483" s="2939"/>
      <c r="B483" s="2940"/>
      <c r="C483" s="2940"/>
      <c r="D483" s="2941"/>
      <c r="E483" s="2942">
        <f t="shared" si="239"/>
        <v>0</v>
      </c>
      <c r="F483" s="2943"/>
      <c r="G483" s="2944">
        <f t="shared" si="240"/>
        <v>0</v>
      </c>
      <c r="H483" s="2945">
        <f t="shared" si="241"/>
        <v>0</v>
      </c>
      <c r="I483" s="2952"/>
      <c r="J483" s="2952"/>
      <c r="K483" s="2952"/>
      <c r="L483" s="2952"/>
      <c r="M483" s="2952"/>
      <c r="N483" s="2952"/>
      <c r="O483" s="2952"/>
      <c r="P483" s="2952"/>
      <c r="Q483" s="2952"/>
      <c r="R483" s="2952"/>
      <c r="S483" s="2952"/>
      <c r="T483" s="2952"/>
      <c r="U483" s="2952"/>
      <c r="V483" s="2952"/>
      <c r="W483" s="2952"/>
      <c r="X483" s="2952"/>
      <c r="Y483" s="2952"/>
      <c r="Z483" s="2952"/>
      <c r="AA483" s="2952"/>
      <c r="AB483" s="2952"/>
      <c r="AC483" s="2942">
        <f t="shared" si="242"/>
        <v>0</v>
      </c>
      <c r="AD483" s="2962"/>
      <c r="AE483" s="2962"/>
      <c r="AF483" s="2962"/>
      <c r="AG483" s="2962"/>
      <c r="AH483" s="2962"/>
      <c r="AI483" s="2962"/>
      <c r="AJ483" s="2962"/>
      <c r="AK483" s="2962"/>
      <c r="AL483" s="2962"/>
      <c r="AM483" s="2962"/>
      <c r="AN483" s="2962"/>
      <c r="AO483" s="2962"/>
      <c r="AP483" s="2962"/>
      <c r="AQ483" s="2962"/>
      <c r="AR483" s="2962"/>
      <c r="AS483" s="2962"/>
      <c r="AT483" s="2972"/>
      <c r="AU483" s="2973"/>
      <c r="AV483" s="1120">
        <f t="shared" si="243"/>
        <v>0</v>
      </c>
      <c r="AW483" s="1120">
        <f t="shared" si="244"/>
        <v>0</v>
      </c>
      <c r="AX483" s="1120">
        <f t="shared" si="245"/>
        <v>0</v>
      </c>
      <c r="AY483" s="2987">
        <f t="shared" si="246"/>
        <v>0</v>
      </c>
      <c r="AZ483" s="2942">
        <f t="shared" si="247"/>
        <v>0</v>
      </c>
      <c r="BA483" s="2942">
        <f t="shared" si="248"/>
        <v>0</v>
      </c>
      <c r="BB483" s="2942">
        <f t="shared" si="249"/>
        <v>0</v>
      </c>
      <c r="BC483" s="2942">
        <f t="shared" si="250"/>
        <v>0</v>
      </c>
      <c r="BD483" s="2942">
        <f t="shared" si="251"/>
        <v>0</v>
      </c>
      <c r="BE483" s="2942">
        <f t="shared" si="252"/>
        <v>0</v>
      </c>
      <c r="BF483" s="2942">
        <f t="shared" si="253"/>
        <v>0</v>
      </c>
      <c r="BG483" s="2942">
        <f t="shared" si="254"/>
        <v>0</v>
      </c>
      <c r="BH483" s="2942">
        <f t="shared" si="255"/>
        <v>0</v>
      </c>
      <c r="BI483" s="2942">
        <f t="shared" si="256"/>
        <v>0</v>
      </c>
      <c r="BJ483" s="2942">
        <f t="shared" si="257"/>
        <v>0</v>
      </c>
      <c r="BK483" s="2942">
        <f t="shared" si="258"/>
        <v>0</v>
      </c>
      <c r="BL483" s="2942">
        <f t="shared" si="259"/>
        <v>0</v>
      </c>
      <c r="BM483" s="2942">
        <f t="shared" si="260"/>
        <v>0</v>
      </c>
      <c r="BN483" s="2942">
        <f t="shared" si="261"/>
        <v>0</v>
      </c>
      <c r="BO483" s="2942">
        <f t="shared" si="262"/>
        <v>0</v>
      </c>
      <c r="BP483" s="2942">
        <f t="shared" si="263"/>
        <v>0</v>
      </c>
      <c r="BQ483" s="2942">
        <f t="shared" si="264"/>
        <v>0</v>
      </c>
      <c r="BR483" s="2942">
        <f t="shared" si="265"/>
        <v>0</v>
      </c>
      <c r="BS483" s="2942">
        <f t="shared" si="266"/>
        <v>0</v>
      </c>
      <c r="BT483" s="2994">
        <f t="shared" si="267"/>
        <v>0</v>
      </c>
    </row>
    <row r="484" spans="1:72">
      <c r="A484" s="2939"/>
      <c r="B484" s="2940"/>
      <c r="C484" s="2940"/>
      <c r="D484" s="2941"/>
      <c r="E484" s="2942">
        <f t="shared" si="239"/>
        <v>0</v>
      </c>
      <c r="F484" s="2943"/>
      <c r="G484" s="2944">
        <f t="shared" si="240"/>
        <v>0</v>
      </c>
      <c r="H484" s="2945">
        <f t="shared" si="241"/>
        <v>0</v>
      </c>
      <c r="I484" s="2952"/>
      <c r="J484" s="2952"/>
      <c r="K484" s="2952"/>
      <c r="L484" s="2952"/>
      <c r="M484" s="2952"/>
      <c r="N484" s="2952"/>
      <c r="O484" s="2952"/>
      <c r="P484" s="2952"/>
      <c r="Q484" s="2952"/>
      <c r="R484" s="2952"/>
      <c r="S484" s="2952"/>
      <c r="T484" s="2952"/>
      <c r="U484" s="2952"/>
      <c r="V484" s="2952"/>
      <c r="W484" s="2952"/>
      <c r="X484" s="2952"/>
      <c r="Y484" s="2952"/>
      <c r="Z484" s="2952"/>
      <c r="AA484" s="2952"/>
      <c r="AB484" s="2952"/>
      <c r="AC484" s="2942">
        <f t="shared" si="242"/>
        <v>0</v>
      </c>
      <c r="AD484" s="2962"/>
      <c r="AE484" s="2962"/>
      <c r="AF484" s="2962"/>
      <c r="AG484" s="2962"/>
      <c r="AH484" s="2962"/>
      <c r="AI484" s="2962"/>
      <c r="AJ484" s="2962"/>
      <c r="AK484" s="2962"/>
      <c r="AL484" s="2962"/>
      <c r="AM484" s="2962"/>
      <c r="AN484" s="2962"/>
      <c r="AO484" s="2962"/>
      <c r="AP484" s="2962"/>
      <c r="AQ484" s="2962"/>
      <c r="AR484" s="2962"/>
      <c r="AS484" s="2962"/>
      <c r="AT484" s="2972"/>
      <c r="AU484" s="2973"/>
      <c r="AV484" s="1120">
        <f t="shared" si="243"/>
        <v>0</v>
      </c>
      <c r="AW484" s="1120">
        <f t="shared" si="244"/>
        <v>0</v>
      </c>
      <c r="AX484" s="1120">
        <f t="shared" si="245"/>
        <v>0</v>
      </c>
      <c r="AY484" s="2987">
        <f t="shared" si="246"/>
        <v>0</v>
      </c>
      <c r="AZ484" s="2942">
        <f t="shared" si="247"/>
        <v>0</v>
      </c>
      <c r="BA484" s="2942">
        <f t="shared" si="248"/>
        <v>0</v>
      </c>
      <c r="BB484" s="2942">
        <f t="shared" si="249"/>
        <v>0</v>
      </c>
      <c r="BC484" s="2942">
        <f t="shared" si="250"/>
        <v>0</v>
      </c>
      <c r="BD484" s="2942">
        <f t="shared" si="251"/>
        <v>0</v>
      </c>
      <c r="BE484" s="2942">
        <f t="shared" si="252"/>
        <v>0</v>
      </c>
      <c r="BF484" s="2942">
        <f t="shared" si="253"/>
        <v>0</v>
      </c>
      <c r="BG484" s="2942">
        <f t="shared" si="254"/>
        <v>0</v>
      </c>
      <c r="BH484" s="2942">
        <f t="shared" si="255"/>
        <v>0</v>
      </c>
      <c r="BI484" s="2942">
        <f t="shared" si="256"/>
        <v>0</v>
      </c>
      <c r="BJ484" s="2942">
        <f t="shared" si="257"/>
        <v>0</v>
      </c>
      <c r="BK484" s="2942">
        <f t="shared" si="258"/>
        <v>0</v>
      </c>
      <c r="BL484" s="2942">
        <f t="shared" si="259"/>
        <v>0</v>
      </c>
      <c r="BM484" s="2942">
        <f t="shared" si="260"/>
        <v>0</v>
      </c>
      <c r="BN484" s="2942">
        <f t="shared" si="261"/>
        <v>0</v>
      </c>
      <c r="BO484" s="2942">
        <f t="shared" si="262"/>
        <v>0</v>
      </c>
      <c r="BP484" s="2942">
        <f t="shared" si="263"/>
        <v>0</v>
      </c>
      <c r="BQ484" s="2942">
        <f t="shared" si="264"/>
        <v>0</v>
      </c>
      <c r="BR484" s="2942">
        <f t="shared" si="265"/>
        <v>0</v>
      </c>
      <c r="BS484" s="2942">
        <f t="shared" si="266"/>
        <v>0</v>
      </c>
      <c r="BT484" s="2994">
        <f t="shared" si="267"/>
        <v>0</v>
      </c>
    </row>
    <row r="485" spans="1:72">
      <c r="A485" s="2939"/>
      <c r="B485" s="2940"/>
      <c r="C485" s="2940"/>
      <c r="D485" s="2941"/>
      <c r="E485" s="2942">
        <f t="shared" si="239"/>
        <v>0</v>
      </c>
      <c r="F485" s="2943"/>
      <c r="G485" s="2944">
        <f t="shared" si="240"/>
        <v>0</v>
      </c>
      <c r="H485" s="2945">
        <f t="shared" si="241"/>
        <v>0</v>
      </c>
      <c r="I485" s="2952"/>
      <c r="J485" s="2952"/>
      <c r="K485" s="2952"/>
      <c r="L485" s="2952"/>
      <c r="M485" s="2952"/>
      <c r="N485" s="2952"/>
      <c r="O485" s="2952"/>
      <c r="P485" s="2952"/>
      <c r="Q485" s="2952"/>
      <c r="R485" s="2952"/>
      <c r="S485" s="2952"/>
      <c r="T485" s="2952"/>
      <c r="U485" s="2952"/>
      <c r="V485" s="2952"/>
      <c r="W485" s="2952"/>
      <c r="X485" s="2952"/>
      <c r="Y485" s="2952"/>
      <c r="Z485" s="2952"/>
      <c r="AA485" s="2952"/>
      <c r="AB485" s="2952"/>
      <c r="AC485" s="2942">
        <f t="shared" si="242"/>
        <v>0</v>
      </c>
      <c r="AD485" s="2962"/>
      <c r="AE485" s="2962"/>
      <c r="AF485" s="2962"/>
      <c r="AG485" s="2962"/>
      <c r="AH485" s="2962"/>
      <c r="AI485" s="2962"/>
      <c r="AJ485" s="2962"/>
      <c r="AK485" s="2962"/>
      <c r="AL485" s="2962"/>
      <c r="AM485" s="2962"/>
      <c r="AN485" s="2962"/>
      <c r="AO485" s="2962"/>
      <c r="AP485" s="2962"/>
      <c r="AQ485" s="2962"/>
      <c r="AR485" s="2962"/>
      <c r="AS485" s="2962"/>
      <c r="AT485" s="2972"/>
      <c r="AU485" s="2973"/>
      <c r="AV485" s="1120">
        <f t="shared" si="243"/>
        <v>0</v>
      </c>
      <c r="AW485" s="1120">
        <f t="shared" si="244"/>
        <v>0</v>
      </c>
      <c r="AX485" s="1120">
        <f t="shared" si="245"/>
        <v>0</v>
      </c>
      <c r="AY485" s="2987">
        <f t="shared" si="246"/>
        <v>0</v>
      </c>
      <c r="AZ485" s="2942">
        <f t="shared" si="247"/>
        <v>0</v>
      </c>
      <c r="BA485" s="2942">
        <f t="shared" si="248"/>
        <v>0</v>
      </c>
      <c r="BB485" s="2942">
        <f t="shared" si="249"/>
        <v>0</v>
      </c>
      <c r="BC485" s="2942">
        <f t="shared" si="250"/>
        <v>0</v>
      </c>
      <c r="BD485" s="2942">
        <f t="shared" si="251"/>
        <v>0</v>
      </c>
      <c r="BE485" s="2942">
        <f t="shared" si="252"/>
        <v>0</v>
      </c>
      <c r="BF485" s="2942">
        <f t="shared" si="253"/>
        <v>0</v>
      </c>
      <c r="BG485" s="2942">
        <f t="shared" si="254"/>
        <v>0</v>
      </c>
      <c r="BH485" s="2942">
        <f t="shared" si="255"/>
        <v>0</v>
      </c>
      <c r="BI485" s="2942">
        <f t="shared" si="256"/>
        <v>0</v>
      </c>
      <c r="BJ485" s="2942">
        <f t="shared" si="257"/>
        <v>0</v>
      </c>
      <c r="BK485" s="2942">
        <f t="shared" si="258"/>
        <v>0</v>
      </c>
      <c r="BL485" s="2942">
        <f t="shared" si="259"/>
        <v>0</v>
      </c>
      <c r="BM485" s="2942">
        <f t="shared" si="260"/>
        <v>0</v>
      </c>
      <c r="BN485" s="2942">
        <f t="shared" si="261"/>
        <v>0</v>
      </c>
      <c r="BO485" s="2942">
        <f t="shared" si="262"/>
        <v>0</v>
      </c>
      <c r="BP485" s="2942">
        <f t="shared" si="263"/>
        <v>0</v>
      </c>
      <c r="BQ485" s="2942">
        <f t="shared" si="264"/>
        <v>0</v>
      </c>
      <c r="BR485" s="2942">
        <f t="shared" si="265"/>
        <v>0</v>
      </c>
      <c r="BS485" s="2942">
        <f t="shared" si="266"/>
        <v>0</v>
      </c>
      <c r="BT485" s="2994">
        <f t="shared" si="267"/>
        <v>0</v>
      </c>
    </row>
    <row r="486" spans="1:72">
      <c r="A486" s="2939"/>
      <c r="B486" s="2940"/>
      <c r="C486" s="2940"/>
      <c r="D486" s="2941"/>
      <c r="E486" s="2942">
        <f t="shared" si="239"/>
        <v>0</v>
      </c>
      <c r="F486" s="2943"/>
      <c r="G486" s="2944">
        <f t="shared" si="240"/>
        <v>0</v>
      </c>
      <c r="H486" s="2945">
        <f t="shared" si="241"/>
        <v>0</v>
      </c>
      <c r="I486" s="2952"/>
      <c r="J486" s="2952"/>
      <c r="K486" s="2952"/>
      <c r="L486" s="2952"/>
      <c r="M486" s="2952"/>
      <c r="N486" s="2952"/>
      <c r="O486" s="2952"/>
      <c r="P486" s="2952"/>
      <c r="Q486" s="2952"/>
      <c r="R486" s="2952"/>
      <c r="S486" s="2952"/>
      <c r="T486" s="2952"/>
      <c r="U486" s="2952"/>
      <c r="V486" s="2952"/>
      <c r="W486" s="2952"/>
      <c r="X486" s="2952"/>
      <c r="Y486" s="2952"/>
      <c r="Z486" s="2952"/>
      <c r="AA486" s="2952"/>
      <c r="AB486" s="2952"/>
      <c r="AC486" s="2942">
        <f t="shared" si="242"/>
        <v>0</v>
      </c>
      <c r="AD486" s="2962"/>
      <c r="AE486" s="2962"/>
      <c r="AF486" s="2962"/>
      <c r="AG486" s="2962"/>
      <c r="AH486" s="2962"/>
      <c r="AI486" s="2962"/>
      <c r="AJ486" s="2962"/>
      <c r="AK486" s="2962"/>
      <c r="AL486" s="2962"/>
      <c r="AM486" s="2962"/>
      <c r="AN486" s="2962"/>
      <c r="AO486" s="2962"/>
      <c r="AP486" s="2962"/>
      <c r="AQ486" s="2962"/>
      <c r="AR486" s="2962"/>
      <c r="AS486" s="2962"/>
      <c r="AT486" s="2972"/>
      <c r="AU486" s="2973"/>
      <c r="AV486" s="1120">
        <f t="shared" si="243"/>
        <v>0</v>
      </c>
      <c r="AW486" s="1120">
        <f t="shared" si="244"/>
        <v>0</v>
      </c>
      <c r="AX486" s="1120">
        <f t="shared" si="245"/>
        <v>0</v>
      </c>
      <c r="AY486" s="2987">
        <f t="shared" si="246"/>
        <v>0</v>
      </c>
      <c r="AZ486" s="2942">
        <f t="shared" si="247"/>
        <v>0</v>
      </c>
      <c r="BA486" s="2942">
        <f t="shared" si="248"/>
        <v>0</v>
      </c>
      <c r="BB486" s="2942">
        <f t="shared" si="249"/>
        <v>0</v>
      </c>
      <c r="BC486" s="2942">
        <f t="shared" si="250"/>
        <v>0</v>
      </c>
      <c r="BD486" s="2942">
        <f t="shared" si="251"/>
        <v>0</v>
      </c>
      <c r="BE486" s="2942">
        <f t="shared" si="252"/>
        <v>0</v>
      </c>
      <c r="BF486" s="2942">
        <f t="shared" si="253"/>
        <v>0</v>
      </c>
      <c r="BG486" s="2942">
        <f t="shared" si="254"/>
        <v>0</v>
      </c>
      <c r="BH486" s="2942">
        <f t="shared" si="255"/>
        <v>0</v>
      </c>
      <c r="BI486" s="2942">
        <f t="shared" si="256"/>
        <v>0</v>
      </c>
      <c r="BJ486" s="2942">
        <f t="shared" si="257"/>
        <v>0</v>
      </c>
      <c r="BK486" s="2942">
        <f t="shared" si="258"/>
        <v>0</v>
      </c>
      <c r="BL486" s="2942">
        <f t="shared" si="259"/>
        <v>0</v>
      </c>
      <c r="BM486" s="2942">
        <f t="shared" si="260"/>
        <v>0</v>
      </c>
      <c r="BN486" s="2942">
        <f t="shared" si="261"/>
        <v>0</v>
      </c>
      <c r="BO486" s="2942">
        <f t="shared" si="262"/>
        <v>0</v>
      </c>
      <c r="BP486" s="2942">
        <f t="shared" si="263"/>
        <v>0</v>
      </c>
      <c r="BQ486" s="2942">
        <f t="shared" si="264"/>
        <v>0</v>
      </c>
      <c r="BR486" s="2942">
        <f t="shared" si="265"/>
        <v>0</v>
      </c>
      <c r="BS486" s="2942">
        <f t="shared" si="266"/>
        <v>0</v>
      </c>
      <c r="BT486" s="2994">
        <f t="shared" si="267"/>
        <v>0</v>
      </c>
    </row>
    <row r="487" spans="1:72">
      <c r="A487" s="2939"/>
      <c r="B487" s="2940"/>
      <c r="C487" s="2940"/>
      <c r="D487" s="2941"/>
      <c r="E487" s="2942">
        <f t="shared" si="239"/>
        <v>0</v>
      </c>
      <c r="F487" s="2943"/>
      <c r="G487" s="2944">
        <f t="shared" si="240"/>
        <v>0</v>
      </c>
      <c r="H487" s="2945">
        <f t="shared" si="241"/>
        <v>0</v>
      </c>
      <c r="I487" s="2952"/>
      <c r="J487" s="2952"/>
      <c r="K487" s="2952"/>
      <c r="L487" s="2952"/>
      <c r="M487" s="2952"/>
      <c r="N487" s="2952"/>
      <c r="O487" s="2952"/>
      <c r="P487" s="2952"/>
      <c r="Q487" s="2952"/>
      <c r="R487" s="2952"/>
      <c r="S487" s="2952"/>
      <c r="T487" s="2952"/>
      <c r="U487" s="2952"/>
      <c r="V487" s="2952"/>
      <c r="W487" s="2952"/>
      <c r="X487" s="2952"/>
      <c r="Y487" s="2952"/>
      <c r="Z487" s="2952"/>
      <c r="AA487" s="2952"/>
      <c r="AB487" s="2952"/>
      <c r="AC487" s="2942">
        <f t="shared" si="242"/>
        <v>0</v>
      </c>
      <c r="AD487" s="2962"/>
      <c r="AE487" s="2962"/>
      <c r="AF487" s="2962"/>
      <c r="AG487" s="2962"/>
      <c r="AH487" s="2962"/>
      <c r="AI487" s="2962"/>
      <c r="AJ487" s="2962"/>
      <c r="AK487" s="2962"/>
      <c r="AL487" s="2962"/>
      <c r="AM487" s="2962"/>
      <c r="AN487" s="2962"/>
      <c r="AO487" s="2962"/>
      <c r="AP487" s="2962"/>
      <c r="AQ487" s="2962"/>
      <c r="AR487" s="2962"/>
      <c r="AS487" s="2962"/>
      <c r="AT487" s="2972"/>
      <c r="AU487" s="2973"/>
      <c r="AV487" s="1120">
        <f t="shared" si="243"/>
        <v>0</v>
      </c>
      <c r="AW487" s="1120">
        <f t="shared" si="244"/>
        <v>0</v>
      </c>
      <c r="AX487" s="1120">
        <f t="shared" si="245"/>
        <v>0</v>
      </c>
      <c r="AY487" s="2987">
        <f t="shared" si="246"/>
        <v>0</v>
      </c>
      <c r="AZ487" s="2942">
        <f t="shared" si="247"/>
        <v>0</v>
      </c>
      <c r="BA487" s="2942">
        <f t="shared" si="248"/>
        <v>0</v>
      </c>
      <c r="BB487" s="2942">
        <f t="shared" si="249"/>
        <v>0</v>
      </c>
      <c r="BC487" s="2942">
        <f t="shared" si="250"/>
        <v>0</v>
      </c>
      <c r="BD487" s="2942">
        <f t="shared" si="251"/>
        <v>0</v>
      </c>
      <c r="BE487" s="2942">
        <f t="shared" si="252"/>
        <v>0</v>
      </c>
      <c r="BF487" s="2942">
        <f t="shared" si="253"/>
        <v>0</v>
      </c>
      <c r="BG487" s="2942">
        <f t="shared" si="254"/>
        <v>0</v>
      </c>
      <c r="BH487" s="2942">
        <f t="shared" si="255"/>
        <v>0</v>
      </c>
      <c r="BI487" s="2942">
        <f t="shared" si="256"/>
        <v>0</v>
      </c>
      <c r="BJ487" s="2942">
        <f t="shared" si="257"/>
        <v>0</v>
      </c>
      <c r="BK487" s="2942">
        <f t="shared" si="258"/>
        <v>0</v>
      </c>
      <c r="BL487" s="2942">
        <f t="shared" si="259"/>
        <v>0</v>
      </c>
      <c r="BM487" s="2942">
        <f t="shared" si="260"/>
        <v>0</v>
      </c>
      <c r="BN487" s="2942">
        <f t="shared" si="261"/>
        <v>0</v>
      </c>
      <c r="BO487" s="2942">
        <f t="shared" si="262"/>
        <v>0</v>
      </c>
      <c r="BP487" s="2942">
        <f t="shared" si="263"/>
        <v>0</v>
      </c>
      <c r="BQ487" s="2942">
        <f t="shared" si="264"/>
        <v>0</v>
      </c>
      <c r="BR487" s="2942">
        <f t="shared" si="265"/>
        <v>0</v>
      </c>
      <c r="BS487" s="2942">
        <f t="shared" si="266"/>
        <v>0</v>
      </c>
      <c r="BT487" s="2994">
        <f t="shared" si="267"/>
        <v>0</v>
      </c>
    </row>
    <row r="488" spans="1:72">
      <c r="A488" s="2939"/>
      <c r="B488" s="2940"/>
      <c r="C488" s="2940"/>
      <c r="D488" s="2941"/>
      <c r="E488" s="2942">
        <f t="shared" si="239"/>
        <v>0</v>
      </c>
      <c r="F488" s="2943"/>
      <c r="G488" s="2944">
        <f t="shared" si="240"/>
        <v>0</v>
      </c>
      <c r="H488" s="2945">
        <f t="shared" si="241"/>
        <v>0</v>
      </c>
      <c r="I488" s="2952"/>
      <c r="J488" s="2952"/>
      <c r="K488" s="2952"/>
      <c r="L488" s="2952"/>
      <c r="M488" s="2952"/>
      <c r="N488" s="2952"/>
      <c r="O488" s="2952"/>
      <c r="P488" s="2952"/>
      <c r="Q488" s="2952"/>
      <c r="R488" s="2952"/>
      <c r="S488" s="2952"/>
      <c r="T488" s="2952"/>
      <c r="U488" s="2952"/>
      <c r="V488" s="2952"/>
      <c r="W488" s="2952"/>
      <c r="X488" s="2952"/>
      <c r="Y488" s="2952"/>
      <c r="Z488" s="2952"/>
      <c r="AA488" s="2952"/>
      <c r="AB488" s="2952"/>
      <c r="AC488" s="2942">
        <f t="shared" si="242"/>
        <v>0</v>
      </c>
      <c r="AD488" s="2962"/>
      <c r="AE488" s="2962"/>
      <c r="AF488" s="2962"/>
      <c r="AG488" s="2962"/>
      <c r="AH488" s="2962"/>
      <c r="AI488" s="2962"/>
      <c r="AJ488" s="2962"/>
      <c r="AK488" s="2962"/>
      <c r="AL488" s="2962"/>
      <c r="AM488" s="2962"/>
      <c r="AN488" s="2962"/>
      <c r="AO488" s="2962"/>
      <c r="AP488" s="2962"/>
      <c r="AQ488" s="2962"/>
      <c r="AR488" s="2962"/>
      <c r="AS488" s="2962"/>
      <c r="AT488" s="2972"/>
      <c r="AU488" s="2973"/>
      <c r="AV488" s="1120">
        <f t="shared" si="243"/>
        <v>0</v>
      </c>
      <c r="AW488" s="1120">
        <f t="shared" si="244"/>
        <v>0</v>
      </c>
      <c r="AX488" s="1120">
        <f t="shared" si="245"/>
        <v>0</v>
      </c>
      <c r="AY488" s="2987">
        <f t="shared" si="246"/>
        <v>0</v>
      </c>
      <c r="AZ488" s="2942">
        <f t="shared" si="247"/>
        <v>0</v>
      </c>
      <c r="BA488" s="2942">
        <f t="shared" si="248"/>
        <v>0</v>
      </c>
      <c r="BB488" s="2942">
        <f t="shared" si="249"/>
        <v>0</v>
      </c>
      <c r="BC488" s="2942">
        <f t="shared" si="250"/>
        <v>0</v>
      </c>
      <c r="BD488" s="2942">
        <f t="shared" si="251"/>
        <v>0</v>
      </c>
      <c r="BE488" s="2942">
        <f t="shared" si="252"/>
        <v>0</v>
      </c>
      <c r="BF488" s="2942">
        <f t="shared" si="253"/>
        <v>0</v>
      </c>
      <c r="BG488" s="2942">
        <f t="shared" si="254"/>
        <v>0</v>
      </c>
      <c r="BH488" s="2942">
        <f t="shared" si="255"/>
        <v>0</v>
      </c>
      <c r="BI488" s="2942">
        <f t="shared" si="256"/>
        <v>0</v>
      </c>
      <c r="BJ488" s="2942">
        <f t="shared" si="257"/>
        <v>0</v>
      </c>
      <c r="BK488" s="2942">
        <f t="shared" si="258"/>
        <v>0</v>
      </c>
      <c r="BL488" s="2942">
        <f t="shared" si="259"/>
        <v>0</v>
      </c>
      <c r="BM488" s="2942">
        <f t="shared" si="260"/>
        <v>0</v>
      </c>
      <c r="BN488" s="2942">
        <f t="shared" si="261"/>
        <v>0</v>
      </c>
      <c r="BO488" s="2942">
        <f t="shared" si="262"/>
        <v>0</v>
      </c>
      <c r="BP488" s="2942">
        <f t="shared" si="263"/>
        <v>0</v>
      </c>
      <c r="BQ488" s="2942">
        <f t="shared" si="264"/>
        <v>0</v>
      </c>
      <c r="BR488" s="2942">
        <f t="shared" si="265"/>
        <v>0</v>
      </c>
      <c r="BS488" s="2942">
        <f t="shared" si="266"/>
        <v>0</v>
      </c>
      <c r="BT488" s="2994">
        <f t="shared" si="267"/>
        <v>0</v>
      </c>
    </row>
    <row r="489" spans="1:72">
      <c r="A489" s="2939"/>
      <c r="B489" s="2940"/>
      <c r="C489" s="2940"/>
      <c r="D489" s="2941"/>
      <c r="E489" s="2942">
        <f t="shared" si="239"/>
        <v>0</v>
      </c>
      <c r="F489" s="2943"/>
      <c r="G489" s="2944">
        <f t="shared" si="240"/>
        <v>0</v>
      </c>
      <c r="H489" s="2945">
        <f t="shared" si="241"/>
        <v>0</v>
      </c>
      <c r="I489" s="2952"/>
      <c r="J489" s="2952"/>
      <c r="K489" s="2952"/>
      <c r="L489" s="2952"/>
      <c r="M489" s="2952"/>
      <c r="N489" s="2952"/>
      <c r="O489" s="2952"/>
      <c r="P489" s="2952"/>
      <c r="Q489" s="2952"/>
      <c r="R489" s="2952"/>
      <c r="S489" s="2952"/>
      <c r="T489" s="2952"/>
      <c r="U489" s="2952"/>
      <c r="V489" s="2952"/>
      <c r="W489" s="2952"/>
      <c r="X489" s="2952"/>
      <c r="Y489" s="2952"/>
      <c r="Z489" s="2952"/>
      <c r="AA489" s="2952"/>
      <c r="AB489" s="2952"/>
      <c r="AC489" s="2942">
        <f t="shared" si="242"/>
        <v>0</v>
      </c>
      <c r="AD489" s="2962"/>
      <c r="AE489" s="2962"/>
      <c r="AF489" s="2962"/>
      <c r="AG489" s="2962"/>
      <c r="AH489" s="2962"/>
      <c r="AI489" s="2962"/>
      <c r="AJ489" s="2962"/>
      <c r="AK489" s="2962"/>
      <c r="AL489" s="2962"/>
      <c r="AM489" s="2962"/>
      <c r="AN489" s="2962"/>
      <c r="AO489" s="2962"/>
      <c r="AP489" s="2962"/>
      <c r="AQ489" s="2962"/>
      <c r="AR489" s="2962"/>
      <c r="AS489" s="2962"/>
      <c r="AT489" s="2972"/>
      <c r="AU489" s="2973"/>
      <c r="AV489" s="1120">
        <f t="shared" si="243"/>
        <v>0</v>
      </c>
      <c r="AW489" s="1120">
        <f t="shared" si="244"/>
        <v>0</v>
      </c>
      <c r="AX489" s="1120">
        <f t="shared" si="245"/>
        <v>0</v>
      </c>
      <c r="AY489" s="2987">
        <f t="shared" si="246"/>
        <v>0</v>
      </c>
      <c r="AZ489" s="2942">
        <f t="shared" si="247"/>
        <v>0</v>
      </c>
      <c r="BA489" s="2942">
        <f t="shared" si="248"/>
        <v>0</v>
      </c>
      <c r="BB489" s="2942">
        <f t="shared" si="249"/>
        <v>0</v>
      </c>
      <c r="BC489" s="2942">
        <f t="shared" si="250"/>
        <v>0</v>
      </c>
      <c r="BD489" s="2942">
        <f t="shared" si="251"/>
        <v>0</v>
      </c>
      <c r="BE489" s="2942">
        <f t="shared" si="252"/>
        <v>0</v>
      </c>
      <c r="BF489" s="2942">
        <f t="shared" si="253"/>
        <v>0</v>
      </c>
      <c r="BG489" s="2942">
        <f t="shared" si="254"/>
        <v>0</v>
      </c>
      <c r="BH489" s="2942">
        <f t="shared" si="255"/>
        <v>0</v>
      </c>
      <c r="BI489" s="2942">
        <f t="shared" si="256"/>
        <v>0</v>
      </c>
      <c r="BJ489" s="2942">
        <f t="shared" si="257"/>
        <v>0</v>
      </c>
      <c r="BK489" s="2942">
        <f t="shared" si="258"/>
        <v>0</v>
      </c>
      <c r="BL489" s="2942">
        <f t="shared" si="259"/>
        <v>0</v>
      </c>
      <c r="BM489" s="2942">
        <f t="shared" si="260"/>
        <v>0</v>
      </c>
      <c r="BN489" s="2942">
        <f t="shared" si="261"/>
        <v>0</v>
      </c>
      <c r="BO489" s="2942">
        <f t="shared" si="262"/>
        <v>0</v>
      </c>
      <c r="BP489" s="2942">
        <f t="shared" si="263"/>
        <v>0</v>
      </c>
      <c r="BQ489" s="2942">
        <f t="shared" si="264"/>
        <v>0</v>
      </c>
      <c r="BR489" s="2942">
        <f t="shared" si="265"/>
        <v>0</v>
      </c>
      <c r="BS489" s="2942">
        <f t="shared" si="266"/>
        <v>0</v>
      </c>
      <c r="BT489" s="2994">
        <f t="shared" si="267"/>
        <v>0</v>
      </c>
    </row>
    <row r="490" spans="1:72">
      <c r="A490" s="2939"/>
      <c r="B490" s="2939"/>
      <c r="C490" s="2939"/>
      <c r="D490" s="2941"/>
      <c r="E490" s="2942">
        <f t="shared" si="239"/>
        <v>0</v>
      </c>
      <c r="F490" s="2995"/>
      <c r="G490" s="2944">
        <f t="shared" ref="G490:G521" si="268">H490+AC490+AT490</f>
        <v>0</v>
      </c>
      <c r="H490" s="2945">
        <f t="shared" ref="H490:H521" si="269">SUMIF(I$12:AB$12,"总值",I490:AB490)</f>
        <v>0</v>
      </c>
      <c r="I490" s="2996"/>
      <c r="J490" s="2996"/>
      <c r="K490" s="2952"/>
      <c r="L490" s="2952"/>
      <c r="M490" s="2952"/>
      <c r="N490" s="2952"/>
      <c r="O490" s="2952"/>
      <c r="P490" s="2952"/>
      <c r="Q490" s="2952"/>
      <c r="R490" s="2952"/>
      <c r="S490" s="2952"/>
      <c r="T490" s="2952"/>
      <c r="U490" s="2952"/>
      <c r="V490" s="2952"/>
      <c r="W490" s="2952"/>
      <c r="X490" s="2952"/>
      <c r="Y490" s="2952"/>
      <c r="Z490" s="2952"/>
      <c r="AA490" s="2952"/>
      <c r="AB490" s="2952"/>
      <c r="AC490" s="2942">
        <f t="shared" ref="AC490:AC521" si="270">SUMIF(AD$12:AS$12,"总值",AD490:AS490)</f>
        <v>0</v>
      </c>
      <c r="AD490" s="2962"/>
      <c r="AE490" s="2962"/>
      <c r="AF490" s="2962"/>
      <c r="AG490" s="2962"/>
      <c r="AH490" s="2962"/>
      <c r="AI490" s="2962"/>
      <c r="AJ490" s="2962"/>
      <c r="AK490" s="2962"/>
      <c r="AL490" s="2962"/>
      <c r="AM490" s="2962"/>
      <c r="AN490" s="2962"/>
      <c r="AO490" s="2962"/>
      <c r="AP490" s="2962"/>
      <c r="AQ490" s="2962"/>
      <c r="AR490" s="2962"/>
      <c r="AS490" s="2962"/>
      <c r="AT490" s="2962"/>
      <c r="AU490" s="2997"/>
      <c r="AV490" s="1120">
        <f t="shared" si="243"/>
        <v>0</v>
      </c>
      <c r="AW490" s="1120">
        <f t="shared" si="244"/>
        <v>0</v>
      </c>
      <c r="AX490" s="1120">
        <f t="shared" si="245"/>
        <v>0</v>
      </c>
      <c r="AY490" s="2987">
        <f t="shared" ref="AY490:AY521" si="271">ROUND($AY$6*AZ490/$AZ$5,2)</f>
        <v>0</v>
      </c>
      <c r="AZ490" s="2942">
        <f t="shared" ref="AZ490:AZ521" si="272">BA490+BL490</f>
        <v>0</v>
      </c>
      <c r="BA490" s="2942">
        <f t="shared" ref="BA490:BA521" si="273">SUM(BB490:BK490)</f>
        <v>0</v>
      </c>
      <c r="BB490" s="2942">
        <f t="shared" ref="BB490:BB521" si="274">IF($D490="是",I490-J490,0)</f>
        <v>0</v>
      </c>
      <c r="BC490" s="2942">
        <f t="shared" ref="BC490:BC521" si="275">IF($D490="是",K490-L490,0)</f>
        <v>0</v>
      </c>
      <c r="BD490" s="2942">
        <f t="shared" ref="BD490:BD521" si="276">IF($D490="是",M490-N490,0)</f>
        <v>0</v>
      </c>
      <c r="BE490" s="2942">
        <f t="shared" ref="BE490:BE521" si="277">IF($D490="是",O490-P490,0)</f>
        <v>0</v>
      </c>
      <c r="BF490" s="2942">
        <f t="shared" ref="BF490:BF521" si="278">IF($D490="是",Q490-R490,0)</f>
        <v>0</v>
      </c>
      <c r="BG490" s="2942">
        <f t="shared" ref="BG490:BG521" si="279">IF($D490="是",S490-T490,0)</f>
        <v>0</v>
      </c>
      <c r="BH490" s="2942">
        <f t="shared" ref="BH490:BH521" si="280">IF($D490="是",U490-V490,0)</f>
        <v>0</v>
      </c>
      <c r="BI490" s="2942">
        <f t="shared" ref="BI490:BI521" si="281">IF($D490="是",W490-X490,0)</f>
        <v>0</v>
      </c>
      <c r="BJ490" s="2942">
        <f t="shared" ref="BJ490:BJ521" si="282">IF($D490="是",Y490-Z490,0)</f>
        <v>0</v>
      </c>
      <c r="BK490" s="2942">
        <f t="shared" ref="BK490:BK521" si="283">IF($D490="是",AA490-AB490,0)</f>
        <v>0</v>
      </c>
      <c r="BL490" s="2942">
        <f t="shared" ref="BL490:BL521" si="284">SUM(BM490:BT490)</f>
        <v>0</v>
      </c>
      <c r="BM490" s="2942">
        <f t="shared" ref="BM490:BM521" si="285">IF($D490="是",AD490-AE490,0)</f>
        <v>0</v>
      </c>
      <c r="BN490" s="2942">
        <f t="shared" ref="BN490:BN521" si="286">IF($D490="是",AF490-AG490,0)</f>
        <v>0</v>
      </c>
      <c r="BO490" s="2942">
        <f t="shared" ref="BO490:BO521" si="287">IF($D490="是",AH490-AI490,0)</f>
        <v>0</v>
      </c>
      <c r="BP490" s="2942">
        <f t="shared" ref="BP490:BP521" si="288">IF($D490="是",AJ490-AK490,0)</f>
        <v>0</v>
      </c>
      <c r="BQ490" s="2942">
        <f t="shared" ref="BQ490:BQ521" si="289">IF($D490="是",AL490-AM490,0)</f>
        <v>0</v>
      </c>
      <c r="BR490" s="2942">
        <f t="shared" ref="BR490:BR521" si="290">IF($D490="是",AN490-AO490,0)</f>
        <v>0</v>
      </c>
      <c r="BS490" s="2942">
        <f t="shared" ref="BS490:BS521" si="291">IF($D490="是",AP490-AQ490,0)</f>
        <v>0</v>
      </c>
      <c r="BT490" s="2994">
        <f t="shared" ref="BT490:BT521" si="292">IF($D490="是",AR490-AS490,0)</f>
        <v>0</v>
      </c>
    </row>
    <row r="491" spans="1:72">
      <c r="A491" s="2939"/>
      <c r="B491" s="2939"/>
      <c r="C491" s="2939"/>
      <c r="D491" s="2941"/>
      <c r="E491" s="2942">
        <f t="shared" si="239"/>
        <v>0</v>
      </c>
      <c r="F491" s="2995"/>
      <c r="G491" s="2944">
        <f t="shared" si="268"/>
        <v>0</v>
      </c>
      <c r="H491" s="2945">
        <f t="shared" si="269"/>
        <v>0</v>
      </c>
      <c r="I491" s="2952"/>
      <c r="J491" s="2952"/>
      <c r="K491" s="2952"/>
      <c r="L491" s="2952"/>
      <c r="M491" s="2952"/>
      <c r="N491" s="2952"/>
      <c r="O491" s="2952"/>
      <c r="P491" s="2952"/>
      <c r="Q491" s="2952"/>
      <c r="R491" s="2952"/>
      <c r="S491" s="2952"/>
      <c r="T491" s="2952"/>
      <c r="U491" s="2952"/>
      <c r="V491" s="2952"/>
      <c r="W491" s="2952"/>
      <c r="X491" s="2952"/>
      <c r="Y491" s="2952"/>
      <c r="Z491" s="2952"/>
      <c r="AA491" s="2952"/>
      <c r="AB491" s="2952"/>
      <c r="AC491" s="2942">
        <f t="shared" si="270"/>
        <v>0</v>
      </c>
      <c r="AD491" s="2962"/>
      <c r="AE491" s="2962"/>
      <c r="AF491" s="2962"/>
      <c r="AG491" s="2962"/>
      <c r="AH491" s="2962"/>
      <c r="AI491" s="2962"/>
      <c r="AJ491" s="2962"/>
      <c r="AK491" s="2962"/>
      <c r="AL491" s="2962"/>
      <c r="AM491" s="2962"/>
      <c r="AN491" s="2962"/>
      <c r="AO491" s="2962"/>
      <c r="AP491" s="2962"/>
      <c r="AQ491" s="2962"/>
      <c r="AR491" s="2962"/>
      <c r="AS491" s="2962"/>
      <c r="AT491" s="2962"/>
      <c r="AU491" s="2997"/>
      <c r="AV491" s="1120">
        <f t="shared" si="243"/>
        <v>0</v>
      </c>
      <c r="AW491" s="1120">
        <f t="shared" si="244"/>
        <v>0</v>
      </c>
      <c r="AX491" s="1120">
        <f t="shared" si="245"/>
        <v>0</v>
      </c>
      <c r="AY491" s="2987">
        <f t="shared" si="271"/>
        <v>0</v>
      </c>
      <c r="AZ491" s="2942">
        <f t="shared" si="272"/>
        <v>0</v>
      </c>
      <c r="BA491" s="2942">
        <f t="shared" si="273"/>
        <v>0</v>
      </c>
      <c r="BB491" s="2942">
        <f t="shared" si="274"/>
        <v>0</v>
      </c>
      <c r="BC491" s="2942">
        <f t="shared" si="275"/>
        <v>0</v>
      </c>
      <c r="BD491" s="2942">
        <f t="shared" si="276"/>
        <v>0</v>
      </c>
      <c r="BE491" s="2942">
        <f t="shared" si="277"/>
        <v>0</v>
      </c>
      <c r="BF491" s="2942">
        <f t="shared" si="278"/>
        <v>0</v>
      </c>
      <c r="BG491" s="2942">
        <f t="shared" si="279"/>
        <v>0</v>
      </c>
      <c r="BH491" s="2942">
        <f t="shared" si="280"/>
        <v>0</v>
      </c>
      <c r="BI491" s="2942">
        <f t="shared" si="281"/>
        <v>0</v>
      </c>
      <c r="BJ491" s="2942">
        <f t="shared" si="282"/>
        <v>0</v>
      </c>
      <c r="BK491" s="2942">
        <f t="shared" si="283"/>
        <v>0</v>
      </c>
      <c r="BL491" s="2942">
        <f t="shared" si="284"/>
        <v>0</v>
      </c>
      <c r="BM491" s="2942">
        <f t="shared" si="285"/>
        <v>0</v>
      </c>
      <c r="BN491" s="2942">
        <f t="shared" si="286"/>
        <v>0</v>
      </c>
      <c r="BO491" s="2942">
        <f t="shared" si="287"/>
        <v>0</v>
      </c>
      <c r="BP491" s="2942">
        <f t="shared" si="288"/>
        <v>0</v>
      </c>
      <c r="BQ491" s="2942">
        <f t="shared" si="289"/>
        <v>0</v>
      </c>
      <c r="BR491" s="2942">
        <f t="shared" si="290"/>
        <v>0</v>
      </c>
      <c r="BS491" s="2942">
        <f t="shared" si="291"/>
        <v>0</v>
      </c>
      <c r="BT491" s="2994">
        <f t="shared" si="292"/>
        <v>0</v>
      </c>
    </row>
    <row r="492" spans="1:72">
      <c r="A492" s="2939"/>
      <c r="B492" s="2939"/>
      <c r="C492" s="2939"/>
      <c r="D492" s="2941"/>
      <c r="E492" s="2942">
        <f t="shared" si="239"/>
        <v>0</v>
      </c>
      <c r="F492" s="2995"/>
      <c r="G492" s="2944">
        <f t="shared" si="268"/>
        <v>0</v>
      </c>
      <c r="H492" s="2945">
        <f t="shared" si="269"/>
        <v>0</v>
      </c>
      <c r="I492" s="2952"/>
      <c r="J492" s="2952"/>
      <c r="K492" s="2952"/>
      <c r="L492" s="2952"/>
      <c r="M492" s="2952"/>
      <c r="N492" s="2952"/>
      <c r="O492" s="2952"/>
      <c r="P492" s="2952"/>
      <c r="Q492" s="2952"/>
      <c r="R492" s="2952"/>
      <c r="S492" s="2952"/>
      <c r="T492" s="2952"/>
      <c r="U492" s="2952"/>
      <c r="V492" s="2952"/>
      <c r="W492" s="2952"/>
      <c r="X492" s="2952"/>
      <c r="Y492" s="2952"/>
      <c r="Z492" s="2952"/>
      <c r="AA492" s="2952"/>
      <c r="AB492" s="2952"/>
      <c r="AC492" s="2942">
        <f t="shared" si="270"/>
        <v>0</v>
      </c>
      <c r="AD492" s="2962"/>
      <c r="AE492" s="2962"/>
      <c r="AF492" s="2962"/>
      <c r="AG492" s="2962"/>
      <c r="AH492" s="2962"/>
      <c r="AI492" s="2962"/>
      <c r="AJ492" s="2962"/>
      <c r="AK492" s="2962"/>
      <c r="AL492" s="2962"/>
      <c r="AM492" s="2962"/>
      <c r="AN492" s="2962"/>
      <c r="AO492" s="2962"/>
      <c r="AP492" s="2962"/>
      <c r="AQ492" s="2962"/>
      <c r="AR492" s="2962"/>
      <c r="AS492" s="2962"/>
      <c r="AT492" s="2962"/>
      <c r="AU492" s="2997"/>
      <c r="AV492" s="1120">
        <f t="shared" si="243"/>
        <v>0</v>
      </c>
      <c r="AW492" s="1120">
        <f t="shared" si="244"/>
        <v>0</v>
      </c>
      <c r="AX492" s="1120">
        <f t="shared" si="245"/>
        <v>0</v>
      </c>
      <c r="AY492" s="2987">
        <f t="shared" si="271"/>
        <v>0</v>
      </c>
      <c r="AZ492" s="2942">
        <f t="shared" si="272"/>
        <v>0</v>
      </c>
      <c r="BA492" s="2942">
        <f t="shared" si="273"/>
        <v>0</v>
      </c>
      <c r="BB492" s="2942">
        <f t="shared" si="274"/>
        <v>0</v>
      </c>
      <c r="BC492" s="2942">
        <f t="shared" si="275"/>
        <v>0</v>
      </c>
      <c r="BD492" s="2942">
        <f t="shared" si="276"/>
        <v>0</v>
      </c>
      <c r="BE492" s="2942">
        <f t="shared" si="277"/>
        <v>0</v>
      </c>
      <c r="BF492" s="2942">
        <f t="shared" si="278"/>
        <v>0</v>
      </c>
      <c r="BG492" s="2942">
        <f t="shared" si="279"/>
        <v>0</v>
      </c>
      <c r="BH492" s="2942">
        <f t="shared" si="280"/>
        <v>0</v>
      </c>
      <c r="BI492" s="2942">
        <f t="shared" si="281"/>
        <v>0</v>
      </c>
      <c r="BJ492" s="2942">
        <f t="shared" si="282"/>
        <v>0</v>
      </c>
      <c r="BK492" s="2942">
        <f t="shared" si="283"/>
        <v>0</v>
      </c>
      <c r="BL492" s="2942">
        <f t="shared" si="284"/>
        <v>0</v>
      </c>
      <c r="BM492" s="2942">
        <f t="shared" si="285"/>
        <v>0</v>
      </c>
      <c r="BN492" s="2942">
        <f t="shared" si="286"/>
        <v>0</v>
      </c>
      <c r="BO492" s="2942">
        <f t="shared" si="287"/>
        <v>0</v>
      </c>
      <c r="BP492" s="2942">
        <f t="shared" si="288"/>
        <v>0</v>
      </c>
      <c r="BQ492" s="2942">
        <f t="shared" si="289"/>
        <v>0</v>
      </c>
      <c r="BR492" s="2942">
        <f t="shared" si="290"/>
        <v>0</v>
      </c>
      <c r="BS492" s="2942">
        <f t="shared" si="291"/>
        <v>0</v>
      </c>
      <c r="BT492" s="2994">
        <f t="shared" si="292"/>
        <v>0</v>
      </c>
    </row>
    <row r="493" spans="1:72">
      <c r="A493" s="2939"/>
      <c r="B493" s="2940"/>
      <c r="C493" s="2940"/>
      <c r="D493" s="2941"/>
      <c r="E493" s="2942">
        <f t="shared" ref="E493:E519" si="293">IF($C$3="是",ROUND($A$3*G493/$B$3,2),ROUND($A$3*(G493-AT493)/$B$3,2))</f>
        <v>0</v>
      </c>
      <c r="F493" s="2943"/>
      <c r="G493" s="2944">
        <f t="shared" si="268"/>
        <v>0</v>
      </c>
      <c r="H493" s="2945">
        <f t="shared" si="269"/>
        <v>0</v>
      </c>
      <c r="I493" s="2952"/>
      <c r="J493" s="2952"/>
      <c r="K493" s="2952"/>
      <c r="L493" s="2952"/>
      <c r="M493" s="2952"/>
      <c r="N493" s="2952"/>
      <c r="O493" s="2952"/>
      <c r="P493" s="2952"/>
      <c r="Q493" s="2952"/>
      <c r="R493" s="2952"/>
      <c r="S493" s="2952"/>
      <c r="T493" s="2952"/>
      <c r="U493" s="2952"/>
      <c r="V493" s="2952"/>
      <c r="W493" s="2952"/>
      <c r="X493" s="2952"/>
      <c r="Y493" s="2952"/>
      <c r="Z493" s="2952"/>
      <c r="AA493" s="2952"/>
      <c r="AB493" s="2952"/>
      <c r="AC493" s="2942">
        <f t="shared" si="270"/>
        <v>0</v>
      </c>
      <c r="AD493" s="2962"/>
      <c r="AE493" s="2962"/>
      <c r="AF493" s="2962"/>
      <c r="AG493" s="2962"/>
      <c r="AH493" s="2962"/>
      <c r="AI493" s="2962"/>
      <c r="AJ493" s="2962"/>
      <c r="AK493" s="2962"/>
      <c r="AL493" s="2962"/>
      <c r="AM493" s="2962"/>
      <c r="AN493" s="2962"/>
      <c r="AO493" s="2962"/>
      <c r="AP493" s="2962"/>
      <c r="AQ493" s="2962"/>
      <c r="AR493" s="2962"/>
      <c r="AS493" s="2962"/>
      <c r="AT493" s="2972"/>
      <c r="AU493" s="2973"/>
      <c r="AV493" s="1120">
        <f t="shared" ref="AV493:AV520" si="294">A493</f>
        <v>0</v>
      </c>
      <c r="AW493" s="1120">
        <f t="shared" ref="AW493:AW520" si="295">B493</f>
        <v>0</v>
      </c>
      <c r="AX493" s="1120">
        <f t="shared" ref="AX493:AX520" si="296">C493</f>
        <v>0</v>
      </c>
      <c r="AY493" s="2987">
        <f t="shared" si="271"/>
        <v>0</v>
      </c>
      <c r="AZ493" s="2942">
        <f t="shared" si="272"/>
        <v>0</v>
      </c>
      <c r="BA493" s="2942">
        <f t="shared" si="273"/>
        <v>0</v>
      </c>
      <c r="BB493" s="2942">
        <f t="shared" si="274"/>
        <v>0</v>
      </c>
      <c r="BC493" s="2942">
        <f t="shared" si="275"/>
        <v>0</v>
      </c>
      <c r="BD493" s="2942">
        <f t="shared" si="276"/>
        <v>0</v>
      </c>
      <c r="BE493" s="2942">
        <f t="shared" si="277"/>
        <v>0</v>
      </c>
      <c r="BF493" s="2942">
        <f t="shared" si="278"/>
        <v>0</v>
      </c>
      <c r="BG493" s="2942">
        <f t="shared" si="279"/>
        <v>0</v>
      </c>
      <c r="BH493" s="2942">
        <f t="shared" si="280"/>
        <v>0</v>
      </c>
      <c r="BI493" s="2942">
        <f t="shared" si="281"/>
        <v>0</v>
      </c>
      <c r="BJ493" s="2942">
        <f t="shared" si="282"/>
        <v>0</v>
      </c>
      <c r="BK493" s="2942">
        <f t="shared" si="283"/>
        <v>0</v>
      </c>
      <c r="BL493" s="2942">
        <f t="shared" si="284"/>
        <v>0</v>
      </c>
      <c r="BM493" s="2942">
        <f t="shared" si="285"/>
        <v>0</v>
      </c>
      <c r="BN493" s="2942">
        <f t="shared" si="286"/>
        <v>0</v>
      </c>
      <c r="BO493" s="2942">
        <f t="shared" si="287"/>
        <v>0</v>
      </c>
      <c r="BP493" s="2942">
        <f t="shared" si="288"/>
        <v>0</v>
      </c>
      <c r="BQ493" s="2942">
        <f t="shared" si="289"/>
        <v>0</v>
      </c>
      <c r="BR493" s="2942">
        <f t="shared" si="290"/>
        <v>0</v>
      </c>
      <c r="BS493" s="2942">
        <f t="shared" si="291"/>
        <v>0</v>
      </c>
      <c r="BT493" s="2994">
        <f t="shared" si="292"/>
        <v>0</v>
      </c>
    </row>
    <row r="494" spans="1:72">
      <c r="A494" s="2939"/>
      <c r="B494" s="2940"/>
      <c r="C494" s="2940"/>
      <c r="D494" s="2941"/>
      <c r="E494" s="2942">
        <f t="shared" si="293"/>
        <v>0</v>
      </c>
      <c r="F494" s="2943"/>
      <c r="G494" s="2944">
        <f t="shared" si="268"/>
        <v>0</v>
      </c>
      <c r="H494" s="2945">
        <f t="shared" si="269"/>
        <v>0</v>
      </c>
      <c r="I494" s="2952"/>
      <c r="J494" s="2952"/>
      <c r="K494" s="2952"/>
      <c r="L494" s="2952"/>
      <c r="M494" s="2952"/>
      <c r="N494" s="2952"/>
      <c r="O494" s="2952"/>
      <c r="P494" s="2952"/>
      <c r="Q494" s="2952"/>
      <c r="R494" s="2952"/>
      <c r="S494" s="2952"/>
      <c r="T494" s="2952"/>
      <c r="U494" s="2952"/>
      <c r="V494" s="2952"/>
      <c r="W494" s="2952"/>
      <c r="X494" s="2952"/>
      <c r="Y494" s="2952"/>
      <c r="Z494" s="2952"/>
      <c r="AA494" s="2952"/>
      <c r="AB494" s="2952"/>
      <c r="AC494" s="2942">
        <f t="shared" si="270"/>
        <v>0</v>
      </c>
      <c r="AD494" s="2962"/>
      <c r="AE494" s="2962"/>
      <c r="AF494" s="2962"/>
      <c r="AG494" s="2962"/>
      <c r="AH494" s="2962"/>
      <c r="AI494" s="2962"/>
      <c r="AJ494" s="2962"/>
      <c r="AK494" s="2962"/>
      <c r="AL494" s="2962"/>
      <c r="AM494" s="2962"/>
      <c r="AN494" s="2962"/>
      <c r="AO494" s="2962"/>
      <c r="AP494" s="2962"/>
      <c r="AQ494" s="2962"/>
      <c r="AR494" s="2962"/>
      <c r="AS494" s="2962"/>
      <c r="AT494" s="2972"/>
      <c r="AU494" s="2973"/>
      <c r="AV494" s="1120">
        <f t="shared" si="294"/>
        <v>0</v>
      </c>
      <c r="AW494" s="1120">
        <f t="shared" si="295"/>
        <v>0</v>
      </c>
      <c r="AX494" s="1120">
        <f t="shared" si="296"/>
        <v>0</v>
      </c>
      <c r="AY494" s="2987">
        <f t="shared" si="271"/>
        <v>0</v>
      </c>
      <c r="AZ494" s="2942">
        <f t="shared" si="272"/>
        <v>0</v>
      </c>
      <c r="BA494" s="2942">
        <f t="shared" si="273"/>
        <v>0</v>
      </c>
      <c r="BB494" s="2942">
        <f t="shared" si="274"/>
        <v>0</v>
      </c>
      <c r="BC494" s="2942">
        <f t="shared" si="275"/>
        <v>0</v>
      </c>
      <c r="BD494" s="2942">
        <f t="shared" si="276"/>
        <v>0</v>
      </c>
      <c r="BE494" s="2942">
        <f t="shared" si="277"/>
        <v>0</v>
      </c>
      <c r="BF494" s="2942">
        <f t="shared" si="278"/>
        <v>0</v>
      </c>
      <c r="BG494" s="2942">
        <f t="shared" si="279"/>
        <v>0</v>
      </c>
      <c r="BH494" s="2942">
        <f t="shared" si="280"/>
        <v>0</v>
      </c>
      <c r="BI494" s="2942">
        <f t="shared" si="281"/>
        <v>0</v>
      </c>
      <c r="BJ494" s="2942">
        <f t="shared" si="282"/>
        <v>0</v>
      </c>
      <c r="BK494" s="2942">
        <f t="shared" si="283"/>
        <v>0</v>
      </c>
      <c r="BL494" s="2942">
        <f t="shared" si="284"/>
        <v>0</v>
      </c>
      <c r="BM494" s="2942">
        <f t="shared" si="285"/>
        <v>0</v>
      </c>
      <c r="BN494" s="2942">
        <f t="shared" si="286"/>
        <v>0</v>
      </c>
      <c r="BO494" s="2942">
        <f t="shared" si="287"/>
        <v>0</v>
      </c>
      <c r="BP494" s="2942">
        <f t="shared" si="288"/>
        <v>0</v>
      </c>
      <c r="BQ494" s="2942">
        <f t="shared" si="289"/>
        <v>0</v>
      </c>
      <c r="BR494" s="2942">
        <f t="shared" si="290"/>
        <v>0</v>
      </c>
      <c r="BS494" s="2942">
        <f t="shared" si="291"/>
        <v>0</v>
      </c>
      <c r="BT494" s="2994">
        <f t="shared" si="292"/>
        <v>0</v>
      </c>
    </row>
    <row r="495" spans="1:72">
      <c r="A495" s="2939"/>
      <c r="B495" s="2940"/>
      <c r="C495" s="2940"/>
      <c r="D495" s="2941"/>
      <c r="E495" s="2942">
        <f t="shared" si="293"/>
        <v>0</v>
      </c>
      <c r="F495" s="2943"/>
      <c r="G495" s="2944">
        <f t="shared" si="268"/>
        <v>0</v>
      </c>
      <c r="H495" s="2945">
        <f t="shared" si="269"/>
        <v>0</v>
      </c>
      <c r="I495" s="2952"/>
      <c r="J495" s="2952"/>
      <c r="K495" s="2952"/>
      <c r="L495" s="2952"/>
      <c r="M495" s="2952"/>
      <c r="N495" s="2952"/>
      <c r="O495" s="2952"/>
      <c r="P495" s="2952"/>
      <c r="Q495" s="2952"/>
      <c r="R495" s="2952"/>
      <c r="S495" s="2952"/>
      <c r="T495" s="2952"/>
      <c r="U495" s="2952"/>
      <c r="V495" s="2952"/>
      <c r="W495" s="2952"/>
      <c r="X495" s="2952"/>
      <c r="Y495" s="2952"/>
      <c r="Z495" s="2952"/>
      <c r="AA495" s="2952"/>
      <c r="AB495" s="2952"/>
      <c r="AC495" s="2942">
        <f t="shared" si="270"/>
        <v>0</v>
      </c>
      <c r="AD495" s="2962"/>
      <c r="AE495" s="2962"/>
      <c r="AF495" s="2962"/>
      <c r="AG495" s="2962"/>
      <c r="AH495" s="2962"/>
      <c r="AI495" s="2962"/>
      <c r="AJ495" s="2962"/>
      <c r="AK495" s="2962"/>
      <c r="AL495" s="2962"/>
      <c r="AM495" s="2962"/>
      <c r="AN495" s="2962"/>
      <c r="AO495" s="2962"/>
      <c r="AP495" s="2962"/>
      <c r="AQ495" s="2962"/>
      <c r="AR495" s="2962"/>
      <c r="AS495" s="2962"/>
      <c r="AT495" s="2972"/>
      <c r="AU495" s="2973"/>
      <c r="AV495" s="1120">
        <f t="shared" si="294"/>
        <v>0</v>
      </c>
      <c r="AW495" s="1120">
        <f t="shared" si="295"/>
        <v>0</v>
      </c>
      <c r="AX495" s="1120">
        <f t="shared" si="296"/>
        <v>0</v>
      </c>
      <c r="AY495" s="2987">
        <f t="shared" si="271"/>
        <v>0</v>
      </c>
      <c r="AZ495" s="2942">
        <f t="shared" si="272"/>
        <v>0</v>
      </c>
      <c r="BA495" s="2942">
        <f t="shared" si="273"/>
        <v>0</v>
      </c>
      <c r="BB495" s="2942">
        <f t="shared" si="274"/>
        <v>0</v>
      </c>
      <c r="BC495" s="2942">
        <f t="shared" si="275"/>
        <v>0</v>
      </c>
      <c r="BD495" s="2942">
        <f t="shared" si="276"/>
        <v>0</v>
      </c>
      <c r="BE495" s="2942">
        <f t="shared" si="277"/>
        <v>0</v>
      </c>
      <c r="BF495" s="2942">
        <f t="shared" si="278"/>
        <v>0</v>
      </c>
      <c r="BG495" s="2942">
        <f t="shared" si="279"/>
        <v>0</v>
      </c>
      <c r="BH495" s="2942">
        <f t="shared" si="280"/>
        <v>0</v>
      </c>
      <c r="BI495" s="2942">
        <f t="shared" si="281"/>
        <v>0</v>
      </c>
      <c r="BJ495" s="2942">
        <f t="shared" si="282"/>
        <v>0</v>
      </c>
      <c r="BK495" s="2942">
        <f t="shared" si="283"/>
        <v>0</v>
      </c>
      <c r="BL495" s="2942">
        <f t="shared" si="284"/>
        <v>0</v>
      </c>
      <c r="BM495" s="2942">
        <f t="shared" si="285"/>
        <v>0</v>
      </c>
      <c r="BN495" s="2942">
        <f t="shared" si="286"/>
        <v>0</v>
      </c>
      <c r="BO495" s="2942">
        <f t="shared" si="287"/>
        <v>0</v>
      </c>
      <c r="BP495" s="2942">
        <f t="shared" si="288"/>
        <v>0</v>
      </c>
      <c r="BQ495" s="2942">
        <f t="shared" si="289"/>
        <v>0</v>
      </c>
      <c r="BR495" s="2942">
        <f t="shared" si="290"/>
        <v>0</v>
      </c>
      <c r="BS495" s="2942">
        <f t="shared" si="291"/>
        <v>0</v>
      </c>
      <c r="BT495" s="2994">
        <f t="shared" si="292"/>
        <v>0</v>
      </c>
    </row>
    <row r="496" spans="1:72">
      <c r="A496" s="2939"/>
      <c r="B496" s="2940"/>
      <c r="C496" s="2940"/>
      <c r="D496" s="2941"/>
      <c r="E496" s="2942">
        <f t="shared" si="293"/>
        <v>0</v>
      </c>
      <c r="F496" s="2943"/>
      <c r="G496" s="2944">
        <f t="shared" si="268"/>
        <v>0</v>
      </c>
      <c r="H496" s="2945">
        <f t="shared" si="269"/>
        <v>0</v>
      </c>
      <c r="I496" s="2952"/>
      <c r="J496" s="2952"/>
      <c r="K496" s="2952"/>
      <c r="L496" s="2952"/>
      <c r="M496" s="2952"/>
      <c r="N496" s="2952"/>
      <c r="O496" s="2952"/>
      <c r="P496" s="2952"/>
      <c r="Q496" s="2952"/>
      <c r="R496" s="2952"/>
      <c r="S496" s="2952"/>
      <c r="T496" s="2952"/>
      <c r="U496" s="2952"/>
      <c r="V496" s="2952"/>
      <c r="W496" s="2952"/>
      <c r="X496" s="2952"/>
      <c r="Y496" s="2952"/>
      <c r="Z496" s="2952"/>
      <c r="AA496" s="2952"/>
      <c r="AB496" s="2952"/>
      <c r="AC496" s="2942">
        <f t="shared" si="270"/>
        <v>0</v>
      </c>
      <c r="AD496" s="2962"/>
      <c r="AE496" s="2962"/>
      <c r="AF496" s="2962"/>
      <c r="AG496" s="2962"/>
      <c r="AH496" s="2962"/>
      <c r="AI496" s="2962"/>
      <c r="AJ496" s="2962"/>
      <c r="AK496" s="2962"/>
      <c r="AL496" s="2962"/>
      <c r="AM496" s="2962"/>
      <c r="AN496" s="2962"/>
      <c r="AO496" s="2962"/>
      <c r="AP496" s="2962"/>
      <c r="AQ496" s="2962"/>
      <c r="AR496" s="2962"/>
      <c r="AS496" s="2962"/>
      <c r="AT496" s="2972"/>
      <c r="AU496" s="2973"/>
      <c r="AV496" s="1120">
        <f t="shared" si="294"/>
        <v>0</v>
      </c>
      <c r="AW496" s="1120">
        <f t="shared" si="295"/>
        <v>0</v>
      </c>
      <c r="AX496" s="1120">
        <f t="shared" si="296"/>
        <v>0</v>
      </c>
      <c r="AY496" s="2987">
        <f t="shared" si="271"/>
        <v>0</v>
      </c>
      <c r="AZ496" s="2942">
        <f t="shared" si="272"/>
        <v>0</v>
      </c>
      <c r="BA496" s="2942">
        <f t="shared" si="273"/>
        <v>0</v>
      </c>
      <c r="BB496" s="2942">
        <f t="shared" si="274"/>
        <v>0</v>
      </c>
      <c r="BC496" s="2942">
        <f t="shared" si="275"/>
        <v>0</v>
      </c>
      <c r="BD496" s="2942">
        <f t="shared" si="276"/>
        <v>0</v>
      </c>
      <c r="BE496" s="2942">
        <f t="shared" si="277"/>
        <v>0</v>
      </c>
      <c r="BF496" s="2942">
        <f t="shared" si="278"/>
        <v>0</v>
      </c>
      <c r="BG496" s="2942">
        <f t="shared" si="279"/>
        <v>0</v>
      </c>
      <c r="BH496" s="2942">
        <f t="shared" si="280"/>
        <v>0</v>
      </c>
      <c r="BI496" s="2942">
        <f t="shared" si="281"/>
        <v>0</v>
      </c>
      <c r="BJ496" s="2942">
        <f t="shared" si="282"/>
        <v>0</v>
      </c>
      <c r="BK496" s="2942">
        <f t="shared" si="283"/>
        <v>0</v>
      </c>
      <c r="BL496" s="2942">
        <f t="shared" si="284"/>
        <v>0</v>
      </c>
      <c r="BM496" s="2942">
        <f t="shared" si="285"/>
        <v>0</v>
      </c>
      <c r="BN496" s="2942">
        <f t="shared" si="286"/>
        <v>0</v>
      </c>
      <c r="BO496" s="2942">
        <f t="shared" si="287"/>
        <v>0</v>
      </c>
      <c r="BP496" s="2942">
        <f t="shared" si="288"/>
        <v>0</v>
      </c>
      <c r="BQ496" s="2942">
        <f t="shared" si="289"/>
        <v>0</v>
      </c>
      <c r="BR496" s="2942">
        <f t="shared" si="290"/>
        <v>0</v>
      </c>
      <c r="BS496" s="2942">
        <f t="shared" si="291"/>
        <v>0</v>
      </c>
      <c r="BT496" s="2994">
        <f t="shared" si="292"/>
        <v>0</v>
      </c>
    </row>
    <row r="497" spans="1:72">
      <c r="A497" s="2939"/>
      <c r="B497" s="2940"/>
      <c r="C497" s="2940"/>
      <c r="D497" s="2941"/>
      <c r="E497" s="2942">
        <f t="shared" si="293"/>
        <v>0</v>
      </c>
      <c r="F497" s="2943"/>
      <c r="G497" s="2944">
        <f t="shared" si="268"/>
        <v>0</v>
      </c>
      <c r="H497" s="2945">
        <f t="shared" si="269"/>
        <v>0</v>
      </c>
      <c r="I497" s="2952"/>
      <c r="J497" s="2952"/>
      <c r="K497" s="2952"/>
      <c r="L497" s="2952"/>
      <c r="M497" s="2952"/>
      <c r="N497" s="2952"/>
      <c r="O497" s="2952"/>
      <c r="P497" s="2952"/>
      <c r="Q497" s="2952"/>
      <c r="R497" s="2952"/>
      <c r="S497" s="2952"/>
      <c r="T497" s="2952"/>
      <c r="U497" s="2952"/>
      <c r="V497" s="2952"/>
      <c r="W497" s="2952"/>
      <c r="X497" s="2952"/>
      <c r="Y497" s="2952"/>
      <c r="Z497" s="2952"/>
      <c r="AA497" s="2952"/>
      <c r="AB497" s="2952"/>
      <c r="AC497" s="2942">
        <f t="shared" si="270"/>
        <v>0</v>
      </c>
      <c r="AD497" s="2962"/>
      <c r="AE497" s="2962"/>
      <c r="AF497" s="2962"/>
      <c r="AG497" s="2962"/>
      <c r="AH497" s="2962"/>
      <c r="AI497" s="2962"/>
      <c r="AJ497" s="2962"/>
      <c r="AK497" s="2962"/>
      <c r="AL497" s="2962"/>
      <c r="AM497" s="2962"/>
      <c r="AN497" s="2962"/>
      <c r="AO497" s="2962"/>
      <c r="AP497" s="2962"/>
      <c r="AQ497" s="2962"/>
      <c r="AR497" s="2962"/>
      <c r="AS497" s="2962"/>
      <c r="AT497" s="2972"/>
      <c r="AU497" s="2973"/>
      <c r="AV497" s="1120">
        <f t="shared" si="294"/>
        <v>0</v>
      </c>
      <c r="AW497" s="1120">
        <f t="shared" si="295"/>
        <v>0</v>
      </c>
      <c r="AX497" s="1120">
        <f t="shared" si="296"/>
        <v>0</v>
      </c>
      <c r="AY497" s="2987">
        <f t="shared" si="271"/>
        <v>0</v>
      </c>
      <c r="AZ497" s="2942">
        <f t="shared" si="272"/>
        <v>0</v>
      </c>
      <c r="BA497" s="2942">
        <f t="shared" si="273"/>
        <v>0</v>
      </c>
      <c r="BB497" s="2942">
        <f t="shared" si="274"/>
        <v>0</v>
      </c>
      <c r="BC497" s="2942">
        <f t="shared" si="275"/>
        <v>0</v>
      </c>
      <c r="BD497" s="2942">
        <f t="shared" si="276"/>
        <v>0</v>
      </c>
      <c r="BE497" s="2942">
        <f t="shared" si="277"/>
        <v>0</v>
      </c>
      <c r="BF497" s="2942">
        <f t="shared" si="278"/>
        <v>0</v>
      </c>
      <c r="BG497" s="2942">
        <f t="shared" si="279"/>
        <v>0</v>
      </c>
      <c r="BH497" s="2942">
        <f t="shared" si="280"/>
        <v>0</v>
      </c>
      <c r="BI497" s="2942">
        <f t="shared" si="281"/>
        <v>0</v>
      </c>
      <c r="BJ497" s="2942">
        <f t="shared" si="282"/>
        <v>0</v>
      </c>
      <c r="BK497" s="2942">
        <f t="shared" si="283"/>
        <v>0</v>
      </c>
      <c r="BL497" s="2942">
        <f t="shared" si="284"/>
        <v>0</v>
      </c>
      <c r="BM497" s="2942">
        <f t="shared" si="285"/>
        <v>0</v>
      </c>
      <c r="BN497" s="2942">
        <f t="shared" si="286"/>
        <v>0</v>
      </c>
      <c r="BO497" s="2942">
        <f t="shared" si="287"/>
        <v>0</v>
      </c>
      <c r="BP497" s="2942">
        <f t="shared" si="288"/>
        <v>0</v>
      </c>
      <c r="BQ497" s="2942">
        <f t="shared" si="289"/>
        <v>0</v>
      </c>
      <c r="BR497" s="2942">
        <f t="shared" si="290"/>
        <v>0</v>
      </c>
      <c r="BS497" s="2942">
        <f t="shared" si="291"/>
        <v>0</v>
      </c>
      <c r="BT497" s="2994">
        <f t="shared" si="292"/>
        <v>0</v>
      </c>
    </row>
    <row r="498" spans="1:72">
      <c r="A498" s="2939"/>
      <c r="B498" s="2940"/>
      <c r="C498" s="2940"/>
      <c r="D498" s="2941"/>
      <c r="E498" s="2942">
        <f t="shared" si="293"/>
        <v>0</v>
      </c>
      <c r="F498" s="2943"/>
      <c r="G498" s="2944">
        <f t="shared" si="268"/>
        <v>0</v>
      </c>
      <c r="H498" s="2945">
        <f t="shared" si="269"/>
        <v>0</v>
      </c>
      <c r="I498" s="2952"/>
      <c r="J498" s="2952"/>
      <c r="K498" s="2952"/>
      <c r="L498" s="2952"/>
      <c r="M498" s="2952"/>
      <c r="N498" s="2952"/>
      <c r="O498" s="2952"/>
      <c r="P498" s="2952"/>
      <c r="Q498" s="2952"/>
      <c r="R498" s="2952"/>
      <c r="S498" s="2952"/>
      <c r="T498" s="2952"/>
      <c r="U498" s="2952"/>
      <c r="V498" s="2952"/>
      <c r="W498" s="2952"/>
      <c r="X498" s="2952"/>
      <c r="Y498" s="2952"/>
      <c r="Z498" s="2952"/>
      <c r="AA498" s="2952"/>
      <c r="AB498" s="2952"/>
      <c r="AC498" s="2942">
        <f t="shared" si="270"/>
        <v>0</v>
      </c>
      <c r="AD498" s="2962"/>
      <c r="AE498" s="2962"/>
      <c r="AF498" s="2962"/>
      <c r="AG498" s="2962"/>
      <c r="AH498" s="2962"/>
      <c r="AI498" s="2962"/>
      <c r="AJ498" s="2962"/>
      <c r="AK498" s="2962"/>
      <c r="AL498" s="2962"/>
      <c r="AM498" s="2962"/>
      <c r="AN498" s="2962"/>
      <c r="AO498" s="2962"/>
      <c r="AP498" s="2962"/>
      <c r="AQ498" s="2962"/>
      <c r="AR498" s="2962"/>
      <c r="AS498" s="2962"/>
      <c r="AT498" s="2972"/>
      <c r="AU498" s="2973"/>
      <c r="AV498" s="1120">
        <f t="shared" si="294"/>
        <v>0</v>
      </c>
      <c r="AW498" s="1120">
        <f t="shared" si="295"/>
        <v>0</v>
      </c>
      <c r="AX498" s="1120">
        <f t="shared" si="296"/>
        <v>0</v>
      </c>
      <c r="AY498" s="2987">
        <f t="shared" si="271"/>
        <v>0</v>
      </c>
      <c r="AZ498" s="2942">
        <f t="shared" si="272"/>
        <v>0</v>
      </c>
      <c r="BA498" s="2942">
        <f t="shared" si="273"/>
        <v>0</v>
      </c>
      <c r="BB498" s="2942">
        <f t="shared" si="274"/>
        <v>0</v>
      </c>
      <c r="BC498" s="2942">
        <f t="shared" si="275"/>
        <v>0</v>
      </c>
      <c r="BD498" s="2942">
        <f t="shared" si="276"/>
        <v>0</v>
      </c>
      <c r="BE498" s="2942">
        <f t="shared" si="277"/>
        <v>0</v>
      </c>
      <c r="BF498" s="2942">
        <f t="shared" si="278"/>
        <v>0</v>
      </c>
      <c r="BG498" s="2942">
        <f t="shared" si="279"/>
        <v>0</v>
      </c>
      <c r="BH498" s="2942">
        <f t="shared" si="280"/>
        <v>0</v>
      </c>
      <c r="BI498" s="2942">
        <f t="shared" si="281"/>
        <v>0</v>
      </c>
      <c r="BJ498" s="2942">
        <f t="shared" si="282"/>
        <v>0</v>
      </c>
      <c r="BK498" s="2942">
        <f t="shared" si="283"/>
        <v>0</v>
      </c>
      <c r="BL498" s="2942">
        <f t="shared" si="284"/>
        <v>0</v>
      </c>
      <c r="BM498" s="2942">
        <f t="shared" si="285"/>
        <v>0</v>
      </c>
      <c r="BN498" s="2942">
        <f t="shared" si="286"/>
        <v>0</v>
      </c>
      <c r="BO498" s="2942">
        <f t="shared" si="287"/>
        <v>0</v>
      </c>
      <c r="BP498" s="2942">
        <f t="shared" si="288"/>
        <v>0</v>
      </c>
      <c r="BQ498" s="2942">
        <f t="shared" si="289"/>
        <v>0</v>
      </c>
      <c r="BR498" s="2942">
        <f t="shared" si="290"/>
        <v>0</v>
      </c>
      <c r="BS498" s="2942">
        <f t="shared" si="291"/>
        <v>0</v>
      </c>
      <c r="BT498" s="2994">
        <f t="shared" si="292"/>
        <v>0</v>
      </c>
    </row>
    <row r="499" spans="1:72">
      <c r="A499" s="2939"/>
      <c r="B499" s="2940"/>
      <c r="C499" s="2940"/>
      <c r="D499" s="2941"/>
      <c r="E499" s="2942">
        <f t="shared" si="293"/>
        <v>0</v>
      </c>
      <c r="F499" s="2943"/>
      <c r="G499" s="2944">
        <f t="shared" si="268"/>
        <v>0</v>
      </c>
      <c r="H499" s="2945">
        <f t="shared" si="269"/>
        <v>0</v>
      </c>
      <c r="I499" s="2952"/>
      <c r="J499" s="2952"/>
      <c r="K499" s="2952"/>
      <c r="L499" s="2952"/>
      <c r="M499" s="2952"/>
      <c r="N499" s="2952"/>
      <c r="O499" s="2952"/>
      <c r="P499" s="2952"/>
      <c r="Q499" s="2952"/>
      <c r="R499" s="2952"/>
      <c r="S499" s="2952"/>
      <c r="T499" s="2952"/>
      <c r="U499" s="2952"/>
      <c r="V499" s="2952"/>
      <c r="W499" s="2952"/>
      <c r="X499" s="2952"/>
      <c r="Y499" s="2952"/>
      <c r="Z499" s="2952"/>
      <c r="AA499" s="2952"/>
      <c r="AB499" s="2952"/>
      <c r="AC499" s="2942">
        <f t="shared" si="270"/>
        <v>0</v>
      </c>
      <c r="AD499" s="2962"/>
      <c r="AE499" s="2962"/>
      <c r="AF499" s="2962"/>
      <c r="AG499" s="2962"/>
      <c r="AH499" s="2962"/>
      <c r="AI499" s="2962"/>
      <c r="AJ499" s="2962"/>
      <c r="AK499" s="2962"/>
      <c r="AL499" s="2962"/>
      <c r="AM499" s="2962"/>
      <c r="AN499" s="2962"/>
      <c r="AO499" s="2962"/>
      <c r="AP499" s="2962"/>
      <c r="AQ499" s="2962"/>
      <c r="AR499" s="2962"/>
      <c r="AS499" s="2962"/>
      <c r="AT499" s="2972"/>
      <c r="AU499" s="2973"/>
      <c r="AV499" s="1120">
        <f t="shared" si="294"/>
        <v>0</v>
      </c>
      <c r="AW499" s="1120">
        <f t="shared" si="295"/>
        <v>0</v>
      </c>
      <c r="AX499" s="1120">
        <f t="shared" si="296"/>
        <v>0</v>
      </c>
      <c r="AY499" s="2987">
        <f t="shared" si="271"/>
        <v>0</v>
      </c>
      <c r="AZ499" s="2942">
        <f t="shared" si="272"/>
        <v>0</v>
      </c>
      <c r="BA499" s="2942">
        <f t="shared" si="273"/>
        <v>0</v>
      </c>
      <c r="BB499" s="2942">
        <f t="shared" si="274"/>
        <v>0</v>
      </c>
      <c r="BC499" s="2942">
        <f t="shared" si="275"/>
        <v>0</v>
      </c>
      <c r="BD499" s="2942">
        <f t="shared" si="276"/>
        <v>0</v>
      </c>
      <c r="BE499" s="2942">
        <f t="shared" si="277"/>
        <v>0</v>
      </c>
      <c r="BF499" s="2942">
        <f t="shared" si="278"/>
        <v>0</v>
      </c>
      <c r="BG499" s="2942">
        <f t="shared" si="279"/>
        <v>0</v>
      </c>
      <c r="BH499" s="2942">
        <f t="shared" si="280"/>
        <v>0</v>
      </c>
      <c r="BI499" s="2942">
        <f t="shared" si="281"/>
        <v>0</v>
      </c>
      <c r="BJ499" s="2942">
        <f t="shared" si="282"/>
        <v>0</v>
      </c>
      <c r="BK499" s="2942">
        <f t="shared" si="283"/>
        <v>0</v>
      </c>
      <c r="BL499" s="2942">
        <f t="shared" si="284"/>
        <v>0</v>
      </c>
      <c r="BM499" s="2942">
        <f t="shared" si="285"/>
        <v>0</v>
      </c>
      <c r="BN499" s="2942">
        <f t="shared" si="286"/>
        <v>0</v>
      </c>
      <c r="BO499" s="2942">
        <f t="shared" si="287"/>
        <v>0</v>
      </c>
      <c r="BP499" s="2942">
        <f t="shared" si="288"/>
        <v>0</v>
      </c>
      <c r="BQ499" s="2942">
        <f t="shared" si="289"/>
        <v>0</v>
      </c>
      <c r="BR499" s="2942">
        <f t="shared" si="290"/>
        <v>0</v>
      </c>
      <c r="BS499" s="2942">
        <f t="shared" si="291"/>
        <v>0</v>
      </c>
      <c r="BT499" s="2994">
        <f t="shared" si="292"/>
        <v>0</v>
      </c>
    </row>
    <row r="500" spans="1:72">
      <c r="A500" s="2939"/>
      <c r="B500" s="2940"/>
      <c r="C500" s="2940"/>
      <c r="D500" s="2941"/>
      <c r="E500" s="2942">
        <f t="shared" si="293"/>
        <v>0</v>
      </c>
      <c r="F500" s="2943"/>
      <c r="G500" s="2944">
        <f t="shared" si="268"/>
        <v>0</v>
      </c>
      <c r="H500" s="2945">
        <f t="shared" si="269"/>
        <v>0</v>
      </c>
      <c r="I500" s="2952"/>
      <c r="J500" s="2952"/>
      <c r="K500" s="2952"/>
      <c r="L500" s="2952"/>
      <c r="M500" s="2952"/>
      <c r="N500" s="2952"/>
      <c r="O500" s="2952"/>
      <c r="P500" s="2952"/>
      <c r="Q500" s="2952"/>
      <c r="R500" s="2952"/>
      <c r="S500" s="2952"/>
      <c r="T500" s="2952"/>
      <c r="U500" s="2952"/>
      <c r="V500" s="2952"/>
      <c r="W500" s="2952"/>
      <c r="X500" s="2952"/>
      <c r="Y500" s="2952"/>
      <c r="Z500" s="2952"/>
      <c r="AA500" s="2952"/>
      <c r="AB500" s="2952"/>
      <c r="AC500" s="2942">
        <f t="shared" si="270"/>
        <v>0</v>
      </c>
      <c r="AD500" s="2962"/>
      <c r="AE500" s="2962"/>
      <c r="AF500" s="2962"/>
      <c r="AG500" s="2962"/>
      <c r="AH500" s="2962"/>
      <c r="AI500" s="2962"/>
      <c r="AJ500" s="2962"/>
      <c r="AK500" s="2962"/>
      <c r="AL500" s="2962"/>
      <c r="AM500" s="2962"/>
      <c r="AN500" s="2962"/>
      <c r="AO500" s="2962"/>
      <c r="AP500" s="2962"/>
      <c r="AQ500" s="2962"/>
      <c r="AR500" s="2962"/>
      <c r="AS500" s="2962"/>
      <c r="AT500" s="2972"/>
      <c r="AU500" s="2973"/>
      <c r="AV500" s="1120">
        <f t="shared" si="294"/>
        <v>0</v>
      </c>
      <c r="AW500" s="1120">
        <f t="shared" si="295"/>
        <v>0</v>
      </c>
      <c r="AX500" s="1120">
        <f t="shared" si="296"/>
        <v>0</v>
      </c>
      <c r="AY500" s="2987">
        <f t="shared" si="271"/>
        <v>0</v>
      </c>
      <c r="AZ500" s="2942">
        <f t="shared" si="272"/>
        <v>0</v>
      </c>
      <c r="BA500" s="2942">
        <f t="shared" si="273"/>
        <v>0</v>
      </c>
      <c r="BB500" s="2942">
        <f t="shared" si="274"/>
        <v>0</v>
      </c>
      <c r="BC500" s="2942">
        <f t="shared" si="275"/>
        <v>0</v>
      </c>
      <c r="BD500" s="2942">
        <f t="shared" si="276"/>
        <v>0</v>
      </c>
      <c r="BE500" s="2942">
        <f t="shared" si="277"/>
        <v>0</v>
      </c>
      <c r="BF500" s="2942">
        <f t="shared" si="278"/>
        <v>0</v>
      </c>
      <c r="BG500" s="2942">
        <f t="shared" si="279"/>
        <v>0</v>
      </c>
      <c r="BH500" s="2942">
        <f t="shared" si="280"/>
        <v>0</v>
      </c>
      <c r="BI500" s="2942">
        <f t="shared" si="281"/>
        <v>0</v>
      </c>
      <c r="BJ500" s="2942">
        <f t="shared" si="282"/>
        <v>0</v>
      </c>
      <c r="BK500" s="2942">
        <f t="shared" si="283"/>
        <v>0</v>
      </c>
      <c r="BL500" s="2942">
        <f t="shared" si="284"/>
        <v>0</v>
      </c>
      <c r="BM500" s="2942">
        <f t="shared" si="285"/>
        <v>0</v>
      </c>
      <c r="BN500" s="2942">
        <f t="shared" si="286"/>
        <v>0</v>
      </c>
      <c r="BO500" s="2942">
        <f t="shared" si="287"/>
        <v>0</v>
      </c>
      <c r="BP500" s="2942">
        <f t="shared" si="288"/>
        <v>0</v>
      </c>
      <c r="BQ500" s="2942">
        <f t="shared" si="289"/>
        <v>0</v>
      </c>
      <c r="BR500" s="2942">
        <f t="shared" si="290"/>
        <v>0</v>
      </c>
      <c r="BS500" s="2942">
        <f t="shared" si="291"/>
        <v>0</v>
      </c>
      <c r="BT500" s="2994">
        <f t="shared" si="292"/>
        <v>0</v>
      </c>
    </row>
    <row r="501" spans="1:72">
      <c r="A501" s="2939"/>
      <c r="B501" s="2940"/>
      <c r="C501" s="2940"/>
      <c r="D501" s="2941"/>
      <c r="E501" s="2942">
        <f t="shared" si="293"/>
        <v>0</v>
      </c>
      <c r="F501" s="2943"/>
      <c r="G501" s="2944">
        <f t="shared" si="268"/>
        <v>0</v>
      </c>
      <c r="H501" s="2945">
        <f t="shared" si="269"/>
        <v>0</v>
      </c>
      <c r="I501" s="2952"/>
      <c r="J501" s="2952"/>
      <c r="K501" s="2952"/>
      <c r="L501" s="2952"/>
      <c r="M501" s="2952"/>
      <c r="N501" s="2952"/>
      <c r="O501" s="2952"/>
      <c r="P501" s="2952"/>
      <c r="Q501" s="2952"/>
      <c r="R501" s="2952"/>
      <c r="S501" s="2952"/>
      <c r="T501" s="2952"/>
      <c r="U501" s="2952"/>
      <c r="V501" s="2952"/>
      <c r="W501" s="2952"/>
      <c r="X501" s="2952"/>
      <c r="Y501" s="2952"/>
      <c r="Z501" s="2952"/>
      <c r="AA501" s="2952"/>
      <c r="AB501" s="2952"/>
      <c r="AC501" s="2942">
        <f t="shared" si="270"/>
        <v>0</v>
      </c>
      <c r="AD501" s="2962"/>
      <c r="AE501" s="2962"/>
      <c r="AF501" s="2962"/>
      <c r="AG501" s="2962"/>
      <c r="AH501" s="2962"/>
      <c r="AI501" s="2962"/>
      <c r="AJ501" s="2962"/>
      <c r="AK501" s="2962"/>
      <c r="AL501" s="2962"/>
      <c r="AM501" s="2962"/>
      <c r="AN501" s="2962"/>
      <c r="AO501" s="2962"/>
      <c r="AP501" s="2962"/>
      <c r="AQ501" s="2962"/>
      <c r="AR501" s="2962"/>
      <c r="AS501" s="2962"/>
      <c r="AT501" s="2972"/>
      <c r="AU501" s="2973"/>
      <c r="AV501" s="1120">
        <f t="shared" si="294"/>
        <v>0</v>
      </c>
      <c r="AW501" s="1120">
        <f t="shared" si="295"/>
        <v>0</v>
      </c>
      <c r="AX501" s="1120">
        <f t="shared" si="296"/>
        <v>0</v>
      </c>
      <c r="AY501" s="2987">
        <f t="shared" si="271"/>
        <v>0</v>
      </c>
      <c r="AZ501" s="2942">
        <f t="shared" si="272"/>
        <v>0</v>
      </c>
      <c r="BA501" s="2942">
        <f t="shared" si="273"/>
        <v>0</v>
      </c>
      <c r="BB501" s="2942">
        <f t="shared" si="274"/>
        <v>0</v>
      </c>
      <c r="BC501" s="2942">
        <f t="shared" si="275"/>
        <v>0</v>
      </c>
      <c r="BD501" s="2942">
        <f t="shared" si="276"/>
        <v>0</v>
      </c>
      <c r="BE501" s="2942">
        <f t="shared" si="277"/>
        <v>0</v>
      </c>
      <c r="BF501" s="2942">
        <f t="shared" si="278"/>
        <v>0</v>
      </c>
      <c r="BG501" s="2942">
        <f t="shared" si="279"/>
        <v>0</v>
      </c>
      <c r="BH501" s="2942">
        <f t="shared" si="280"/>
        <v>0</v>
      </c>
      <c r="BI501" s="2942">
        <f t="shared" si="281"/>
        <v>0</v>
      </c>
      <c r="BJ501" s="2942">
        <f t="shared" si="282"/>
        <v>0</v>
      </c>
      <c r="BK501" s="2942">
        <f t="shared" si="283"/>
        <v>0</v>
      </c>
      <c r="BL501" s="2942">
        <f t="shared" si="284"/>
        <v>0</v>
      </c>
      <c r="BM501" s="2942">
        <f t="shared" si="285"/>
        <v>0</v>
      </c>
      <c r="BN501" s="2942">
        <f t="shared" si="286"/>
        <v>0</v>
      </c>
      <c r="BO501" s="2942">
        <f t="shared" si="287"/>
        <v>0</v>
      </c>
      <c r="BP501" s="2942">
        <f t="shared" si="288"/>
        <v>0</v>
      </c>
      <c r="BQ501" s="2942">
        <f t="shared" si="289"/>
        <v>0</v>
      </c>
      <c r="BR501" s="2942">
        <f t="shared" si="290"/>
        <v>0</v>
      </c>
      <c r="BS501" s="2942">
        <f t="shared" si="291"/>
        <v>0</v>
      </c>
      <c r="BT501" s="2994">
        <f t="shared" si="292"/>
        <v>0</v>
      </c>
    </row>
    <row r="502" spans="1:72">
      <c r="A502" s="2939"/>
      <c r="B502" s="2940"/>
      <c r="C502" s="2940"/>
      <c r="D502" s="2941"/>
      <c r="E502" s="2942">
        <f t="shared" si="293"/>
        <v>0</v>
      </c>
      <c r="F502" s="2943"/>
      <c r="G502" s="2944">
        <f t="shared" si="268"/>
        <v>0</v>
      </c>
      <c r="H502" s="2945">
        <f t="shared" si="269"/>
        <v>0</v>
      </c>
      <c r="I502" s="2952"/>
      <c r="J502" s="2952"/>
      <c r="K502" s="2952"/>
      <c r="L502" s="2952"/>
      <c r="M502" s="2952"/>
      <c r="N502" s="2952"/>
      <c r="O502" s="2952"/>
      <c r="P502" s="2952"/>
      <c r="Q502" s="2952"/>
      <c r="R502" s="2952"/>
      <c r="S502" s="2952"/>
      <c r="T502" s="2952"/>
      <c r="U502" s="2952"/>
      <c r="V502" s="2952"/>
      <c r="W502" s="2952"/>
      <c r="X502" s="2952"/>
      <c r="Y502" s="2952"/>
      <c r="Z502" s="2952"/>
      <c r="AA502" s="2952"/>
      <c r="AB502" s="2952"/>
      <c r="AC502" s="2942">
        <f t="shared" si="270"/>
        <v>0</v>
      </c>
      <c r="AD502" s="2962"/>
      <c r="AE502" s="2962"/>
      <c r="AF502" s="2962"/>
      <c r="AG502" s="2962"/>
      <c r="AH502" s="2962"/>
      <c r="AI502" s="2962"/>
      <c r="AJ502" s="2962"/>
      <c r="AK502" s="2962"/>
      <c r="AL502" s="2962"/>
      <c r="AM502" s="2962"/>
      <c r="AN502" s="2962"/>
      <c r="AO502" s="2962"/>
      <c r="AP502" s="2962"/>
      <c r="AQ502" s="2962"/>
      <c r="AR502" s="2962"/>
      <c r="AS502" s="2962"/>
      <c r="AT502" s="2972"/>
      <c r="AU502" s="2973"/>
      <c r="AV502" s="1120">
        <f t="shared" si="294"/>
        <v>0</v>
      </c>
      <c r="AW502" s="1120">
        <f t="shared" si="295"/>
        <v>0</v>
      </c>
      <c r="AX502" s="1120">
        <f t="shared" si="296"/>
        <v>0</v>
      </c>
      <c r="AY502" s="2987">
        <f t="shared" si="271"/>
        <v>0</v>
      </c>
      <c r="AZ502" s="2942">
        <f t="shared" si="272"/>
        <v>0</v>
      </c>
      <c r="BA502" s="2942">
        <f t="shared" si="273"/>
        <v>0</v>
      </c>
      <c r="BB502" s="2942">
        <f t="shared" si="274"/>
        <v>0</v>
      </c>
      <c r="BC502" s="2942">
        <f t="shared" si="275"/>
        <v>0</v>
      </c>
      <c r="BD502" s="2942">
        <f t="shared" si="276"/>
        <v>0</v>
      </c>
      <c r="BE502" s="2942">
        <f t="shared" si="277"/>
        <v>0</v>
      </c>
      <c r="BF502" s="2942">
        <f t="shared" si="278"/>
        <v>0</v>
      </c>
      <c r="BG502" s="2942">
        <f t="shared" si="279"/>
        <v>0</v>
      </c>
      <c r="BH502" s="2942">
        <f t="shared" si="280"/>
        <v>0</v>
      </c>
      <c r="BI502" s="2942">
        <f t="shared" si="281"/>
        <v>0</v>
      </c>
      <c r="BJ502" s="2942">
        <f t="shared" si="282"/>
        <v>0</v>
      </c>
      <c r="BK502" s="2942">
        <f t="shared" si="283"/>
        <v>0</v>
      </c>
      <c r="BL502" s="2942">
        <f t="shared" si="284"/>
        <v>0</v>
      </c>
      <c r="BM502" s="2942">
        <f t="shared" si="285"/>
        <v>0</v>
      </c>
      <c r="BN502" s="2942">
        <f t="shared" si="286"/>
        <v>0</v>
      </c>
      <c r="BO502" s="2942">
        <f t="shared" si="287"/>
        <v>0</v>
      </c>
      <c r="BP502" s="2942">
        <f t="shared" si="288"/>
        <v>0</v>
      </c>
      <c r="BQ502" s="2942">
        <f t="shared" si="289"/>
        <v>0</v>
      </c>
      <c r="BR502" s="2942">
        <f t="shared" si="290"/>
        <v>0</v>
      </c>
      <c r="BS502" s="2942">
        <f t="shared" si="291"/>
        <v>0</v>
      </c>
      <c r="BT502" s="2994">
        <f t="shared" si="292"/>
        <v>0</v>
      </c>
    </row>
    <row r="503" spans="1:72">
      <c r="A503" s="2939"/>
      <c r="B503" s="2940"/>
      <c r="C503" s="2940"/>
      <c r="D503" s="2941"/>
      <c r="E503" s="2942">
        <f t="shared" si="293"/>
        <v>0</v>
      </c>
      <c r="F503" s="2943"/>
      <c r="G503" s="2944">
        <f t="shared" si="268"/>
        <v>0</v>
      </c>
      <c r="H503" s="2945">
        <f t="shared" si="269"/>
        <v>0</v>
      </c>
      <c r="I503" s="2952"/>
      <c r="J503" s="2952"/>
      <c r="K503" s="2952"/>
      <c r="L503" s="2952"/>
      <c r="M503" s="2952"/>
      <c r="N503" s="2952"/>
      <c r="O503" s="2952"/>
      <c r="P503" s="2952"/>
      <c r="Q503" s="2952"/>
      <c r="R503" s="2952"/>
      <c r="S503" s="2952"/>
      <c r="T503" s="2952"/>
      <c r="U503" s="2952"/>
      <c r="V503" s="2952"/>
      <c r="W503" s="2952"/>
      <c r="X503" s="2952"/>
      <c r="Y503" s="2952"/>
      <c r="Z503" s="2952"/>
      <c r="AA503" s="2952"/>
      <c r="AB503" s="2952"/>
      <c r="AC503" s="2942">
        <f t="shared" si="270"/>
        <v>0</v>
      </c>
      <c r="AD503" s="2962"/>
      <c r="AE503" s="2962"/>
      <c r="AF503" s="2962"/>
      <c r="AG503" s="2962"/>
      <c r="AH503" s="2962"/>
      <c r="AI503" s="2962"/>
      <c r="AJ503" s="2962"/>
      <c r="AK503" s="2962"/>
      <c r="AL503" s="2962"/>
      <c r="AM503" s="2962"/>
      <c r="AN503" s="2962"/>
      <c r="AO503" s="2962"/>
      <c r="AP503" s="2962"/>
      <c r="AQ503" s="2962"/>
      <c r="AR503" s="2962"/>
      <c r="AS503" s="2962"/>
      <c r="AT503" s="2972"/>
      <c r="AU503" s="2973"/>
      <c r="AV503" s="1120">
        <f t="shared" si="294"/>
        <v>0</v>
      </c>
      <c r="AW503" s="1120">
        <f t="shared" si="295"/>
        <v>0</v>
      </c>
      <c r="AX503" s="1120">
        <f t="shared" si="296"/>
        <v>0</v>
      </c>
      <c r="AY503" s="2987">
        <f t="shared" si="271"/>
        <v>0</v>
      </c>
      <c r="AZ503" s="2942">
        <f t="shared" si="272"/>
        <v>0</v>
      </c>
      <c r="BA503" s="2942">
        <f t="shared" si="273"/>
        <v>0</v>
      </c>
      <c r="BB503" s="2942">
        <f t="shared" si="274"/>
        <v>0</v>
      </c>
      <c r="BC503" s="2942">
        <f t="shared" si="275"/>
        <v>0</v>
      </c>
      <c r="BD503" s="2942">
        <f t="shared" si="276"/>
        <v>0</v>
      </c>
      <c r="BE503" s="2942">
        <f t="shared" si="277"/>
        <v>0</v>
      </c>
      <c r="BF503" s="2942">
        <f t="shared" si="278"/>
        <v>0</v>
      </c>
      <c r="BG503" s="2942">
        <f t="shared" si="279"/>
        <v>0</v>
      </c>
      <c r="BH503" s="2942">
        <f t="shared" si="280"/>
        <v>0</v>
      </c>
      <c r="BI503" s="2942">
        <f t="shared" si="281"/>
        <v>0</v>
      </c>
      <c r="BJ503" s="2942">
        <f t="shared" si="282"/>
        <v>0</v>
      </c>
      <c r="BK503" s="2942">
        <f t="shared" si="283"/>
        <v>0</v>
      </c>
      <c r="BL503" s="2942">
        <f t="shared" si="284"/>
        <v>0</v>
      </c>
      <c r="BM503" s="2942">
        <f t="shared" si="285"/>
        <v>0</v>
      </c>
      <c r="BN503" s="2942">
        <f t="shared" si="286"/>
        <v>0</v>
      </c>
      <c r="BO503" s="2942">
        <f t="shared" si="287"/>
        <v>0</v>
      </c>
      <c r="BP503" s="2942">
        <f t="shared" si="288"/>
        <v>0</v>
      </c>
      <c r="BQ503" s="2942">
        <f t="shared" si="289"/>
        <v>0</v>
      </c>
      <c r="BR503" s="2942">
        <f t="shared" si="290"/>
        <v>0</v>
      </c>
      <c r="BS503" s="2942">
        <f t="shared" si="291"/>
        <v>0</v>
      </c>
      <c r="BT503" s="2994">
        <f t="shared" si="292"/>
        <v>0</v>
      </c>
    </row>
    <row r="504" spans="1:72">
      <c r="A504" s="2939"/>
      <c r="B504" s="2940"/>
      <c r="C504" s="2940"/>
      <c r="D504" s="2941"/>
      <c r="E504" s="2942">
        <f t="shared" si="293"/>
        <v>0</v>
      </c>
      <c r="F504" s="2943"/>
      <c r="G504" s="2944">
        <f t="shared" si="268"/>
        <v>0</v>
      </c>
      <c r="H504" s="2945">
        <f t="shared" si="269"/>
        <v>0</v>
      </c>
      <c r="I504" s="2952"/>
      <c r="J504" s="2952"/>
      <c r="K504" s="2952"/>
      <c r="L504" s="2952"/>
      <c r="M504" s="2952"/>
      <c r="N504" s="2952"/>
      <c r="O504" s="2952"/>
      <c r="P504" s="2952"/>
      <c r="Q504" s="2952"/>
      <c r="R504" s="2952"/>
      <c r="S504" s="2952"/>
      <c r="T504" s="2952"/>
      <c r="U504" s="2952"/>
      <c r="V504" s="2952"/>
      <c r="W504" s="2952"/>
      <c r="X504" s="2952"/>
      <c r="Y504" s="2952"/>
      <c r="Z504" s="2952"/>
      <c r="AA504" s="2952"/>
      <c r="AB504" s="2952"/>
      <c r="AC504" s="2942">
        <f t="shared" si="270"/>
        <v>0</v>
      </c>
      <c r="AD504" s="2962"/>
      <c r="AE504" s="2962"/>
      <c r="AF504" s="2962"/>
      <c r="AG504" s="2962"/>
      <c r="AH504" s="2962"/>
      <c r="AI504" s="2962"/>
      <c r="AJ504" s="2962"/>
      <c r="AK504" s="2962"/>
      <c r="AL504" s="2962"/>
      <c r="AM504" s="2962"/>
      <c r="AN504" s="2962"/>
      <c r="AO504" s="2962"/>
      <c r="AP504" s="2962"/>
      <c r="AQ504" s="2962"/>
      <c r="AR504" s="2962"/>
      <c r="AS504" s="2962"/>
      <c r="AT504" s="2972"/>
      <c r="AU504" s="2973"/>
      <c r="AV504" s="1120">
        <f t="shared" si="294"/>
        <v>0</v>
      </c>
      <c r="AW504" s="1120">
        <f t="shared" si="295"/>
        <v>0</v>
      </c>
      <c r="AX504" s="1120">
        <f t="shared" si="296"/>
        <v>0</v>
      </c>
      <c r="AY504" s="2987">
        <f t="shared" si="271"/>
        <v>0</v>
      </c>
      <c r="AZ504" s="2942">
        <f t="shared" si="272"/>
        <v>0</v>
      </c>
      <c r="BA504" s="2942">
        <f t="shared" si="273"/>
        <v>0</v>
      </c>
      <c r="BB504" s="2942">
        <f t="shared" si="274"/>
        <v>0</v>
      </c>
      <c r="BC504" s="2942">
        <f t="shared" si="275"/>
        <v>0</v>
      </c>
      <c r="BD504" s="2942">
        <f t="shared" si="276"/>
        <v>0</v>
      </c>
      <c r="BE504" s="2942">
        <f t="shared" si="277"/>
        <v>0</v>
      </c>
      <c r="BF504" s="2942">
        <f t="shared" si="278"/>
        <v>0</v>
      </c>
      <c r="BG504" s="2942">
        <f t="shared" si="279"/>
        <v>0</v>
      </c>
      <c r="BH504" s="2942">
        <f t="shared" si="280"/>
        <v>0</v>
      </c>
      <c r="BI504" s="2942">
        <f t="shared" si="281"/>
        <v>0</v>
      </c>
      <c r="BJ504" s="2942">
        <f t="shared" si="282"/>
        <v>0</v>
      </c>
      <c r="BK504" s="2942">
        <f t="shared" si="283"/>
        <v>0</v>
      </c>
      <c r="BL504" s="2942">
        <f t="shared" si="284"/>
        <v>0</v>
      </c>
      <c r="BM504" s="2942">
        <f t="shared" si="285"/>
        <v>0</v>
      </c>
      <c r="BN504" s="2942">
        <f t="shared" si="286"/>
        <v>0</v>
      </c>
      <c r="BO504" s="2942">
        <f t="shared" si="287"/>
        <v>0</v>
      </c>
      <c r="BP504" s="2942">
        <f t="shared" si="288"/>
        <v>0</v>
      </c>
      <c r="BQ504" s="2942">
        <f t="shared" si="289"/>
        <v>0</v>
      </c>
      <c r="BR504" s="2942">
        <f t="shared" si="290"/>
        <v>0</v>
      </c>
      <c r="BS504" s="2942">
        <f t="shared" si="291"/>
        <v>0</v>
      </c>
      <c r="BT504" s="2994">
        <f t="shared" si="292"/>
        <v>0</v>
      </c>
    </row>
    <row r="505" spans="1:72">
      <c r="A505" s="2939"/>
      <c r="B505" s="2940"/>
      <c r="C505" s="2940"/>
      <c r="D505" s="2941"/>
      <c r="E505" s="2942">
        <f t="shared" si="293"/>
        <v>0</v>
      </c>
      <c r="F505" s="2943"/>
      <c r="G505" s="2944">
        <f t="shared" si="268"/>
        <v>0</v>
      </c>
      <c r="H505" s="2945">
        <f t="shared" si="269"/>
        <v>0</v>
      </c>
      <c r="I505" s="2952"/>
      <c r="J505" s="2952"/>
      <c r="K505" s="2952"/>
      <c r="L505" s="2952"/>
      <c r="M505" s="2952"/>
      <c r="N505" s="2952"/>
      <c r="O505" s="2952"/>
      <c r="P505" s="2952"/>
      <c r="Q505" s="2952"/>
      <c r="R505" s="2952"/>
      <c r="S505" s="2952"/>
      <c r="T505" s="2952"/>
      <c r="U505" s="2952"/>
      <c r="V505" s="2952"/>
      <c r="W505" s="2952"/>
      <c r="X505" s="2952"/>
      <c r="Y505" s="2952"/>
      <c r="Z505" s="2952"/>
      <c r="AA505" s="2952"/>
      <c r="AB505" s="2952"/>
      <c r="AC505" s="2942">
        <f t="shared" si="270"/>
        <v>0</v>
      </c>
      <c r="AD505" s="2962"/>
      <c r="AE505" s="2962"/>
      <c r="AF505" s="2962"/>
      <c r="AG505" s="2962"/>
      <c r="AH505" s="2962"/>
      <c r="AI505" s="2962"/>
      <c r="AJ505" s="2962"/>
      <c r="AK505" s="2962"/>
      <c r="AL505" s="2962"/>
      <c r="AM505" s="2962"/>
      <c r="AN505" s="2962"/>
      <c r="AO505" s="2962"/>
      <c r="AP505" s="2962"/>
      <c r="AQ505" s="2962"/>
      <c r="AR505" s="2962"/>
      <c r="AS505" s="2962"/>
      <c r="AT505" s="2972"/>
      <c r="AU505" s="2973"/>
      <c r="AV505" s="1120">
        <f t="shared" si="294"/>
        <v>0</v>
      </c>
      <c r="AW505" s="1120">
        <f t="shared" si="295"/>
        <v>0</v>
      </c>
      <c r="AX505" s="1120">
        <f t="shared" si="296"/>
        <v>0</v>
      </c>
      <c r="AY505" s="2987">
        <f t="shared" si="271"/>
        <v>0</v>
      </c>
      <c r="AZ505" s="2942">
        <f t="shared" si="272"/>
        <v>0</v>
      </c>
      <c r="BA505" s="2942">
        <f t="shared" si="273"/>
        <v>0</v>
      </c>
      <c r="BB505" s="2942">
        <f t="shared" si="274"/>
        <v>0</v>
      </c>
      <c r="BC505" s="2942">
        <f t="shared" si="275"/>
        <v>0</v>
      </c>
      <c r="BD505" s="2942">
        <f t="shared" si="276"/>
        <v>0</v>
      </c>
      <c r="BE505" s="2942">
        <f t="shared" si="277"/>
        <v>0</v>
      </c>
      <c r="BF505" s="2942">
        <f t="shared" si="278"/>
        <v>0</v>
      </c>
      <c r="BG505" s="2942">
        <f t="shared" si="279"/>
        <v>0</v>
      </c>
      <c r="BH505" s="2942">
        <f t="shared" si="280"/>
        <v>0</v>
      </c>
      <c r="BI505" s="2942">
        <f t="shared" si="281"/>
        <v>0</v>
      </c>
      <c r="BJ505" s="2942">
        <f t="shared" si="282"/>
        <v>0</v>
      </c>
      <c r="BK505" s="2942">
        <f t="shared" si="283"/>
        <v>0</v>
      </c>
      <c r="BL505" s="2942">
        <f t="shared" si="284"/>
        <v>0</v>
      </c>
      <c r="BM505" s="2942">
        <f t="shared" si="285"/>
        <v>0</v>
      </c>
      <c r="BN505" s="2942">
        <f t="shared" si="286"/>
        <v>0</v>
      </c>
      <c r="BO505" s="2942">
        <f t="shared" si="287"/>
        <v>0</v>
      </c>
      <c r="BP505" s="2942">
        <f t="shared" si="288"/>
        <v>0</v>
      </c>
      <c r="BQ505" s="2942">
        <f t="shared" si="289"/>
        <v>0</v>
      </c>
      <c r="BR505" s="2942">
        <f t="shared" si="290"/>
        <v>0</v>
      </c>
      <c r="BS505" s="2942">
        <f t="shared" si="291"/>
        <v>0</v>
      </c>
      <c r="BT505" s="2994">
        <f t="shared" si="292"/>
        <v>0</v>
      </c>
    </row>
    <row r="506" spans="1:72">
      <c r="A506" s="2939"/>
      <c r="B506" s="2940"/>
      <c r="C506" s="2940"/>
      <c r="D506" s="2941"/>
      <c r="E506" s="2942">
        <f t="shared" si="293"/>
        <v>0</v>
      </c>
      <c r="F506" s="2943"/>
      <c r="G506" s="2944">
        <f t="shared" si="268"/>
        <v>0</v>
      </c>
      <c r="H506" s="2945">
        <f t="shared" si="269"/>
        <v>0</v>
      </c>
      <c r="I506" s="2952"/>
      <c r="J506" s="2952"/>
      <c r="K506" s="2952"/>
      <c r="L506" s="2952"/>
      <c r="M506" s="2952"/>
      <c r="N506" s="2952"/>
      <c r="O506" s="2952"/>
      <c r="P506" s="2952"/>
      <c r="Q506" s="2952"/>
      <c r="R506" s="2952"/>
      <c r="S506" s="2952"/>
      <c r="T506" s="2952"/>
      <c r="U506" s="2952"/>
      <c r="V506" s="2952"/>
      <c r="W506" s="2952"/>
      <c r="X506" s="2952"/>
      <c r="Y506" s="2952"/>
      <c r="Z506" s="2952"/>
      <c r="AA506" s="2952"/>
      <c r="AB506" s="2952"/>
      <c r="AC506" s="2942">
        <f t="shared" si="270"/>
        <v>0</v>
      </c>
      <c r="AD506" s="2962"/>
      <c r="AE506" s="2962"/>
      <c r="AF506" s="2962"/>
      <c r="AG506" s="2962"/>
      <c r="AH506" s="2962"/>
      <c r="AI506" s="2962"/>
      <c r="AJ506" s="2962"/>
      <c r="AK506" s="2962"/>
      <c r="AL506" s="2962"/>
      <c r="AM506" s="2962"/>
      <c r="AN506" s="2962"/>
      <c r="AO506" s="2962"/>
      <c r="AP506" s="2962"/>
      <c r="AQ506" s="2962"/>
      <c r="AR506" s="2962"/>
      <c r="AS506" s="2962"/>
      <c r="AT506" s="2972"/>
      <c r="AU506" s="2973"/>
      <c r="AV506" s="1120">
        <f t="shared" si="294"/>
        <v>0</v>
      </c>
      <c r="AW506" s="1120">
        <f t="shared" si="295"/>
        <v>0</v>
      </c>
      <c r="AX506" s="1120">
        <f t="shared" si="296"/>
        <v>0</v>
      </c>
      <c r="AY506" s="2987">
        <f t="shared" si="271"/>
        <v>0</v>
      </c>
      <c r="AZ506" s="2942">
        <f t="shared" si="272"/>
        <v>0</v>
      </c>
      <c r="BA506" s="2942">
        <f t="shared" si="273"/>
        <v>0</v>
      </c>
      <c r="BB506" s="2942">
        <f t="shared" si="274"/>
        <v>0</v>
      </c>
      <c r="BC506" s="2942">
        <f t="shared" si="275"/>
        <v>0</v>
      </c>
      <c r="BD506" s="2942">
        <f t="shared" si="276"/>
        <v>0</v>
      </c>
      <c r="BE506" s="2942">
        <f t="shared" si="277"/>
        <v>0</v>
      </c>
      <c r="BF506" s="2942">
        <f t="shared" si="278"/>
        <v>0</v>
      </c>
      <c r="BG506" s="2942">
        <f t="shared" si="279"/>
        <v>0</v>
      </c>
      <c r="BH506" s="2942">
        <f t="shared" si="280"/>
        <v>0</v>
      </c>
      <c r="BI506" s="2942">
        <f t="shared" si="281"/>
        <v>0</v>
      </c>
      <c r="BJ506" s="2942">
        <f t="shared" si="282"/>
        <v>0</v>
      </c>
      <c r="BK506" s="2942">
        <f t="shared" si="283"/>
        <v>0</v>
      </c>
      <c r="BL506" s="2942">
        <f t="shared" si="284"/>
        <v>0</v>
      </c>
      <c r="BM506" s="2942">
        <f t="shared" si="285"/>
        <v>0</v>
      </c>
      <c r="BN506" s="2942">
        <f t="shared" si="286"/>
        <v>0</v>
      </c>
      <c r="BO506" s="2942">
        <f t="shared" si="287"/>
        <v>0</v>
      </c>
      <c r="BP506" s="2942">
        <f t="shared" si="288"/>
        <v>0</v>
      </c>
      <c r="BQ506" s="2942">
        <f t="shared" si="289"/>
        <v>0</v>
      </c>
      <c r="BR506" s="2942">
        <f t="shared" si="290"/>
        <v>0</v>
      </c>
      <c r="BS506" s="2942">
        <f t="shared" si="291"/>
        <v>0</v>
      </c>
      <c r="BT506" s="2994">
        <f t="shared" si="292"/>
        <v>0</v>
      </c>
    </row>
    <row r="507" spans="1:72">
      <c r="A507" s="2939"/>
      <c r="B507" s="2940"/>
      <c r="C507" s="2940"/>
      <c r="D507" s="2941"/>
      <c r="E507" s="2942">
        <f t="shared" si="293"/>
        <v>0</v>
      </c>
      <c r="F507" s="2943"/>
      <c r="G507" s="2944">
        <f t="shared" si="268"/>
        <v>0</v>
      </c>
      <c r="H507" s="2945">
        <f t="shared" si="269"/>
        <v>0</v>
      </c>
      <c r="I507" s="2952"/>
      <c r="J507" s="2952"/>
      <c r="K507" s="2952"/>
      <c r="L507" s="2952"/>
      <c r="M507" s="2952"/>
      <c r="N507" s="2952"/>
      <c r="O507" s="2952"/>
      <c r="P507" s="2952"/>
      <c r="Q507" s="2952"/>
      <c r="R507" s="2952"/>
      <c r="S507" s="2952"/>
      <c r="T507" s="2952"/>
      <c r="U507" s="2952"/>
      <c r="V507" s="2952"/>
      <c r="W507" s="2952"/>
      <c r="X507" s="2952"/>
      <c r="Y507" s="2952"/>
      <c r="Z507" s="2952"/>
      <c r="AA507" s="2952"/>
      <c r="AB507" s="2952"/>
      <c r="AC507" s="2942">
        <f t="shared" si="270"/>
        <v>0</v>
      </c>
      <c r="AD507" s="2962"/>
      <c r="AE507" s="2962"/>
      <c r="AF507" s="2962"/>
      <c r="AG507" s="2962"/>
      <c r="AH507" s="2962"/>
      <c r="AI507" s="2962"/>
      <c r="AJ507" s="2962"/>
      <c r="AK507" s="2962"/>
      <c r="AL507" s="2962"/>
      <c r="AM507" s="2962"/>
      <c r="AN507" s="2962"/>
      <c r="AO507" s="2962"/>
      <c r="AP507" s="2962"/>
      <c r="AQ507" s="2962"/>
      <c r="AR507" s="2962"/>
      <c r="AS507" s="2962"/>
      <c r="AT507" s="2972"/>
      <c r="AU507" s="2973"/>
      <c r="AV507" s="1120">
        <f t="shared" si="294"/>
        <v>0</v>
      </c>
      <c r="AW507" s="1120">
        <f t="shared" si="295"/>
        <v>0</v>
      </c>
      <c r="AX507" s="1120">
        <f t="shared" si="296"/>
        <v>0</v>
      </c>
      <c r="AY507" s="2987">
        <f t="shared" si="271"/>
        <v>0</v>
      </c>
      <c r="AZ507" s="2942">
        <f t="shared" si="272"/>
        <v>0</v>
      </c>
      <c r="BA507" s="2942">
        <f t="shared" si="273"/>
        <v>0</v>
      </c>
      <c r="BB507" s="2942">
        <f t="shared" si="274"/>
        <v>0</v>
      </c>
      <c r="BC507" s="2942">
        <f t="shared" si="275"/>
        <v>0</v>
      </c>
      <c r="BD507" s="2942">
        <f t="shared" si="276"/>
        <v>0</v>
      </c>
      <c r="BE507" s="2942">
        <f t="shared" si="277"/>
        <v>0</v>
      </c>
      <c r="BF507" s="2942">
        <f t="shared" si="278"/>
        <v>0</v>
      </c>
      <c r="BG507" s="2942">
        <f t="shared" si="279"/>
        <v>0</v>
      </c>
      <c r="BH507" s="2942">
        <f t="shared" si="280"/>
        <v>0</v>
      </c>
      <c r="BI507" s="2942">
        <f t="shared" si="281"/>
        <v>0</v>
      </c>
      <c r="BJ507" s="2942">
        <f t="shared" si="282"/>
        <v>0</v>
      </c>
      <c r="BK507" s="2942">
        <f t="shared" si="283"/>
        <v>0</v>
      </c>
      <c r="BL507" s="2942">
        <f t="shared" si="284"/>
        <v>0</v>
      </c>
      <c r="BM507" s="2942">
        <f t="shared" si="285"/>
        <v>0</v>
      </c>
      <c r="BN507" s="2942">
        <f t="shared" si="286"/>
        <v>0</v>
      </c>
      <c r="BO507" s="2942">
        <f t="shared" si="287"/>
        <v>0</v>
      </c>
      <c r="BP507" s="2942">
        <f t="shared" si="288"/>
        <v>0</v>
      </c>
      <c r="BQ507" s="2942">
        <f t="shared" si="289"/>
        <v>0</v>
      </c>
      <c r="BR507" s="2942">
        <f t="shared" si="290"/>
        <v>0</v>
      </c>
      <c r="BS507" s="2942">
        <f t="shared" si="291"/>
        <v>0</v>
      </c>
      <c r="BT507" s="2994">
        <f t="shared" si="292"/>
        <v>0</v>
      </c>
    </row>
    <row r="508" spans="1:72">
      <c r="A508" s="2939"/>
      <c r="B508" s="2940"/>
      <c r="C508" s="2940"/>
      <c r="D508" s="2941"/>
      <c r="E508" s="2942">
        <f t="shared" si="293"/>
        <v>0</v>
      </c>
      <c r="F508" s="2943"/>
      <c r="G508" s="2944">
        <f t="shared" si="268"/>
        <v>0</v>
      </c>
      <c r="H508" s="2945">
        <f t="shared" si="269"/>
        <v>0</v>
      </c>
      <c r="I508" s="2952"/>
      <c r="J508" s="2952"/>
      <c r="K508" s="2952"/>
      <c r="L508" s="2952"/>
      <c r="M508" s="2952"/>
      <c r="N508" s="2952"/>
      <c r="O508" s="2952"/>
      <c r="P508" s="2952"/>
      <c r="Q508" s="2952"/>
      <c r="R508" s="2952"/>
      <c r="S508" s="2952"/>
      <c r="T508" s="2952"/>
      <c r="U508" s="2952"/>
      <c r="V508" s="2952"/>
      <c r="W508" s="2952"/>
      <c r="X508" s="2952"/>
      <c r="Y508" s="2952"/>
      <c r="Z508" s="2952"/>
      <c r="AA508" s="2952"/>
      <c r="AB508" s="2952"/>
      <c r="AC508" s="2942">
        <f t="shared" si="270"/>
        <v>0</v>
      </c>
      <c r="AD508" s="2962"/>
      <c r="AE508" s="2962"/>
      <c r="AF508" s="2962"/>
      <c r="AG508" s="2962"/>
      <c r="AH508" s="2962"/>
      <c r="AI508" s="2962"/>
      <c r="AJ508" s="2962"/>
      <c r="AK508" s="2962"/>
      <c r="AL508" s="2962"/>
      <c r="AM508" s="2962"/>
      <c r="AN508" s="2962"/>
      <c r="AO508" s="2962"/>
      <c r="AP508" s="2962"/>
      <c r="AQ508" s="2962"/>
      <c r="AR508" s="2962"/>
      <c r="AS508" s="2962"/>
      <c r="AT508" s="2972"/>
      <c r="AU508" s="2973"/>
      <c r="AV508" s="1120">
        <f t="shared" si="294"/>
        <v>0</v>
      </c>
      <c r="AW508" s="1120">
        <f t="shared" si="295"/>
        <v>0</v>
      </c>
      <c r="AX508" s="1120">
        <f t="shared" si="296"/>
        <v>0</v>
      </c>
      <c r="AY508" s="2987">
        <f t="shared" si="271"/>
        <v>0</v>
      </c>
      <c r="AZ508" s="2942">
        <f t="shared" si="272"/>
        <v>0</v>
      </c>
      <c r="BA508" s="2942">
        <f t="shared" si="273"/>
        <v>0</v>
      </c>
      <c r="BB508" s="2942">
        <f t="shared" si="274"/>
        <v>0</v>
      </c>
      <c r="BC508" s="2942">
        <f t="shared" si="275"/>
        <v>0</v>
      </c>
      <c r="BD508" s="2942">
        <f t="shared" si="276"/>
        <v>0</v>
      </c>
      <c r="BE508" s="2942">
        <f t="shared" si="277"/>
        <v>0</v>
      </c>
      <c r="BF508" s="2942">
        <f t="shared" si="278"/>
        <v>0</v>
      </c>
      <c r="BG508" s="2942">
        <f t="shared" si="279"/>
        <v>0</v>
      </c>
      <c r="BH508" s="2942">
        <f t="shared" si="280"/>
        <v>0</v>
      </c>
      <c r="BI508" s="2942">
        <f t="shared" si="281"/>
        <v>0</v>
      </c>
      <c r="BJ508" s="2942">
        <f t="shared" si="282"/>
        <v>0</v>
      </c>
      <c r="BK508" s="2942">
        <f t="shared" si="283"/>
        <v>0</v>
      </c>
      <c r="BL508" s="2942">
        <f t="shared" si="284"/>
        <v>0</v>
      </c>
      <c r="BM508" s="2942">
        <f t="shared" si="285"/>
        <v>0</v>
      </c>
      <c r="BN508" s="2942">
        <f t="shared" si="286"/>
        <v>0</v>
      </c>
      <c r="BO508" s="2942">
        <f t="shared" si="287"/>
        <v>0</v>
      </c>
      <c r="BP508" s="2942">
        <f t="shared" si="288"/>
        <v>0</v>
      </c>
      <c r="BQ508" s="2942">
        <f t="shared" si="289"/>
        <v>0</v>
      </c>
      <c r="BR508" s="2942">
        <f t="shared" si="290"/>
        <v>0</v>
      </c>
      <c r="BS508" s="2942">
        <f t="shared" si="291"/>
        <v>0</v>
      </c>
      <c r="BT508" s="2994">
        <f t="shared" si="292"/>
        <v>0</v>
      </c>
    </row>
    <row r="509" spans="1:72">
      <c r="A509" s="2939"/>
      <c r="B509" s="2940"/>
      <c r="C509" s="2940"/>
      <c r="D509" s="2941"/>
      <c r="E509" s="2942">
        <f t="shared" si="293"/>
        <v>0</v>
      </c>
      <c r="F509" s="2943"/>
      <c r="G509" s="2944">
        <f t="shared" si="268"/>
        <v>0</v>
      </c>
      <c r="H509" s="2945">
        <f t="shared" si="269"/>
        <v>0</v>
      </c>
      <c r="I509" s="2952"/>
      <c r="J509" s="2952"/>
      <c r="K509" s="2952"/>
      <c r="L509" s="2952"/>
      <c r="M509" s="2952"/>
      <c r="N509" s="2952"/>
      <c r="O509" s="2952"/>
      <c r="P509" s="2952"/>
      <c r="Q509" s="2952"/>
      <c r="R509" s="2952"/>
      <c r="S509" s="2952"/>
      <c r="T509" s="2952"/>
      <c r="U509" s="2952"/>
      <c r="V509" s="2952"/>
      <c r="W509" s="2952"/>
      <c r="X509" s="2952"/>
      <c r="Y509" s="2952"/>
      <c r="Z509" s="2952"/>
      <c r="AA509" s="2952"/>
      <c r="AB509" s="2952"/>
      <c r="AC509" s="2942">
        <f t="shared" si="270"/>
        <v>0</v>
      </c>
      <c r="AD509" s="2962"/>
      <c r="AE509" s="2962"/>
      <c r="AF509" s="2962"/>
      <c r="AG509" s="2962"/>
      <c r="AH509" s="2962"/>
      <c r="AI509" s="2962"/>
      <c r="AJ509" s="2962"/>
      <c r="AK509" s="2962"/>
      <c r="AL509" s="2962"/>
      <c r="AM509" s="2962"/>
      <c r="AN509" s="2962"/>
      <c r="AO509" s="2962"/>
      <c r="AP509" s="2962"/>
      <c r="AQ509" s="2962"/>
      <c r="AR509" s="2962"/>
      <c r="AS509" s="2962"/>
      <c r="AT509" s="2972"/>
      <c r="AU509" s="2973"/>
      <c r="AV509" s="1120">
        <f t="shared" si="294"/>
        <v>0</v>
      </c>
      <c r="AW509" s="1120">
        <f t="shared" si="295"/>
        <v>0</v>
      </c>
      <c r="AX509" s="1120">
        <f t="shared" si="296"/>
        <v>0</v>
      </c>
      <c r="AY509" s="2987">
        <f t="shared" si="271"/>
        <v>0</v>
      </c>
      <c r="AZ509" s="2942">
        <f t="shared" si="272"/>
        <v>0</v>
      </c>
      <c r="BA509" s="2942">
        <f t="shared" si="273"/>
        <v>0</v>
      </c>
      <c r="BB509" s="2942">
        <f t="shared" si="274"/>
        <v>0</v>
      </c>
      <c r="BC509" s="2942">
        <f t="shared" si="275"/>
        <v>0</v>
      </c>
      <c r="BD509" s="2942">
        <f t="shared" si="276"/>
        <v>0</v>
      </c>
      <c r="BE509" s="2942">
        <f t="shared" si="277"/>
        <v>0</v>
      </c>
      <c r="BF509" s="2942">
        <f t="shared" si="278"/>
        <v>0</v>
      </c>
      <c r="BG509" s="2942">
        <f t="shared" si="279"/>
        <v>0</v>
      </c>
      <c r="BH509" s="2942">
        <f t="shared" si="280"/>
        <v>0</v>
      </c>
      <c r="BI509" s="2942">
        <f t="shared" si="281"/>
        <v>0</v>
      </c>
      <c r="BJ509" s="2942">
        <f t="shared" si="282"/>
        <v>0</v>
      </c>
      <c r="BK509" s="2942">
        <f t="shared" si="283"/>
        <v>0</v>
      </c>
      <c r="BL509" s="2942">
        <f t="shared" si="284"/>
        <v>0</v>
      </c>
      <c r="BM509" s="2942">
        <f t="shared" si="285"/>
        <v>0</v>
      </c>
      <c r="BN509" s="2942">
        <f t="shared" si="286"/>
        <v>0</v>
      </c>
      <c r="BO509" s="2942">
        <f t="shared" si="287"/>
        <v>0</v>
      </c>
      <c r="BP509" s="2942">
        <f t="shared" si="288"/>
        <v>0</v>
      </c>
      <c r="BQ509" s="2942">
        <f t="shared" si="289"/>
        <v>0</v>
      </c>
      <c r="BR509" s="2942">
        <f t="shared" si="290"/>
        <v>0</v>
      </c>
      <c r="BS509" s="2942">
        <f t="shared" si="291"/>
        <v>0</v>
      </c>
      <c r="BT509" s="2994">
        <f t="shared" si="292"/>
        <v>0</v>
      </c>
    </row>
    <row r="510" spans="1:72">
      <c r="A510" s="2939"/>
      <c r="B510" s="2940"/>
      <c r="C510" s="2940"/>
      <c r="D510" s="2941"/>
      <c r="E510" s="2942">
        <f t="shared" si="293"/>
        <v>0</v>
      </c>
      <c r="F510" s="2943"/>
      <c r="G510" s="2944">
        <f t="shared" si="268"/>
        <v>0</v>
      </c>
      <c r="H510" s="2945">
        <f t="shared" si="269"/>
        <v>0</v>
      </c>
      <c r="I510" s="2952"/>
      <c r="J510" s="2952"/>
      <c r="K510" s="2952"/>
      <c r="L510" s="2952"/>
      <c r="M510" s="2952"/>
      <c r="N510" s="2952"/>
      <c r="O510" s="2952"/>
      <c r="P510" s="2952"/>
      <c r="Q510" s="2952"/>
      <c r="R510" s="2952"/>
      <c r="S510" s="2952"/>
      <c r="T510" s="2952"/>
      <c r="U510" s="2952"/>
      <c r="V510" s="2952"/>
      <c r="W510" s="2952"/>
      <c r="X510" s="2952"/>
      <c r="Y510" s="2952"/>
      <c r="Z510" s="2952"/>
      <c r="AA510" s="2952"/>
      <c r="AB510" s="2952"/>
      <c r="AC510" s="2942">
        <f t="shared" si="270"/>
        <v>0</v>
      </c>
      <c r="AD510" s="2962"/>
      <c r="AE510" s="2962"/>
      <c r="AF510" s="2962"/>
      <c r="AG510" s="2962"/>
      <c r="AH510" s="2962"/>
      <c r="AI510" s="2962"/>
      <c r="AJ510" s="2962"/>
      <c r="AK510" s="2962"/>
      <c r="AL510" s="2962"/>
      <c r="AM510" s="2962"/>
      <c r="AN510" s="2962"/>
      <c r="AO510" s="2962"/>
      <c r="AP510" s="2962"/>
      <c r="AQ510" s="2962"/>
      <c r="AR510" s="2962"/>
      <c r="AS510" s="2962"/>
      <c r="AT510" s="2972"/>
      <c r="AU510" s="2973"/>
      <c r="AV510" s="1120">
        <f t="shared" si="294"/>
        <v>0</v>
      </c>
      <c r="AW510" s="1120">
        <f t="shared" si="295"/>
        <v>0</v>
      </c>
      <c r="AX510" s="1120">
        <f t="shared" si="296"/>
        <v>0</v>
      </c>
      <c r="AY510" s="2987">
        <f t="shared" si="271"/>
        <v>0</v>
      </c>
      <c r="AZ510" s="2942">
        <f t="shared" si="272"/>
        <v>0</v>
      </c>
      <c r="BA510" s="2942">
        <f t="shared" si="273"/>
        <v>0</v>
      </c>
      <c r="BB510" s="2942">
        <f t="shared" si="274"/>
        <v>0</v>
      </c>
      <c r="BC510" s="2942">
        <f t="shared" si="275"/>
        <v>0</v>
      </c>
      <c r="BD510" s="2942">
        <f t="shared" si="276"/>
        <v>0</v>
      </c>
      <c r="BE510" s="2942">
        <f t="shared" si="277"/>
        <v>0</v>
      </c>
      <c r="BF510" s="2942">
        <f t="shared" si="278"/>
        <v>0</v>
      </c>
      <c r="BG510" s="2942">
        <f t="shared" si="279"/>
        <v>0</v>
      </c>
      <c r="BH510" s="2942">
        <f t="shared" si="280"/>
        <v>0</v>
      </c>
      <c r="BI510" s="2942">
        <f t="shared" si="281"/>
        <v>0</v>
      </c>
      <c r="BJ510" s="2942">
        <f t="shared" si="282"/>
        <v>0</v>
      </c>
      <c r="BK510" s="2942">
        <f t="shared" si="283"/>
        <v>0</v>
      </c>
      <c r="BL510" s="2942">
        <f t="shared" si="284"/>
        <v>0</v>
      </c>
      <c r="BM510" s="2942">
        <f t="shared" si="285"/>
        <v>0</v>
      </c>
      <c r="BN510" s="2942">
        <f t="shared" si="286"/>
        <v>0</v>
      </c>
      <c r="BO510" s="2942">
        <f t="shared" si="287"/>
        <v>0</v>
      </c>
      <c r="BP510" s="2942">
        <f t="shared" si="288"/>
        <v>0</v>
      </c>
      <c r="BQ510" s="2942">
        <f t="shared" si="289"/>
        <v>0</v>
      </c>
      <c r="BR510" s="2942">
        <f t="shared" si="290"/>
        <v>0</v>
      </c>
      <c r="BS510" s="2942">
        <f t="shared" si="291"/>
        <v>0</v>
      </c>
      <c r="BT510" s="2994">
        <f t="shared" si="292"/>
        <v>0</v>
      </c>
    </row>
    <row r="511" spans="1:72">
      <c r="A511" s="2939"/>
      <c r="B511" s="2940"/>
      <c r="C511" s="2940"/>
      <c r="D511" s="2941"/>
      <c r="E511" s="2942">
        <f t="shared" si="293"/>
        <v>0</v>
      </c>
      <c r="F511" s="2943"/>
      <c r="G511" s="2944">
        <f t="shared" si="268"/>
        <v>0</v>
      </c>
      <c r="H511" s="2945">
        <f t="shared" si="269"/>
        <v>0</v>
      </c>
      <c r="I511" s="2952"/>
      <c r="J511" s="2952"/>
      <c r="K511" s="2952"/>
      <c r="L511" s="2952"/>
      <c r="M511" s="2952"/>
      <c r="N511" s="2952"/>
      <c r="O511" s="2952"/>
      <c r="P511" s="2952"/>
      <c r="Q511" s="2952"/>
      <c r="R511" s="2952"/>
      <c r="S511" s="2952"/>
      <c r="T511" s="2952"/>
      <c r="U511" s="2952"/>
      <c r="V511" s="2952"/>
      <c r="W511" s="2952"/>
      <c r="X511" s="2952"/>
      <c r="Y511" s="2952"/>
      <c r="Z511" s="2952"/>
      <c r="AA511" s="2952"/>
      <c r="AB511" s="2952"/>
      <c r="AC511" s="2942">
        <f t="shared" si="270"/>
        <v>0</v>
      </c>
      <c r="AD511" s="2962"/>
      <c r="AE511" s="2962"/>
      <c r="AF511" s="2962"/>
      <c r="AG511" s="2962"/>
      <c r="AH511" s="2962"/>
      <c r="AI511" s="2962"/>
      <c r="AJ511" s="2962"/>
      <c r="AK511" s="2962"/>
      <c r="AL511" s="2962"/>
      <c r="AM511" s="2962"/>
      <c r="AN511" s="2962"/>
      <c r="AO511" s="2962"/>
      <c r="AP511" s="2962"/>
      <c r="AQ511" s="2962"/>
      <c r="AR511" s="2962"/>
      <c r="AS511" s="2962"/>
      <c r="AT511" s="2972"/>
      <c r="AU511" s="2973"/>
      <c r="AV511" s="1120">
        <f t="shared" si="294"/>
        <v>0</v>
      </c>
      <c r="AW511" s="1120">
        <f t="shared" si="295"/>
        <v>0</v>
      </c>
      <c r="AX511" s="1120">
        <f t="shared" si="296"/>
        <v>0</v>
      </c>
      <c r="AY511" s="2987">
        <f t="shared" si="271"/>
        <v>0</v>
      </c>
      <c r="AZ511" s="2942">
        <f t="shared" si="272"/>
        <v>0</v>
      </c>
      <c r="BA511" s="2942">
        <f t="shared" si="273"/>
        <v>0</v>
      </c>
      <c r="BB511" s="2942">
        <f t="shared" si="274"/>
        <v>0</v>
      </c>
      <c r="BC511" s="2942">
        <f t="shared" si="275"/>
        <v>0</v>
      </c>
      <c r="BD511" s="2942">
        <f t="shared" si="276"/>
        <v>0</v>
      </c>
      <c r="BE511" s="2942">
        <f t="shared" si="277"/>
        <v>0</v>
      </c>
      <c r="BF511" s="2942">
        <f t="shared" si="278"/>
        <v>0</v>
      </c>
      <c r="BG511" s="2942">
        <f t="shared" si="279"/>
        <v>0</v>
      </c>
      <c r="BH511" s="2942">
        <f t="shared" si="280"/>
        <v>0</v>
      </c>
      <c r="BI511" s="2942">
        <f t="shared" si="281"/>
        <v>0</v>
      </c>
      <c r="BJ511" s="2942">
        <f t="shared" si="282"/>
        <v>0</v>
      </c>
      <c r="BK511" s="2942">
        <f t="shared" si="283"/>
        <v>0</v>
      </c>
      <c r="BL511" s="2942">
        <f t="shared" si="284"/>
        <v>0</v>
      </c>
      <c r="BM511" s="2942">
        <f t="shared" si="285"/>
        <v>0</v>
      </c>
      <c r="BN511" s="2942">
        <f t="shared" si="286"/>
        <v>0</v>
      </c>
      <c r="BO511" s="2942">
        <f t="shared" si="287"/>
        <v>0</v>
      </c>
      <c r="BP511" s="2942">
        <f t="shared" si="288"/>
        <v>0</v>
      </c>
      <c r="BQ511" s="2942">
        <f t="shared" si="289"/>
        <v>0</v>
      </c>
      <c r="BR511" s="2942">
        <f t="shared" si="290"/>
        <v>0</v>
      </c>
      <c r="BS511" s="2942">
        <f t="shared" si="291"/>
        <v>0</v>
      </c>
      <c r="BT511" s="2994">
        <f t="shared" si="292"/>
        <v>0</v>
      </c>
    </row>
    <row r="512" spans="1:72">
      <c r="A512" s="2939"/>
      <c r="B512" s="2940"/>
      <c r="C512" s="2940"/>
      <c r="D512" s="2941"/>
      <c r="E512" s="2942">
        <f t="shared" si="293"/>
        <v>0</v>
      </c>
      <c r="F512" s="2943"/>
      <c r="G512" s="2944">
        <f t="shared" si="268"/>
        <v>0</v>
      </c>
      <c r="H512" s="2945">
        <f t="shared" si="269"/>
        <v>0</v>
      </c>
      <c r="I512" s="2952"/>
      <c r="J512" s="2952"/>
      <c r="K512" s="2952"/>
      <c r="L512" s="2952"/>
      <c r="M512" s="2952"/>
      <c r="N512" s="2952"/>
      <c r="O512" s="2952"/>
      <c r="P512" s="2952"/>
      <c r="Q512" s="2952"/>
      <c r="R512" s="2952"/>
      <c r="S512" s="2952"/>
      <c r="T512" s="2952"/>
      <c r="U512" s="2952"/>
      <c r="V512" s="2952"/>
      <c r="W512" s="2952"/>
      <c r="X512" s="2952"/>
      <c r="Y512" s="2952"/>
      <c r="Z512" s="2952"/>
      <c r="AA512" s="2952"/>
      <c r="AB512" s="2952"/>
      <c r="AC512" s="2942">
        <f t="shared" si="270"/>
        <v>0</v>
      </c>
      <c r="AD512" s="2962"/>
      <c r="AE512" s="2962"/>
      <c r="AF512" s="2962"/>
      <c r="AG512" s="2962"/>
      <c r="AH512" s="2962"/>
      <c r="AI512" s="2962"/>
      <c r="AJ512" s="2962"/>
      <c r="AK512" s="2962"/>
      <c r="AL512" s="2962"/>
      <c r="AM512" s="2962"/>
      <c r="AN512" s="2962"/>
      <c r="AO512" s="2962"/>
      <c r="AP512" s="2962"/>
      <c r="AQ512" s="2962"/>
      <c r="AR512" s="2962"/>
      <c r="AS512" s="2962"/>
      <c r="AT512" s="2972"/>
      <c r="AU512" s="2973"/>
      <c r="AV512" s="1120">
        <f t="shared" si="294"/>
        <v>0</v>
      </c>
      <c r="AW512" s="1120">
        <f t="shared" si="295"/>
        <v>0</v>
      </c>
      <c r="AX512" s="1120">
        <f t="shared" si="296"/>
        <v>0</v>
      </c>
      <c r="AY512" s="2987">
        <f t="shared" si="271"/>
        <v>0</v>
      </c>
      <c r="AZ512" s="2942">
        <f t="shared" si="272"/>
        <v>0</v>
      </c>
      <c r="BA512" s="2942">
        <f t="shared" si="273"/>
        <v>0</v>
      </c>
      <c r="BB512" s="2942">
        <f t="shared" si="274"/>
        <v>0</v>
      </c>
      <c r="BC512" s="2942">
        <f t="shared" si="275"/>
        <v>0</v>
      </c>
      <c r="BD512" s="2942">
        <f t="shared" si="276"/>
        <v>0</v>
      </c>
      <c r="BE512" s="2942">
        <f t="shared" si="277"/>
        <v>0</v>
      </c>
      <c r="BF512" s="2942">
        <f t="shared" si="278"/>
        <v>0</v>
      </c>
      <c r="BG512" s="2942">
        <f t="shared" si="279"/>
        <v>0</v>
      </c>
      <c r="BH512" s="2942">
        <f t="shared" si="280"/>
        <v>0</v>
      </c>
      <c r="BI512" s="2942">
        <f t="shared" si="281"/>
        <v>0</v>
      </c>
      <c r="BJ512" s="2942">
        <f t="shared" si="282"/>
        <v>0</v>
      </c>
      <c r="BK512" s="2942">
        <f t="shared" si="283"/>
        <v>0</v>
      </c>
      <c r="BL512" s="2942">
        <f t="shared" si="284"/>
        <v>0</v>
      </c>
      <c r="BM512" s="2942">
        <f t="shared" si="285"/>
        <v>0</v>
      </c>
      <c r="BN512" s="2942">
        <f t="shared" si="286"/>
        <v>0</v>
      </c>
      <c r="BO512" s="2942">
        <f t="shared" si="287"/>
        <v>0</v>
      </c>
      <c r="BP512" s="2942">
        <f t="shared" si="288"/>
        <v>0</v>
      </c>
      <c r="BQ512" s="2942">
        <f t="shared" si="289"/>
        <v>0</v>
      </c>
      <c r="BR512" s="2942">
        <f t="shared" si="290"/>
        <v>0</v>
      </c>
      <c r="BS512" s="2942">
        <f t="shared" si="291"/>
        <v>0</v>
      </c>
      <c r="BT512" s="2994">
        <f t="shared" si="292"/>
        <v>0</v>
      </c>
    </row>
    <row r="513" spans="1:72">
      <c r="A513" s="2939"/>
      <c r="B513" s="2940"/>
      <c r="C513" s="2940"/>
      <c r="D513" s="2941"/>
      <c r="E513" s="2942">
        <f t="shared" si="293"/>
        <v>0</v>
      </c>
      <c r="F513" s="2943"/>
      <c r="G513" s="2944">
        <f t="shared" si="268"/>
        <v>0</v>
      </c>
      <c r="H513" s="2945">
        <f t="shared" si="269"/>
        <v>0</v>
      </c>
      <c r="I513" s="2952"/>
      <c r="J513" s="2952"/>
      <c r="K513" s="2952"/>
      <c r="L513" s="2952"/>
      <c r="M513" s="2952"/>
      <c r="N513" s="2952"/>
      <c r="O513" s="2952"/>
      <c r="P513" s="2952"/>
      <c r="Q513" s="2952"/>
      <c r="R513" s="2952"/>
      <c r="S513" s="2952"/>
      <c r="T513" s="2952"/>
      <c r="U513" s="2952"/>
      <c r="V513" s="2952"/>
      <c r="W513" s="2952"/>
      <c r="X513" s="2952"/>
      <c r="Y513" s="2952"/>
      <c r="Z513" s="2952"/>
      <c r="AA513" s="2952"/>
      <c r="AB513" s="2952"/>
      <c r="AC513" s="2942">
        <f t="shared" si="270"/>
        <v>0</v>
      </c>
      <c r="AD513" s="2962"/>
      <c r="AE513" s="2962"/>
      <c r="AF513" s="2962"/>
      <c r="AG513" s="2962"/>
      <c r="AH513" s="2962"/>
      <c r="AI513" s="2962"/>
      <c r="AJ513" s="2962"/>
      <c r="AK513" s="2962"/>
      <c r="AL513" s="2962"/>
      <c r="AM513" s="2962"/>
      <c r="AN513" s="2962"/>
      <c r="AO513" s="2962"/>
      <c r="AP513" s="2962"/>
      <c r="AQ513" s="2962"/>
      <c r="AR513" s="2962"/>
      <c r="AS513" s="2962"/>
      <c r="AT513" s="2972"/>
      <c r="AU513" s="2973"/>
      <c r="AV513" s="1120">
        <f t="shared" si="294"/>
        <v>0</v>
      </c>
      <c r="AW513" s="1120">
        <f t="shared" si="295"/>
        <v>0</v>
      </c>
      <c r="AX513" s="1120">
        <f t="shared" si="296"/>
        <v>0</v>
      </c>
      <c r="AY513" s="2987">
        <f t="shared" si="271"/>
        <v>0</v>
      </c>
      <c r="AZ513" s="2942">
        <f t="shared" si="272"/>
        <v>0</v>
      </c>
      <c r="BA513" s="2942">
        <f t="shared" si="273"/>
        <v>0</v>
      </c>
      <c r="BB513" s="2942">
        <f t="shared" si="274"/>
        <v>0</v>
      </c>
      <c r="BC513" s="2942">
        <f t="shared" si="275"/>
        <v>0</v>
      </c>
      <c r="BD513" s="2942">
        <f t="shared" si="276"/>
        <v>0</v>
      </c>
      <c r="BE513" s="2942">
        <f t="shared" si="277"/>
        <v>0</v>
      </c>
      <c r="BF513" s="2942">
        <f t="shared" si="278"/>
        <v>0</v>
      </c>
      <c r="BG513" s="2942">
        <f t="shared" si="279"/>
        <v>0</v>
      </c>
      <c r="BH513" s="2942">
        <f t="shared" si="280"/>
        <v>0</v>
      </c>
      <c r="BI513" s="2942">
        <f t="shared" si="281"/>
        <v>0</v>
      </c>
      <c r="BJ513" s="2942">
        <f t="shared" si="282"/>
        <v>0</v>
      </c>
      <c r="BK513" s="2942">
        <f t="shared" si="283"/>
        <v>0</v>
      </c>
      <c r="BL513" s="2942">
        <f t="shared" si="284"/>
        <v>0</v>
      </c>
      <c r="BM513" s="2942">
        <f t="shared" si="285"/>
        <v>0</v>
      </c>
      <c r="BN513" s="2942">
        <f t="shared" si="286"/>
        <v>0</v>
      </c>
      <c r="BO513" s="2942">
        <f t="shared" si="287"/>
        <v>0</v>
      </c>
      <c r="BP513" s="2942">
        <f t="shared" si="288"/>
        <v>0</v>
      </c>
      <c r="BQ513" s="2942">
        <f t="shared" si="289"/>
        <v>0</v>
      </c>
      <c r="BR513" s="2942">
        <f t="shared" si="290"/>
        <v>0</v>
      </c>
      <c r="BS513" s="2942">
        <f t="shared" si="291"/>
        <v>0</v>
      </c>
      <c r="BT513" s="2994">
        <f t="shared" si="292"/>
        <v>0</v>
      </c>
    </row>
    <row r="514" spans="1:72">
      <c r="A514" s="2939"/>
      <c r="B514" s="2940"/>
      <c r="C514" s="2940"/>
      <c r="D514" s="2941"/>
      <c r="E514" s="2942">
        <f t="shared" si="293"/>
        <v>0</v>
      </c>
      <c r="F514" s="2943"/>
      <c r="G514" s="2944">
        <f t="shared" si="268"/>
        <v>0</v>
      </c>
      <c r="H514" s="2945">
        <f t="shared" si="269"/>
        <v>0</v>
      </c>
      <c r="I514" s="2952"/>
      <c r="J514" s="2952"/>
      <c r="K514" s="2952"/>
      <c r="L514" s="2952"/>
      <c r="M514" s="2952"/>
      <c r="N514" s="2952"/>
      <c r="O514" s="2952"/>
      <c r="P514" s="2952"/>
      <c r="Q514" s="2952"/>
      <c r="R514" s="2952"/>
      <c r="S514" s="2952"/>
      <c r="T514" s="2952"/>
      <c r="U514" s="2952"/>
      <c r="V514" s="2952"/>
      <c r="W514" s="2952"/>
      <c r="X514" s="2952"/>
      <c r="Y514" s="2952"/>
      <c r="Z514" s="2952"/>
      <c r="AA514" s="2952"/>
      <c r="AB514" s="2952"/>
      <c r="AC514" s="2942">
        <f t="shared" si="270"/>
        <v>0</v>
      </c>
      <c r="AD514" s="2962"/>
      <c r="AE514" s="2962"/>
      <c r="AF514" s="2962"/>
      <c r="AG514" s="2962"/>
      <c r="AH514" s="2962"/>
      <c r="AI514" s="2962"/>
      <c r="AJ514" s="2962"/>
      <c r="AK514" s="2962"/>
      <c r="AL514" s="2962"/>
      <c r="AM514" s="2962"/>
      <c r="AN514" s="2962"/>
      <c r="AO514" s="2962"/>
      <c r="AP514" s="2962"/>
      <c r="AQ514" s="2962"/>
      <c r="AR514" s="2962"/>
      <c r="AS514" s="2962"/>
      <c r="AT514" s="2972"/>
      <c r="AU514" s="2973"/>
      <c r="AV514" s="1120">
        <f t="shared" si="294"/>
        <v>0</v>
      </c>
      <c r="AW514" s="1120">
        <f t="shared" si="295"/>
        <v>0</v>
      </c>
      <c r="AX514" s="1120">
        <f t="shared" si="296"/>
        <v>0</v>
      </c>
      <c r="AY514" s="2987">
        <f t="shared" si="271"/>
        <v>0</v>
      </c>
      <c r="AZ514" s="2942">
        <f t="shared" si="272"/>
        <v>0</v>
      </c>
      <c r="BA514" s="2942">
        <f t="shared" si="273"/>
        <v>0</v>
      </c>
      <c r="BB514" s="2942">
        <f t="shared" si="274"/>
        <v>0</v>
      </c>
      <c r="BC514" s="2942">
        <f t="shared" si="275"/>
        <v>0</v>
      </c>
      <c r="BD514" s="2942">
        <f t="shared" si="276"/>
        <v>0</v>
      </c>
      <c r="BE514" s="2942">
        <f t="shared" si="277"/>
        <v>0</v>
      </c>
      <c r="BF514" s="2942">
        <f t="shared" si="278"/>
        <v>0</v>
      </c>
      <c r="BG514" s="2942">
        <f t="shared" si="279"/>
        <v>0</v>
      </c>
      <c r="BH514" s="2942">
        <f t="shared" si="280"/>
        <v>0</v>
      </c>
      <c r="BI514" s="2942">
        <f t="shared" si="281"/>
        <v>0</v>
      </c>
      <c r="BJ514" s="2942">
        <f t="shared" si="282"/>
        <v>0</v>
      </c>
      <c r="BK514" s="2942">
        <f t="shared" si="283"/>
        <v>0</v>
      </c>
      <c r="BL514" s="2942">
        <f t="shared" si="284"/>
        <v>0</v>
      </c>
      <c r="BM514" s="2942">
        <f t="shared" si="285"/>
        <v>0</v>
      </c>
      <c r="BN514" s="2942">
        <f t="shared" si="286"/>
        <v>0</v>
      </c>
      <c r="BO514" s="2942">
        <f t="shared" si="287"/>
        <v>0</v>
      </c>
      <c r="BP514" s="2942">
        <f t="shared" si="288"/>
        <v>0</v>
      </c>
      <c r="BQ514" s="2942">
        <f t="shared" si="289"/>
        <v>0</v>
      </c>
      <c r="BR514" s="2942">
        <f t="shared" si="290"/>
        <v>0</v>
      </c>
      <c r="BS514" s="2942">
        <f t="shared" si="291"/>
        <v>0</v>
      </c>
      <c r="BT514" s="2994">
        <f t="shared" si="292"/>
        <v>0</v>
      </c>
    </row>
    <row r="515" spans="1:72">
      <c r="A515" s="2939"/>
      <c r="B515" s="2940"/>
      <c r="C515" s="2940"/>
      <c r="D515" s="2941"/>
      <c r="E515" s="2942">
        <f t="shared" si="293"/>
        <v>0</v>
      </c>
      <c r="F515" s="2943"/>
      <c r="G515" s="2944">
        <f t="shared" si="268"/>
        <v>0</v>
      </c>
      <c r="H515" s="2945">
        <f t="shared" si="269"/>
        <v>0</v>
      </c>
      <c r="I515" s="2952"/>
      <c r="J515" s="2952"/>
      <c r="K515" s="2952"/>
      <c r="L515" s="2952"/>
      <c r="M515" s="2952"/>
      <c r="N515" s="2952"/>
      <c r="O515" s="2952"/>
      <c r="P515" s="2952"/>
      <c r="Q515" s="2952"/>
      <c r="R515" s="2952"/>
      <c r="S515" s="2952"/>
      <c r="T515" s="2952"/>
      <c r="U515" s="2952"/>
      <c r="V515" s="2952"/>
      <c r="W515" s="2952"/>
      <c r="X515" s="2952"/>
      <c r="Y515" s="2952"/>
      <c r="Z515" s="2952"/>
      <c r="AA515" s="2952"/>
      <c r="AB515" s="2952"/>
      <c r="AC515" s="2942">
        <f t="shared" si="270"/>
        <v>0</v>
      </c>
      <c r="AD515" s="2962"/>
      <c r="AE515" s="2962"/>
      <c r="AF515" s="2962"/>
      <c r="AG515" s="2962"/>
      <c r="AH515" s="2962"/>
      <c r="AI515" s="2962"/>
      <c r="AJ515" s="2962"/>
      <c r="AK515" s="2962"/>
      <c r="AL515" s="2962"/>
      <c r="AM515" s="2962"/>
      <c r="AN515" s="2962"/>
      <c r="AO515" s="2962"/>
      <c r="AP515" s="2962"/>
      <c r="AQ515" s="2962"/>
      <c r="AR515" s="2962"/>
      <c r="AS515" s="2962"/>
      <c r="AT515" s="2972"/>
      <c r="AU515" s="2973"/>
      <c r="AV515" s="1120">
        <f t="shared" si="294"/>
        <v>0</v>
      </c>
      <c r="AW515" s="1120">
        <f t="shared" si="295"/>
        <v>0</v>
      </c>
      <c r="AX515" s="1120">
        <f t="shared" si="296"/>
        <v>0</v>
      </c>
      <c r="AY515" s="2987">
        <f t="shared" si="271"/>
        <v>0</v>
      </c>
      <c r="AZ515" s="2942">
        <f t="shared" si="272"/>
        <v>0</v>
      </c>
      <c r="BA515" s="2942">
        <f t="shared" si="273"/>
        <v>0</v>
      </c>
      <c r="BB515" s="2942">
        <f t="shared" si="274"/>
        <v>0</v>
      </c>
      <c r="BC515" s="2942">
        <f t="shared" si="275"/>
        <v>0</v>
      </c>
      <c r="BD515" s="2942">
        <f t="shared" si="276"/>
        <v>0</v>
      </c>
      <c r="BE515" s="2942">
        <f t="shared" si="277"/>
        <v>0</v>
      </c>
      <c r="BF515" s="2942">
        <f t="shared" si="278"/>
        <v>0</v>
      </c>
      <c r="BG515" s="2942">
        <f t="shared" si="279"/>
        <v>0</v>
      </c>
      <c r="BH515" s="2942">
        <f t="shared" si="280"/>
        <v>0</v>
      </c>
      <c r="BI515" s="2942">
        <f t="shared" si="281"/>
        <v>0</v>
      </c>
      <c r="BJ515" s="2942">
        <f t="shared" si="282"/>
        <v>0</v>
      </c>
      <c r="BK515" s="2942">
        <f t="shared" si="283"/>
        <v>0</v>
      </c>
      <c r="BL515" s="2942">
        <f t="shared" si="284"/>
        <v>0</v>
      </c>
      <c r="BM515" s="2942">
        <f t="shared" si="285"/>
        <v>0</v>
      </c>
      <c r="BN515" s="2942">
        <f t="shared" si="286"/>
        <v>0</v>
      </c>
      <c r="BO515" s="2942">
        <f t="shared" si="287"/>
        <v>0</v>
      </c>
      <c r="BP515" s="2942">
        <f t="shared" si="288"/>
        <v>0</v>
      </c>
      <c r="BQ515" s="2942">
        <f t="shared" si="289"/>
        <v>0</v>
      </c>
      <c r="BR515" s="2942">
        <f t="shared" si="290"/>
        <v>0</v>
      </c>
      <c r="BS515" s="2942">
        <f t="shared" si="291"/>
        <v>0</v>
      </c>
      <c r="BT515" s="2994">
        <f t="shared" si="292"/>
        <v>0</v>
      </c>
    </row>
    <row r="516" spans="1:72">
      <c r="A516" s="2939"/>
      <c r="B516" s="2940"/>
      <c r="C516" s="2940"/>
      <c r="D516" s="2941"/>
      <c r="E516" s="2942">
        <f t="shared" si="293"/>
        <v>0</v>
      </c>
      <c r="F516" s="2943"/>
      <c r="G516" s="2944">
        <f t="shared" si="268"/>
        <v>0</v>
      </c>
      <c r="H516" s="2945">
        <f t="shared" si="269"/>
        <v>0</v>
      </c>
      <c r="I516" s="2952"/>
      <c r="J516" s="2952"/>
      <c r="K516" s="2952"/>
      <c r="L516" s="2952"/>
      <c r="M516" s="2952"/>
      <c r="N516" s="2952"/>
      <c r="O516" s="2952"/>
      <c r="P516" s="2952"/>
      <c r="Q516" s="2952"/>
      <c r="R516" s="2952"/>
      <c r="S516" s="2952"/>
      <c r="T516" s="2952"/>
      <c r="U516" s="2952"/>
      <c r="V516" s="2952"/>
      <c r="W516" s="2952"/>
      <c r="X516" s="2952"/>
      <c r="Y516" s="2952"/>
      <c r="Z516" s="2952"/>
      <c r="AA516" s="2952"/>
      <c r="AB516" s="2952"/>
      <c r="AC516" s="2942">
        <f t="shared" si="270"/>
        <v>0</v>
      </c>
      <c r="AD516" s="2962"/>
      <c r="AE516" s="2962"/>
      <c r="AF516" s="2962"/>
      <c r="AG516" s="2962"/>
      <c r="AH516" s="2962"/>
      <c r="AI516" s="2962"/>
      <c r="AJ516" s="2962"/>
      <c r="AK516" s="2962"/>
      <c r="AL516" s="2962"/>
      <c r="AM516" s="2962"/>
      <c r="AN516" s="2962"/>
      <c r="AO516" s="2962"/>
      <c r="AP516" s="2962"/>
      <c r="AQ516" s="2962"/>
      <c r="AR516" s="2962"/>
      <c r="AS516" s="2962"/>
      <c r="AT516" s="2972"/>
      <c r="AU516" s="2973"/>
      <c r="AV516" s="1120">
        <f t="shared" si="294"/>
        <v>0</v>
      </c>
      <c r="AW516" s="1120">
        <f t="shared" si="295"/>
        <v>0</v>
      </c>
      <c r="AX516" s="1120">
        <f t="shared" si="296"/>
        <v>0</v>
      </c>
      <c r="AY516" s="2987">
        <f t="shared" si="271"/>
        <v>0</v>
      </c>
      <c r="AZ516" s="2942">
        <f t="shared" si="272"/>
        <v>0</v>
      </c>
      <c r="BA516" s="2942">
        <f t="shared" si="273"/>
        <v>0</v>
      </c>
      <c r="BB516" s="2942">
        <f t="shared" si="274"/>
        <v>0</v>
      </c>
      <c r="BC516" s="2942">
        <f t="shared" si="275"/>
        <v>0</v>
      </c>
      <c r="BD516" s="2942">
        <f t="shared" si="276"/>
        <v>0</v>
      </c>
      <c r="BE516" s="2942">
        <f t="shared" si="277"/>
        <v>0</v>
      </c>
      <c r="BF516" s="2942">
        <f t="shared" si="278"/>
        <v>0</v>
      </c>
      <c r="BG516" s="2942">
        <f t="shared" si="279"/>
        <v>0</v>
      </c>
      <c r="BH516" s="2942">
        <f t="shared" si="280"/>
        <v>0</v>
      </c>
      <c r="BI516" s="2942">
        <f t="shared" si="281"/>
        <v>0</v>
      </c>
      <c r="BJ516" s="2942">
        <f t="shared" si="282"/>
        <v>0</v>
      </c>
      <c r="BK516" s="2942">
        <f t="shared" si="283"/>
        <v>0</v>
      </c>
      <c r="BL516" s="2942">
        <f t="shared" si="284"/>
        <v>0</v>
      </c>
      <c r="BM516" s="2942">
        <f t="shared" si="285"/>
        <v>0</v>
      </c>
      <c r="BN516" s="2942">
        <f t="shared" si="286"/>
        <v>0</v>
      </c>
      <c r="BO516" s="2942">
        <f t="shared" si="287"/>
        <v>0</v>
      </c>
      <c r="BP516" s="2942">
        <f t="shared" si="288"/>
        <v>0</v>
      </c>
      <c r="BQ516" s="2942">
        <f t="shared" si="289"/>
        <v>0</v>
      </c>
      <c r="BR516" s="2942">
        <f t="shared" si="290"/>
        <v>0</v>
      </c>
      <c r="BS516" s="2942">
        <f t="shared" si="291"/>
        <v>0</v>
      </c>
      <c r="BT516" s="2994">
        <f t="shared" si="292"/>
        <v>0</v>
      </c>
    </row>
    <row r="517" spans="1:72">
      <c r="A517" s="2939"/>
      <c r="B517" s="2940"/>
      <c r="C517" s="2940"/>
      <c r="D517" s="2941"/>
      <c r="E517" s="2942">
        <f t="shared" si="293"/>
        <v>0</v>
      </c>
      <c r="F517" s="2943"/>
      <c r="G517" s="2944">
        <f t="shared" si="268"/>
        <v>0</v>
      </c>
      <c r="H517" s="2945">
        <f t="shared" si="269"/>
        <v>0</v>
      </c>
      <c r="I517" s="2952"/>
      <c r="J517" s="2952"/>
      <c r="K517" s="2952"/>
      <c r="L517" s="2952"/>
      <c r="M517" s="2952"/>
      <c r="N517" s="2952"/>
      <c r="O517" s="2952"/>
      <c r="P517" s="2952"/>
      <c r="Q517" s="2952"/>
      <c r="R517" s="2952"/>
      <c r="S517" s="2952"/>
      <c r="T517" s="2952"/>
      <c r="U517" s="2952"/>
      <c r="V517" s="2952"/>
      <c r="W517" s="2952"/>
      <c r="X517" s="2952"/>
      <c r="Y517" s="2952"/>
      <c r="Z517" s="2952"/>
      <c r="AA517" s="2952"/>
      <c r="AB517" s="2952"/>
      <c r="AC517" s="2942">
        <f t="shared" si="270"/>
        <v>0</v>
      </c>
      <c r="AD517" s="2962"/>
      <c r="AE517" s="2962"/>
      <c r="AF517" s="2962"/>
      <c r="AG517" s="2962"/>
      <c r="AH517" s="2962"/>
      <c r="AI517" s="2962"/>
      <c r="AJ517" s="2962"/>
      <c r="AK517" s="2962"/>
      <c r="AL517" s="2962"/>
      <c r="AM517" s="2962"/>
      <c r="AN517" s="2962"/>
      <c r="AO517" s="2962"/>
      <c r="AP517" s="2962"/>
      <c r="AQ517" s="2962"/>
      <c r="AR517" s="2962"/>
      <c r="AS517" s="2962"/>
      <c r="AT517" s="2972"/>
      <c r="AU517" s="2973"/>
      <c r="AV517" s="1120">
        <f t="shared" si="294"/>
        <v>0</v>
      </c>
      <c r="AW517" s="1120">
        <f t="shared" si="295"/>
        <v>0</v>
      </c>
      <c r="AX517" s="1120">
        <f t="shared" si="296"/>
        <v>0</v>
      </c>
      <c r="AY517" s="2987">
        <f t="shared" si="271"/>
        <v>0</v>
      </c>
      <c r="AZ517" s="2942">
        <f t="shared" si="272"/>
        <v>0</v>
      </c>
      <c r="BA517" s="2942">
        <f t="shared" si="273"/>
        <v>0</v>
      </c>
      <c r="BB517" s="2942">
        <f t="shared" si="274"/>
        <v>0</v>
      </c>
      <c r="BC517" s="2942">
        <f t="shared" si="275"/>
        <v>0</v>
      </c>
      <c r="BD517" s="2942">
        <f t="shared" si="276"/>
        <v>0</v>
      </c>
      <c r="BE517" s="2942">
        <f t="shared" si="277"/>
        <v>0</v>
      </c>
      <c r="BF517" s="2942">
        <f t="shared" si="278"/>
        <v>0</v>
      </c>
      <c r="BG517" s="2942">
        <f t="shared" si="279"/>
        <v>0</v>
      </c>
      <c r="BH517" s="2942">
        <f t="shared" si="280"/>
        <v>0</v>
      </c>
      <c r="BI517" s="2942">
        <f t="shared" si="281"/>
        <v>0</v>
      </c>
      <c r="BJ517" s="2942">
        <f t="shared" si="282"/>
        <v>0</v>
      </c>
      <c r="BK517" s="2942">
        <f t="shared" si="283"/>
        <v>0</v>
      </c>
      <c r="BL517" s="2942">
        <f t="shared" si="284"/>
        <v>0</v>
      </c>
      <c r="BM517" s="2942">
        <f t="shared" si="285"/>
        <v>0</v>
      </c>
      <c r="BN517" s="2942">
        <f t="shared" si="286"/>
        <v>0</v>
      </c>
      <c r="BO517" s="2942">
        <f t="shared" si="287"/>
        <v>0</v>
      </c>
      <c r="BP517" s="2942">
        <f t="shared" si="288"/>
        <v>0</v>
      </c>
      <c r="BQ517" s="2942">
        <f t="shared" si="289"/>
        <v>0</v>
      </c>
      <c r="BR517" s="2942">
        <f t="shared" si="290"/>
        <v>0</v>
      </c>
      <c r="BS517" s="2942">
        <f t="shared" si="291"/>
        <v>0</v>
      </c>
      <c r="BT517" s="2994">
        <f t="shared" si="292"/>
        <v>0</v>
      </c>
    </row>
    <row r="518" spans="1:72">
      <c r="A518" s="2939"/>
      <c r="B518" s="2940"/>
      <c r="C518" s="2940"/>
      <c r="D518" s="2941"/>
      <c r="E518" s="2942">
        <f t="shared" si="293"/>
        <v>0</v>
      </c>
      <c r="F518" s="2943"/>
      <c r="G518" s="2944">
        <f t="shared" si="268"/>
        <v>0</v>
      </c>
      <c r="H518" s="2945">
        <f t="shared" si="269"/>
        <v>0</v>
      </c>
      <c r="I518" s="2952"/>
      <c r="J518" s="2952"/>
      <c r="K518" s="2952"/>
      <c r="L518" s="2952"/>
      <c r="M518" s="2952"/>
      <c r="N518" s="2952"/>
      <c r="O518" s="2952"/>
      <c r="P518" s="2952"/>
      <c r="Q518" s="2952"/>
      <c r="R518" s="2952"/>
      <c r="S518" s="2952"/>
      <c r="T518" s="2952"/>
      <c r="U518" s="2952"/>
      <c r="V518" s="2952"/>
      <c r="W518" s="2952"/>
      <c r="X518" s="2952"/>
      <c r="Y518" s="2952"/>
      <c r="Z518" s="2952"/>
      <c r="AA518" s="2952"/>
      <c r="AB518" s="2952"/>
      <c r="AC518" s="2942">
        <f t="shared" si="270"/>
        <v>0</v>
      </c>
      <c r="AD518" s="2962"/>
      <c r="AE518" s="2962"/>
      <c r="AF518" s="2962"/>
      <c r="AG518" s="2962"/>
      <c r="AH518" s="2962"/>
      <c r="AI518" s="2962"/>
      <c r="AJ518" s="2962"/>
      <c r="AK518" s="2962"/>
      <c r="AL518" s="2962"/>
      <c r="AM518" s="2962"/>
      <c r="AN518" s="2962"/>
      <c r="AO518" s="2962"/>
      <c r="AP518" s="2962"/>
      <c r="AQ518" s="2962"/>
      <c r="AR518" s="2962"/>
      <c r="AS518" s="2962"/>
      <c r="AT518" s="2972"/>
      <c r="AU518" s="2973"/>
      <c r="AV518" s="1120">
        <f t="shared" si="294"/>
        <v>0</v>
      </c>
      <c r="AW518" s="1120">
        <f t="shared" si="295"/>
        <v>0</v>
      </c>
      <c r="AX518" s="1120">
        <f t="shared" si="296"/>
        <v>0</v>
      </c>
      <c r="AY518" s="2987">
        <f t="shared" si="271"/>
        <v>0</v>
      </c>
      <c r="AZ518" s="2942">
        <f t="shared" si="272"/>
        <v>0</v>
      </c>
      <c r="BA518" s="2942">
        <f t="shared" si="273"/>
        <v>0</v>
      </c>
      <c r="BB518" s="2942">
        <f t="shared" si="274"/>
        <v>0</v>
      </c>
      <c r="BC518" s="2942">
        <f t="shared" si="275"/>
        <v>0</v>
      </c>
      <c r="BD518" s="2942">
        <f t="shared" si="276"/>
        <v>0</v>
      </c>
      <c r="BE518" s="2942">
        <f t="shared" si="277"/>
        <v>0</v>
      </c>
      <c r="BF518" s="2942">
        <f t="shared" si="278"/>
        <v>0</v>
      </c>
      <c r="BG518" s="2942">
        <f t="shared" si="279"/>
        <v>0</v>
      </c>
      <c r="BH518" s="2942">
        <f t="shared" si="280"/>
        <v>0</v>
      </c>
      <c r="BI518" s="2942">
        <f t="shared" si="281"/>
        <v>0</v>
      </c>
      <c r="BJ518" s="2942">
        <f t="shared" si="282"/>
        <v>0</v>
      </c>
      <c r="BK518" s="2942">
        <f t="shared" si="283"/>
        <v>0</v>
      </c>
      <c r="BL518" s="2942">
        <f t="shared" si="284"/>
        <v>0</v>
      </c>
      <c r="BM518" s="2942">
        <f t="shared" si="285"/>
        <v>0</v>
      </c>
      <c r="BN518" s="2942">
        <f t="shared" si="286"/>
        <v>0</v>
      </c>
      <c r="BO518" s="2942">
        <f t="shared" si="287"/>
        <v>0</v>
      </c>
      <c r="BP518" s="2942">
        <f t="shared" si="288"/>
        <v>0</v>
      </c>
      <c r="BQ518" s="2942">
        <f t="shared" si="289"/>
        <v>0</v>
      </c>
      <c r="BR518" s="2942">
        <f t="shared" si="290"/>
        <v>0</v>
      </c>
      <c r="BS518" s="2942">
        <f t="shared" si="291"/>
        <v>0</v>
      </c>
      <c r="BT518" s="2994">
        <f t="shared" si="292"/>
        <v>0</v>
      </c>
    </row>
    <row r="519" spans="1:72">
      <c r="A519" s="2939"/>
      <c r="B519" s="2940"/>
      <c r="C519" s="2940"/>
      <c r="D519" s="2941"/>
      <c r="E519" s="2942">
        <f t="shared" si="293"/>
        <v>0</v>
      </c>
      <c r="F519" s="2943"/>
      <c r="G519" s="2944">
        <f t="shared" si="268"/>
        <v>0</v>
      </c>
      <c r="H519" s="2945">
        <f t="shared" si="269"/>
        <v>0</v>
      </c>
      <c r="I519" s="2952"/>
      <c r="J519" s="2952"/>
      <c r="K519" s="2952"/>
      <c r="L519" s="2952"/>
      <c r="M519" s="2952"/>
      <c r="N519" s="2952"/>
      <c r="O519" s="2952"/>
      <c r="P519" s="2952"/>
      <c r="Q519" s="2952"/>
      <c r="R519" s="2952"/>
      <c r="S519" s="2952"/>
      <c r="T519" s="2952"/>
      <c r="U519" s="2952"/>
      <c r="V519" s="2952"/>
      <c r="W519" s="2952"/>
      <c r="X519" s="2952"/>
      <c r="Y519" s="2952"/>
      <c r="Z519" s="2952"/>
      <c r="AA519" s="2952"/>
      <c r="AB519" s="2952"/>
      <c r="AC519" s="2942">
        <f t="shared" si="270"/>
        <v>0</v>
      </c>
      <c r="AD519" s="2962"/>
      <c r="AE519" s="2962"/>
      <c r="AF519" s="2962"/>
      <c r="AG519" s="2962"/>
      <c r="AH519" s="2962"/>
      <c r="AI519" s="2962"/>
      <c r="AJ519" s="2962"/>
      <c r="AK519" s="2962"/>
      <c r="AL519" s="2962"/>
      <c r="AM519" s="2962"/>
      <c r="AN519" s="2962"/>
      <c r="AO519" s="2962"/>
      <c r="AP519" s="2962"/>
      <c r="AQ519" s="2962"/>
      <c r="AR519" s="2962"/>
      <c r="AS519" s="2962"/>
      <c r="AT519" s="2972"/>
      <c r="AU519" s="2973"/>
      <c r="AV519" s="1120">
        <f t="shared" si="294"/>
        <v>0</v>
      </c>
      <c r="AW519" s="1120">
        <f t="shared" si="295"/>
        <v>0</v>
      </c>
      <c r="AX519" s="1120">
        <f t="shared" si="296"/>
        <v>0</v>
      </c>
      <c r="AY519" s="2987">
        <f t="shared" si="271"/>
        <v>0</v>
      </c>
      <c r="AZ519" s="2942">
        <f t="shared" si="272"/>
        <v>0</v>
      </c>
      <c r="BA519" s="2942">
        <f t="shared" si="273"/>
        <v>0</v>
      </c>
      <c r="BB519" s="2942">
        <f t="shared" si="274"/>
        <v>0</v>
      </c>
      <c r="BC519" s="2942">
        <f t="shared" si="275"/>
        <v>0</v>
      </c>
      <c r="BD519" s="2942">
        <f t="shared" si="276"/>
        <v>0</v>
      </c>
      <c r="BE519" s="2942">
        <f t="shared" si="277"/>
        <v>0</v>
      </c>
      <c r="BF519" s="2942">
        <f t="shared" si="278"/>
        <v>0</v>
      </c>
      <c r="BG519" s="2942">
        <f t="shared" si="279"/>
        <v>0</v>
      </c>
      <c r="BH519" s="2942">
        <f t="shared" si="280"/>
        <v>0</v>
      </c>
      <c r="BI519" s="2942">
        <f t="shared" si="281"/>
        <v>0</v>
      </c>
      <c r="BJ519" s="2942">
        <f t="shared" si="282"/>
        <v>0</v>
      </c>
      <c r="BK519" s="2942">
        <f t="shared" si="283"/>
        <v>0</v>
      </c>
      <c r="BL519" s="2942">
        <f t="shared" si="284"/>
        <v>0</v>
      </c>
      <c r="BM519" s="2942">
        <f t="shared" si="285"/>
        <v>0</v>
      </c>
      <c r="BN519" s="2942">
        <f t="shared" si="286"/>
        <v>0</v>
      </c>
      <c r="BO519" s="2942">
        <f t="shared" si="287"/>
        <v>0</v>
      </c>
      <c r="BP519" s="2942">
        <f t="shared" si="288"/>
        <v>0</v>
      </c>
      <c r="BQ519" s="2942">
        <f t="shared" si="289"/>
        <v>0</v>
      </c>
      <c r="BR519" s="2942">
        <f t="shared" si="290"/>
        <v>0</v>
      </c>
      <c r="BS519" s="2942">
        <f t="shared" si="291"/>
        <v>0</v>
      </c>
      <c r="BT519" s="2994">
        <f t="shared" si="292"/>
        <v>0</v>
      </c>
    </row>
    <row r="520" spans="1:72">
      <c r="A520" s="2939"/>
      <c r="B520" s="2940"/>
      <c r="C520" s="2940"/>
      <c r="D520" s="2941"/>
      <c r="E520" s="2942">
        <f t="shared" ref="E520:E551" si="297">IF($C$3="是",ROUND($A$3*G520/$B$3,2),ROUND($A$3*(G520-AT520)/$B$3,2))</f>
        <v>0</v>
      </c>
      <c r="F520" s="2943"/>
      <c r="G520" s="2944">
        <f t="shared" si="268"/>
        <v>0</v>
      </c>
      <c r="H520" s="2945">
        <f t="shared" si="269"/>
        <v>0</v>
      </c>
      <c r="I520" s="2952"/>
      <c r="J520" s="2952"/>
      <c r="K520" s="2952"/>
      <c r="L520" s="2952"/>
      <c r="M520" s="2952"/>
      <c r="N520" s="2952"/>
      <c r="O520" s="2952"/>
      <c r="P520" s="2952"/>
      <c r="Q520" s="2952"/>
      <c r="R520" s="2952"/>
      <c r="S520" s="2952"/>
      <c r="T520" s="2952"/>
      <c r="U520" s="2952"/>
      <c r="V520" s="2952"/>
      <c r="W520" s="2952"/>
      <c r="X520" s="2952"/>
      <c r="Y520" s="2952"/>
      <c r="Z520" s="2952"/>
      <c r="AA520" s="2952"/>
      <c r="AB520" s="2952"/>
      <c r="AC520" s="2942">
        <f t="shared" si="270"/>
        <v>0</v>
      </c>
      <c r="AD520" s="2962"/>
      <c r="AE520" s="2962"/>
      <c r="AF520" s="2962"/>
      <c r="AG520" s="2962"/>
      <c r="AH520" s="2962"/>
      <c r="AI520" s="2962"/>
      <c r="AJ520" s="2962"/>
      <c r="AK520" s="2962"/>
      <c r="AL520" s="2962"/>
      <c r="AM520" s="2962"/>
      <c r="AN520" s="2962"/>
      <c r="AO520" s="2962"/>
      <c r="AP520" s="2962"/>
      <c r="AQ520" s="2962"/>
      <c r="AR520" s="2962"/>
      <c r="AS520" s="2962"/>
      <c r="AT520" s="2972"/>
      <c r="AU520" s="2973"/>
      <c r="AV520" s="1120">
        <f t="shared" si="294"/>
        <v>0</v>
      </c>
      <c r="AW520" s="1120">
        <f t="shared" si="295"/>
        <v>0</v>
      </c>
      <c r="AX520" s="1120">
        <f t="shared" si="296"/>
        <v>0</v>
      </c>
      <c r="AY520" s="2987">
        <f t="shared" si="271"/>
        <v>0</v>
      </c>
      <c r="AZ520" s="2942">
        <f t="shared" si="272"/>
        <v>0</v>
      </c>
      <c r="BA520" s="2942">
        <f t="shared" si="273"/>
        <v>0</v>
      </c>
      <c r="BB520" s="2942">
        <f t="shared" si="274"/>
        <v>0</v>
      </c>
      <c r="BC520" s="2942">
        <f t="shared" si="275"/>
        <v>0</v>
      </c>
      <c r="BD520" s="2942">
        <f t="shared" si="276"/>
        <v>0</v>
      </c>
      <c r="BE520" s="2942">
        <f t="shared" si="277"/>
        <v>0</v>
      </c>
      <c r="BF520" s="2942">
        <f t="shared" si="278"/>
        <v>0</v>
      </c>
      <c r="BG520" s="2942">
        <f t="shared" si="279"/>
        <v>0</v>
      </c>
      <c r="BH520" s="2942">
        <f t="shared" si="280"/>
        <v>0</v>
      </c>
      <c r="BI520" s="2942">
        <f t="shared" si="281"/>
        <v>0</v>
      </c>
      <c r="BJ520" s="2942">
        <f t="shared" si="282"/>
        <v>0</v>
      </c>
      <c r="BK520" s="2942">
        <f t="shared" si="283"/>
        <v>0</v>
      </c>
      <c r="BL520" s="2942">
        <f t="shared" si="284"/>
        <v>0</v>
      </c>
      <c r="BM520" s="2942">
        <f t="shared" si="285"/>
        <v>0</v>
      </c>
      <c r="BN520" s="2942">
        <f t="shared" si="286"/>
        <v>0</v>
      </c>
      <c r="BO520" s="2942">
        <f t="shared" si="287"/>
        <v>0</v>
      </c>
      <c r="BP520" s="2942">
        <f t="shared" si="288"/>
        <v>0</v>
      </c>
      <c r="BQ520" s="2942">
        <f t="shared" si="289"/>
        <v>0</v>
      </c>
      <c r="BR520" s="2942">
        <f t="shared" si="290"/>
        <v>0</v>
      </c>
      <c r="BS520" s="2942">
        <f t="shared" si="291"/>
        <v>0</v>
      </c>
      <c r="BT520" s="2994">
        <f t="shared" si="292"/>
        <v>0</v>
      </c>
    </row>
    <row r="521" spans="1:72">
      <c r="A521" s="2939"/>
      <c r="B521" s="2940"/>
      <c r="C521" s="2940"/>
      <c r="D521" s="2941"/>
      <c r="E521" s="2942">
        <f t="shared" si="297"/>
        <v>0</v>
      </c>
      <c r="F521" s="2943"/>
      <c r="G521" s="2944">
        <f t="shared" si="268"/>
        <v>0</v>
      </c>
      <c r="H521" s="2945">
        <f t="shared" si="269"/>
        <v>0</v>
      </c>
      <c r="I521" s="2952"/>
      <c r="J521" s="2952"/>
      <c r="K521" s="2952"/>
      <c r="L521" s="2952"/>
      <c r="M521" s="2952"/>
      <c r="N521" s="2952"/>
      <c r="O521" s="2952"/>
      <c r="P521" s="2952"/>
      <c r="Q521" s="2952"/>
      <c r="R521" s="2952"/>
      <c r="S521" s="2952"/>
      <c r="T521" s="2952"/>
      <c r="U521" s="2952"/>
      <c r="V521" s="2952"/>
      <c r="W521" s="2952"/>
      <c r="X521" s="2952"/>
      <c r="Y521" s="2952"/>
      <c r="Z521" s="2952"/>
      <c r="AA521" s="2952"/>
      <c r="AB521" s="2952"/>
      <c r="AC521" s="2942">
        <f t="shared" si="270"/>
        <v>0</v>
      </c>
      <c r="AD521" s="2962"/>
      <c r="AE521" s="2962"/>
      <c r="AF521" s="2962"/>
      <c r="AG521" s="2962"/>
      <c r="AH521" s="2962"/>
      <c r="AI521" s="2962"/>
      <c r="AJ521" s="2962"/>
      <c r="AK521" s="2962"/>
      <c r="AL521" s="2962"/>
      <c r="AM521" s="2962"/>
      <c r="AN521" s="2962"/>
      <c r="AO521" s="2962"/>
      <c r="AP521" s="2962"/>
      <c r="AQ521" s="2962"/>
      <c r="AR521" s="2962"/>
      <c r="AS521" s="2962"/>
      <c r="AT521" s="2972"/>
      <c r="AU521" s="2973"/>
      <c r="AV521" s="1120">
        <f t="shared" ref="AV521:AV552" si="298">A521</f>
        <v>0</v>
      </c>
      <c r="AW521" s="1120">
        <f t="shared" ref="AW521:AW552" si="299">B521</f>
        <v>0</v>
      </c>
      <c r="AX521" s="1120">
        <f t="shared" ref="AX521:AX552" si="300">C521</f>
        <v>0</v>
      </c>
      <c r="AY521" s="2987">
        <f t="shared" si="271"/>
        <v>0</v>
      </c>
      <c r="AZ521" s="2942">
        <f t="shared" si="272"/>
        <v>0</v>
      </c>
      <c r="BA521" s="2942">
        <f t="shared" si="273"/>
        <v>0</v>
      </c>
      <c r="BB521" s="2942">
        <f t="shared" si="274"/>
        <v>0</v>
      </c>
      <c r="BC521" s="2942">
        <f t="shared" si="275"/>
        <v>0</v>
      </c>
      <c r="BD521" s="2942">
        <f t="shared" si="276"/>
        <v>0</v>
      </c>
      <c r="BE521" s="2942">
        <f t="shared" si="277"/>
        <v>0</v>
      </c>
      <c r="BF521" s="2942">
        <f t="shared" si="278"/>
        <v>0</v>
      </c>
      <c r="BG521" s="2942">
        <f t="shared" si="279"/>
        <v>0</v>
      </c>
      <c r="BH521" s="2942">
        <f t="shared" si="280"/>
        <v>0</v>
      </c>
      <c r="BI521" s="2942">
        <f t="shared" si="281"/>
        <v>0</v>
      </c>
      <c r="BJ521" s="2942">
        <f t="shared" si="282"/>
        <v>0</v>
      </c>
      <c r="BK521" s="2942">
        <f t="shared" si="283"/>
        <v>0</v>
      </c>
      <c r="BL521" s="2942">
        <f t="shared" si="284"/>
        <v>0</v>
      </c>
      <c r="BM521" s="2942">
        <f t="shared" si="285"/>
        <v>0</v>
      </c>
      <c r="BN521" s="2942">
        <f t="shared" si="286"/>
        <v>0</v>
      </c>
      <c r="BO521" s="2942">
        <f t="shared" si="287"/>
        <v>0</v>
      </c>
      <c r="BP521" s="2942">
        <f t="shared" si="288"/>
        <v>0</v>
      </c>
      <c r="BQ521" s="2942">
        <f t="shared" si="289"/>
        <v>0</v>
      </c>
      <c r="BR521" s="2942">
        <f t="shared" si="290"/>
        <v>0</v>
      </c>
      <c r="BS521" s="2942">
        <f t="shared" si="291"/>
        <v>0</v>
      </c>
      <c r="BT521" s="2994">
        <f t="shared" si="292"/>
        <v>0</v>
      </c>
    </row>
    <row r="522" spans="1:72">
      <c r="A522" s="2939"/>
      <c r="B522" s="2940"/>
      <c r="C522" s="2940"/>
      <c r="D522" s="2941"/>
      <c r="E522" s="2942">
        <f t="shared" si="297"/>
        <v>0</v>
      </c>
      <c r="F522" s="2943"/>
      <c r="G522" s="2944">
        <f t="shared" ref="G522:G552" si="301">H522+AC522+AT522</f>
        <v>0</v>
      </c>
      <c r="H522" s="2945">
        <f t="shared" ref="H522:H552" si="302">SUMIF(I$12:AB$12,"总值",I522:AB522)</f>
        <v>0</v>
      </c>
      <c r="I522" s="2952"/>
      <c r="J522" s="2952"/>
      <c r="K522" s="2952"/>
      <c r="L522" s="2952"/>
      <c r="M522" s="2952"/>
      <c r="N522" s="2952"/>
      <c r="O522" s="2952"/>
      <c r="P522" s="2952"/>
      <c r="Q522" s="2952"/>
      <c r="R522" s="2952"/>
      <c r="S522" s="2952"/>
      <c r="T522" s="2952"/>
      <c r="U522" s="2952"/>
      <c r="V522" s="2952"/>
      <c r="W522" s="2952"/>
      <c r="X522" s="2952"/>
      <c r="Y522" s="2952"/>
      <c r="Z522" s="2952"/>
      <c r="AA522" s="2952"/>
      <c r="AB522" s="2952"/>
      <c r="AC522" s="2942">
        <f t="shared" ref="AC522:AC552" si="303">SUMIF(AD$12:AS$12,"总值",AD522:AS522)</f>
        <v>0</v>
      </c>
      <c r="AD522" s="2962"/>
      <c r="AE522" s="2962"/>
      <c r="AF522" s="2962"/>
      <c r="AG522" s="2962"/>
      <c r="AH522" s="2962"/>
      <c r="AI522" s="2962"/>
      <c r="AJ522" s="2962"/>
      <c r="AK522" s="2962"/>
      <c r="AL522" s="2962"/>
      <c r="AM522" s="2962"/>
      <c r="AN522" s="2962"/>
      <c r="AO522" s="2962"/>
      <c r="AP522" s="2962"/>
      <c r="AQ522" s="2962"/>
      <c r="AR522" s="2962"/>
      <c r="AS522" s="2962"/>
      <c r="AT522" s="2972"/>
      <c r="AU522" s="2973"/>
      <c r="AV522" s="1120">
        <f t="shared" si="298"/>
        <v>0</v>
      </c>
      <c r="AW522" s="1120">
        <f t="shared" si="299"/>
        <v>0</v>
      </c>
      <c r="AX522" s="1120">
        <f t="shared" si="300"/>
        <v>0</v>
      </c>
      <c r="AY522" s="2987">
        <f t="shared" ref="AY522:AY552" si="304">ROUND($AY$6*AZ522/$AZ$5,2)</f>
        <v>0</v>
      </c>
      <c r="AZ522" s="2942">
        <f t="shared" ref="AZ522:AZ552" si="305">BA522+BL522</f>
        <v>0</v>
      </c>
      <c r="BA522" s="2942">
        <f t="shared" ref="BA522:BA552" si="306">SUM(BB522:BK522)</f>
        <v>0</v>
      </c>
      <c r="BB522" s="2942">
        <f t="shared" ref="BB522:BB552" si="307">IF($D522="是",I522-J522,0)</f>
        <v>0</v>
      </c>
      <c r="BC522" s="2942">
        <f t="shared" ref="BC522:BC552" si="308">IF($D522="是",K522-L522,0)</f>
        <v>0</v>
      </c>
      <c r="BD522" s="2942">
        <f t="shared" ref="BD522:BD552" si="309">IF($D522="是",M522-N522,0)</f>
        <v>0</v>
      </c>
      <c r="BE522" s="2942">
        <f t="shared" ref="BE522:BE552" si="310">IF($D522="是",O522-P522,0)</f>
        <v>0</v>
      </c>
      <c r="BF522" s="2942">
        <f t="shared" ref="BF522:BF552" si="311">IF($D522="是",Q522-R522,0)</f>
        <v>0</v>
      </c>
      <c r="BG522" s="2942">
        <f t="shared" ref="BG522:BG552" si="312">IF($D522="是",S522-T522,0)</f>
        <v>0</v>
      </c>
      <c r="BH522" s="2942">
        <f t="shared" ref="BH522:BH552" si="313">IF($D522="是",U522-V522,0)</f>
        <v>0</v>
      </c>
      <c r="BI522" s="2942">
        <f t="shared" ref="BI522:BI552" si="314">IF($D522="是",W522-X522,0)</f>
        <v>0</v>
      </c>
      <c r="BJ522" s="2942">
        <f t="shared" ref="BJ522:BJ552" si="315">IF($D522="是",Y522-Z522,0)</f>
        <v>0</v>
      </c>
      <c r="BK522" s="2942">
        <f t="shared" ref="BK522:BK552" si="316">IF($D522="是",AA522-AB522,0)</f>
        <v>0</v>
      </c>
      <c r="BL522" s="2942">
        <f t="shared" ref="BL522:BL552" si="317">SUM(BM522:BT522)</f>
        <v>0</v>
      </c>
      <c r="BM522" s="2942">
        <f t="shared" ref="BM522:BM552" si="318">IF($D522="是",AD522-AE522,0)</f>
        <v>0</v>
      </c>
      <c r="BN522" s="2942">
        <f t="shared" ref="BN522:BN552" si="319">IF($D522="是",AF522-AG522,0)</f>
        <v>0</v>
      </c>
      <c r="BO522" s="2942">
        <f t="shared" ref="BO522:BO552" si="320">IF($D522="是",AH522-AI522,0)</f>
        <v>0</v>
      </c>
      <c r="BP522" s="2942">
        <f t="shared" ref="BP522:BP552" si="321">IF($D522="是",AJ522-AK522,0)</f>
        <v>0</v>
      </c>
      <c r="BQ522" s="2942">
        <f t="shared" ref="BQ522:BQ552" si="322">IF($D522="是",AL522-AM522,0)</f>
        <v>0</v>
      </c>
      <c r="BR522" s="2942">
        <f t="shared" ref="BR522:BR552" si="323">IF($D522="是",AN522-AO522,0)</f>
        <v>0</v>
      </c>
      <c r="BS522" s="2942">
        <f t="shared" ref="BS522:BS552" si="324">IF($D522="是",AP522-AQ522,0)</f>
        <v>0</v>
      </c>
      <c r="BT522" s="2994">
        <f t="shared" ref="BT522:BT552" si="325">IF($D522="是",AR522-AS522,0)</f>
        <v>0</v>
      </c>
    </row>
    <row r="523" spans="1:72">
      <c r="A523" s="2939"/>
      <c r="B523" s="2940"/>
      <c r="C523" s="2940"/>
      <c r="D523" s="2941"/>
      <c r="E523" s="2942">
        <f t="shared" si="297"/>
        <v>0</v>
      </c>
      <c r="F523" s="2943"/>
      <c r="G523" s="2944">
        <f t="shared" si="301"/>
        <v>0</v>
      </c>
      <c r="H523" s="2945">
        <f t="shared" si="302"/>
        <v>0</v>
      </c>
      <c r="I523" s="2952"/>
      <c r="J523" s="2952"/>
      <c r="K523" s="2952"/>
      <c r="L523" s="2952"/>
      <c r="M523" s="2952"/>
      <c r="N523" s="2952"/>
      <c r="O523" s="2952"/>
      <c r="P523" s="2952"/>
      <c r="Q523" s="2952"/>
      <c r="R523" s="2952"/>
      <c r="S523" s="2952"/>
      <c r="T523" s="2952"/>
      <c r="U523" s="2952"/>
      <c r="V523" s="2952"/>
      <c r="W523" s="2952"/>
      <c r="X523" s="2952"/>
      <c r="Y523" s="2952"/>
      <c r="Z523" s="2952"/>
      <c r="AA523" s="2952"/>
      <c r="AB523" s="2952"/>
      <c r="AC523" s="2942">
        <f t="shared" si="303"/>
        <v>0</v>
      </c>
      <c r="AD523" s="2962"/>
      <c r="AE523" s="2962"/>
      <c r="AF523" s="2962"/>
      <c r="AG523" s="2962"/>
      <c r="AH523" s="2962"/>
      <c r="AI523" s="2962"/>
      <c r="AJ523" s="2962"/>
      <c r="AK523" s="2962"/>
      <c r="AL523" s="2962"/>
      <c r="AM523" s="2962"/>
      <c r="AN523" s="2962"/>
      <c r="AO523" s="2962"/>
      <c r="AP523" s="2962"/>
      <c r="AQ523" s="2962"/>
      <c r="AR523" s="2962"/>
      <c r="AS523" s="2962"/>
      <c r="AT523" s="2972"/>
      <c r="AU523" s="2973"/>
      <c r="AV523" s="1120">
        <f t="shared" si="298"/>
        <v>0</v>
      </c>
      <c r="AW523" s="1120">
        <f t="shared" si="299"/>
        <v>0</v>
      </c>
      <c r="AX523" s="1120">
        <f t="shared" si="300"/>
        <v>0</v>
      </c>
      <c r="AY523" s="2987">
        <f t="shared" si="304"/>
        <v>0</v>
      </c>
      <c r="AZ523" s="2942">
        <f t="shared" si="305"/>
        <v>0</v>
      </c>
      <c r="BA523" s="2942">
        <f t="shared" si="306"/>
        <v>0</v>
      </c>
      <c r="BB523" s="2942">
        <f t="shared" si="307"/>
        <v>0</v>
      </c>
      <c r="BC523" s="2942">
        <f t="shared" si="308"/>
        <v>0</v>
      </c>
      <c r="BD523" s="2942">
        <f t="shared" si="309"/>
        <v>0</v>
      </c>
      <c r="BE523" s="2942">
        <f t="shared" si="310"/>
        <v>0</v>
      </c>
      <c r="BF523" s="2942">
        <f t="shared" si="311"/>
        <v>0</v>
      </c>
      <c r="BG523" s="2942">
        <f t="shared" si="312"/>
        <v>0</v>
      </c>
      <c r="BH523" s="2942">
        <f t="shared" si="313"/>
        <v>0</v>
      </c>
      <c r="BI523" s="2942">
        <f t="shared" si="314"/>
        <v>0</v>
      </c>
      <c r="BJ523" s="2942">
        <f t="shared" si="315"/>
        <v>0</v>
      </c>
      <c r="BK523" s="2942">
        <f t="shared" si="316"/>
        <v>0</v>
      </c>
      <c r="BL523" s="2942">
        <f t="shared" si="317"/>
        <v>0</v>
      </c>
      <c r="BM523" s="2942">
        <f t="shared" si="318"/>
        <v>0</v>
      </c>
      <c r="BN523" s="2942">
        <f t="shared" si="319"/>
        <v>0</v>
      </c>
      <c r="BO523" s="2942">
        <f t="shared" si="320"/>
        <v>0</v>
      </c>
      <c r="BP523" s="2942">
        <f t="shared" si="321"/>
        <v>0</v>
      </c>
      <c r="BQ523" s="2942">
        <f t="shared" si="322"/>
        <v>0</v>
      </c>
      <c r="BR523" s="2942">
        <f t="shared" si="323"/>
        <v>0</v>
      </c>
      <c r="BS523" s="2942">
        <f t="shared" si="324"/>
        <v>0</v>
      </c>
      <c r="BT523" s="2994">
        <f t="shared" si="325"/>
        <v>0</v>
      </c>
    </row>
    <row r="524" spans="1:72">
      <c r="A524" s="2939"/>
      <c r="B524" s="2940"/>
      <c r="C524" s="2940"/>
      <c r="D524" s="2941"/>
      <c r="E524" s="2942">
        <f t="shared" si="297"/>
        <v>0</v>
      </c>
      <c r="F524" s="2943"/>
      <c r="G524" s="2944">
        <f t="shared" si="301"/>
        <v>0</v>
      </c>
      <c r="H524" s="2945">
        <f t="shared" si="302"/>
        <v>0</v>
      </c>
      <c r="I524" s="2952"/>
      <c r="J524" s="2952"/>
      <c r="K524" s="2952"/>
      <c r="L524" s="2952"/>
      <c r="M524" s="2952"/>
      <c r="N524" s="2952"/>
      <c r="O524" s="2952"/>
      <c r="P524" s="2952"/>
      <c r="Q524" s="2952"/>
      <c r="R524" s="2952"/>
      <c r="S524" s="2952"/>
      <c r="T524" s="2952"/>
      <c r="U524" s="2952"/>
      <c r="V524" s="2952"/>
      <c r="W524" s="2952"/>
      <c r="X524" s="2952"/>
      <c r="Y524" s="2952"/>
      <c r="Z524" s="2952"/>
      <c r="AA524" s="2952"/>
      <c r="AB524" s="2952"/>
      <c r="AC524" s="2942">
        <f t="shared" si="303"/>
        <v>0</v>
      </c>
      <c r="AD524" s="2962"/>
      <c r="AE524" s="2962"/>
      <c r="AF524" s="2962"/>
      <c r="AG524" s="2962"/>
      <c r="AH524" s="2962"/>
      <c r="AI524" s="2962"/>
      <c r="AJ524" s="2962"/>
      <c r="AK524" s="2962"/>
      <c r="AL524" s="2962"/>
      <c r="AM524" s="2962"/>
      <c r="AN524" s="2962"/>
      <c r="AO524" s="2962"/>
      <c r="AP524" s="2962"/>
      <c r="AQ524" s="2962"/>
      <c r="AR524" s="2962"/>
      <c r="AS524" s="2962"/>
      <c r="AT524" s="2972"/>
      <c r="AU524" s="2973"/>
      <c r="AV524" s="1120">
        <f t="shared" si="298"/>
        <v>0</v>
      </c>
      <c r="AW524" s="1120">
        <f t="shared" si="299"/>
        <v>0</v>
      </c>
      <c r="AX524" s="1120">
        <f t="shared" si="300"/>
        <v>0</v>
      </c>
      <c r="AY524" s="2987">
        <f t="shared" si="304"/>
        <v>0</v>
      </c>
      <c r="AZ524" s="2942">
        <f t="shared" si="305"/>
        <v>0</v>
      </c>
      <c r="BA524" s="2942">
        <f t="shared" si="306"/>
        <v>0</v>
      </c>
      <c r="BB524" s="2942">
        <f t="shared" si="307"/>
        <v>0</v>
      </c>
      <c r="BC524" s="2942">
        <f t="shared" si="308"/>
        <v>0</v>
      </c>
      <c r="BD524" s="2942">
        <f t="shared" si="309"/>
        <v>0</v>
      </c>
      <c r="BE524" s="2942">
        <f t="shared" si="310"/>
        <v>0</v>
      </c>
      <c r="BF524" s="2942">
        <f t="shared" si="311"/>
        <v>0</v>
      </c>
      <c r="BG524" s="2942">
        <f t="shared" si="312"/>
        <v>0</v>
      </c>
      <c r="BH524" s="2942">
        <f t="shared" si="313"/>
        <v>0</v>
      </c>
      <c r="BI524" s="2942">
        <f t="shared" si="314"/>
        <v>0</v>
      </c>
      <c r="BJ524" s="2942">
        <f t="shared" si="315"/>
        <v>0</v>
      </c>
      <c r="BK524" s="2942">
        <f t="shared" si="316"/>
        <v>0</v>
      </c>
      <c r="BL524" s="2942">
        <f t="shared" si="317"/>
        <v>0</v>
      </c>
      <c r="BM524" s="2942">
        <f t="shared" si="318"/>
        <v>0</v>
      </c>
      <c r="BN524" s="2942">
        <f t="shared" si="319"/>
        <v>0</v>
      </c>
      <c r="BO524" s="2942">
        <f t="shared" si="320"/>
        <v>0</v>
      </c>
      <c r="BP524" s="2942">
        <f t="shared" si="321"/>
        <v>0</v>
      </c>
      <c r="BQ524" s="2942">
        <f t="shared" si="322"/>
        <v>0</v>
      </c>
      <c r="BR524" s="2942">
        <f t="shared" si="323"/>
        <v>0</v>
      </c>
      <c r="BS524" s="2942">
        <f t="shared" si="324"/>
        <v>0</v>
      </c>
      <c r="BT524" s="2994">
        <f t="shared" si="325"/>
        <v>0</v>
      </c>
    </row>
    <row r="525" spans="1:72">
      <c r="A525" s="2939"/>
      <c r="B525" s="2940"/>
      <c r="C525" s="2940"/>
      <c r="D525" s="2941"/>
      <c r="E525" s="2942">
        <f t="shared" si="297"/>
        <v>0</v>
      </c>
      <c r="F525" s="2943"/>
      <c r="G525" s="2944">
        <f t="shared" si="301"/>
        <v>0</v>
      </c>
      <c r="H525" s="2945">
        <f t="shared" si="302"/>
        <v>0</v>
      </c>
      <c r="I525" s="2952"/>
      <c r="J525" s="2952"/>
      <c r="K525" s="2952"/>
      <c r="L525" s="2952"/>
      <c r="M525" s="2952"/>
      <c r="N525" s="2952"/>
      <c r="O525" s="2952"/>
      <c r="P525" s="2952"/>
      <c r="Q525" s="2952"/>
      <c r="R525" s="2952"/>
      <c r="S525" s="2952"/>
      <c r="T525" s="2952"/>
      <c r="U525" s="2952"/>
      <c r="V525" s="2952"/>
      <c r="W525" s="2952"/>
      <c r="X525" s="2952"/>
      <c r="Y525" s="2952"/>
      <c r="Z525" s="2952"/>
      <c r="AA525" s="2952"/>
      <c r="AB525" s="2952"/>
      <c r="AC525" s="2942">
        <f t="shared" si="303"/>
        <v>0</v>
      </c>
      <c r="AD525" s="2962"/>
      <c r="AE525" s="2962"/>
      <c r="AF525" s="2962"/>
      <c r="AG525" s="2962"/>
      <c r="AH525" s="2962"/>
      <c r="AI525" s="2962"/>
      <c r="AJ525" s="2962"/>
      <c r="AK525" s="2962"/>
      <c r="AL525" s="2962"/>
      <c r="AM525" s="2962"/>
      <c r="AN525" s="2962"/>
      <c r="AO525" s="2962"/>
      <c r="AP525" s="2962"/>
      <c r="AQ525" s="2962"/>
      <c r="AR525" s="2962"/>
      <c r="AS525" s="2962"/>
      <c r="AT525" s="2972"/>
      <c r="AU525" s="2973"/>
      <c r="AV525" s="1120">
        <f t="shared" si="298"/>
        <v>0</v>
      </c>
      <c r="AW525" s="1120">
        <f t="shared" si="299"/>
        <v>0</v>
      </c>
      <c r="AX525" s="1120">
        <f t="shared" si="300"/>
        <v>0</v>
      </c>
      <c r="AY525" s="2987">
        <f t="shared" si="304"/>
        <v>0</v>
      </c>
      <c r="AZ525" s="2942">
        <f t="shared" si="305"/>
        <v>0</v>
      </c>
      <c r="BA525" s="2942">
        <f t="shared" si="306"/>
        <v>0</v>
      </c>
      <c r="BB525" s="2942">
        <f t="shared" si="307"/>
        <v>0</v>
      </c>
      <c r="BC525" s="2942">
        <f t="shared" si="308"/>
        <v>0</v>
      </c>
      <c r="BD525" s="2942">
        <f t="shared" si="309"/>
        <v>0</v>
      </c>
      <c r="BE525" s="2942">
        <f t="shared" si="310"/>
        <v>0</v>
      </c>
      <c r="BF525" s="2942">
        <f t="shared" si="311"/>
        <v>0</v>
      </c>
      <c r="BG525" s="2942">
        <f t="shared" si="312"/>
        <v>0</v>
      </c>
      <c r="BH525" s="2942">
        <f t="shared" si="313"/>
        <v>0</v>
      </c>
      <c r="BI525" s="2942">
        <f t="shared" si="314"/>
        <v>0</v>
      </c>
      <c r="BJ525" s="2942">
        <f t="shared" si="315"/>
        <v>0</v>
      </c>
      <c r="BK525" s="2942">
        <f t="shared" si="316"/>
        <v>0</v>
      </c>
      <c r="BL525" s="2942">
        <f t="shared" si="317"/>
        <v>0</v>
      </c>
      <c r="BM525" s="2942">
        <f t="shared" si="318"/>
        <v>0</v>
      </c>
      <c r="BN525" s="2942">
        <f t="shared" si="319"/>
        <v>0</v>
      </c>
      <c r="BO525" s="2942">
        <f t="shared" si="320"/>
        <v>0</v>
      </c>
      <c r="BP525" s="2942">
        <f t="shared" si="321"/>
        <v>0</v>
      </c>
      <c r="BQ525" s="2942">
        <f t="shared" si="322"/>
        <v>0</v>
      </c>
      <c r="BR525" s="2942">
        <f t="shared" si="323"/>
        <v>0</v>
      </c>
      <c r="BS525" s="2942">
        <f t="shared" si="324"/>
        <v>0</v>
      </c>
      <c r="BT525" s="2994">
        <f t="shared" si="325"/>
        <v>0</v>
      </c>
    </row>
    <row r="526" spans="1:72">
      <c r="A526" s="2939"/>
      <c r="B526" s="2940"/>
      <c r="C526" s="2940"/>
      <c r="D526" s="2941"/>
      <c r="E526" s="2942">
        <f t="shared" si="297"/>
        <v>0</v>
      </c>
      <c r="F526" s="2943"/>
      <c r="G526" s="2944">
        <f t="shared" si="301"/>
        <v>0</v>
      </c>
      <c r="H526" s="2945">
        <f t="shared" si="302"/>
        <v>0</v>
      </c>
      <c r="I526" s="2952"/>
      <c r="J526" s="2952"/>
      <c r="K526" s="2952"/>
      <c r="L526" s="2952"/>
      <c r="M526" s="2952"/>
      <c r="N526" s="2952"/>
      <c r="O526" s="2952"/>
      <c r="P526" s="2952"/>
      <c r="Q526" s="2952"/>
      <c r="R526" s="2952"/>
      <c r="S526" s="2952"/>
      <c r="T526" s="2952"/>
      <c r="U526" s="2952"/>
      <c r="V526" s="2952"/>
      <c r="W526" s="2952"/>
      <c r="X526" s="2952"/>
      <c r="Y526" s="2952"/>
      <c r="Z526" s="2952"/>
      <c r="AA526" s="2952"/>
      <c r="AB526" s="2952"/>
      <c r="AC526" s="2942">
        <f t="shared" si="303"/>
        <v>0</v>
      </c>
      <c r="AD526" s="2962"/>
      <c r="AE526" s="2962"/>
      <c r="AF526" s="2962"/>
      <c r="AG526" s="2962"/>
      <c r="AH526" s="2962"/>
      <c r="AI526" s="2962"/>
      <c r="AJ526" s="2962"/>
      <c r="AK526" s="2962"/>
      <c r="AL526" s="2962"/>
      <c r="AM526" s="2962"/>
      <c r="AN526" s="2962"/>
      <c r="AO526" s="2962"/>
      <c r="AP526" s="2962"/>
      <c r="AQ526" s="2962"/>
      <c r="AR526" s="2962"/>
      <c r="AS526" s="2962"/>
      <c r="AT526" s="2972"/>
      <c r="AU526" s="2973"/>
      <c r="AV526" s="1120">
        <f t="shared" si="298"/>
        <v>0</v>
      </c>
      <c r="AW526" s="1120">
        <f t="shared" si="299"/>
        <v>0</v>
      </c>
      <c r="AX526" s="1120">
        <f t="shared" si="300"/>
        <v>0</v>
      </c>
      <c r="AY526" s="2987">
        <f t="shared" si="304"/>
        <v>0</v>
      </c>
      <c r="AZ526" s="2942">
        <f t="shared" si="305"/>
        <v>0</v>
      </c>
      <c r="BA526" s="2942">
        <f t="shared" si="306"/>
        <v>0</v>
      </c>
      <c r="BB526" s="2942">
        <f t="shared" si="307"/>
        <v>0</v>
      </c>
      <c r="BC526" s="2942">
        <f t="shared" si="308"/>
        <v>0</v>
      </c>
      <c r="BD526" s="2942">
        <f t="shared" si="309"/>
        <v>0</v>
      </c>
      <c r="BE526" s="2942">
        <f t="shared" si="310"/>
        <v>0</v>
      </c>
      <c r="BF526" s="2942">
        <f t="shared" si="311"/>
        <v>0</v>
      </c>
      <c r="BG526" s="2942">
        <f t="shared" si="312"/>
        <v>0</v>
      </c>
      <c r="BH526" s="2942">
        <f t="shared" si="313"/>
        <v>0</v>
      </c>
      <c r="BI526" s="2942">
        <f t="shared" si="314"/>
        <v>0</v>
      </c>
      <c r="BJ526" s="2942">
        <f t="shared" si="315"/>
        <v>0</v>
      </c>
      <c r="BK526" s="2942">
        <f t="shared" si="316"/>
        <v>0</v>
      </c>
      <c r="BL526" s="2942">
        <f t="shared" si="317"/>
        <v>0</v>
      </c>
      <c r="BM526" s="2942">
        <f t="shared" si="318"/>
        <v>0</v>
      </c>
      <c r="BN526" s="2942">
        <f t="shared" si="319"/>
        <v>0</v>
      </c>
      <c r="BO526" s="2942">
        <f t="shared" si="320"/>
        <v>0</v>
      </c>
      <c r="BP526" s="2942">
        <f t="shared" si="321"/>
        <v>0</v>
      </c>
      <c r="BQ526" s="2942">
        <f t="shared" si="322"/>
        <v>0</v>
      </c>
      <c r="BR526" s="2942">
        <f t="shared" si="323"/>
        <v>0</v>
      </c>
      <c r="BS526" s="2942">
        <f t="shared" si="324"/>
        <v>0</v>
      </c>
      <c r="BT526" s="2994">
        <f t="shared" si="325"/>
        <v>0</v>
      </c>
    </row>
    <row r="527" spans="1:72">
      <c r="A527" s="2939"/>
      <c r="B527" s="2940"/>
      <c r="C527" s="2940"/>
      <c r="D527" s="2941"/>
      <c r="E527" s="2942">
        <f t="shared" si="297"/>
        <v>0</v>
      </c>
      <c r="F527" s="2943"/>
      <c r="G527" s="2944">
        <f t="shared" si="301"/>
        <v>0</v>
      </c>
      <c r="H527" s="2945">
        <f t="shared" si="302"/>
        <v>0</v>
      </c>
      <c r="I527" s="2952"/>
      <c r="J527" s="2952"/>
      <c r="K527" s="2952"/>
      <c r="L527" s="2952"/>
      <c r="M527" s="2952"/>
      <c r="N527" s="2952"/>
      <c r="O527" s="2952"/>
      <c r="P527" s="2952"/>
      <c r="Q527" s="2952"/>
      <c r="R527" s="2952"/>
      <c r="S527" s="2952"/>
      <c r="T527" s="2952"/>
      <c r="U527" s="2952"/>
      <c r="V527" s="2952"/>
      <c r="W527" s="2952"/>
      <c r="X527" s="2952"/>
      <c r="Y527" s="2952"/>
      <c r="Z527" s="2952"/>
      <c r="AA527" s="2952"/>
      <c r="AB527" s="2952"/>
      <c r="AC527" s="2942">
        <f t="shared" si="303"/>
        <v>0</v>
      </c>
      <c r="AD527" s="2962"/>
      <c r="AE527" s="2962"/>
      <c r="AF527" s="2962"/>
      <c r="AG527" s="2962"/>
      <c r="AH527" s="2962"/>
      <c r="AI527" s="2962"/>
      <c r="AJ527" s="2962"/>
      <c r="AK527" s="2962"/>
      <c r="AL527" s="2962"/>
      <c r="AM527" s="2962"/>
      <c r="AN527" s="2962"/>
      <c r="AO527" s="2962"/>
      <c r="AP527" s="2962"/>
      <c r="AQ527" s="2962"/>
      <c r="AR527" s="2962"/>
      <c r="AS527" s="2962"/>
      <c r="AT527" s="2972"/>
      <c r="AU527" s="2973"/>
      <c r="AV527" s="1120">
        <f t="shared" si="298"/>
        <v>0</v>
      </c>
      <c r="AW527" s="1120">
        <f t="shared" si="299"/>
        <v>0</v>
      </c>
      <c r="AX527" s="1120">
        <f t="shared" si="300"/>
        <v>0</v>
      </c>
      <c r="AY527" s="2987">
        <f t="shared" si="304"/>
        <v>0</v>
      </c>
      <c r="AZ527" s="2942">
        <f t="shared" si="305"/>
        <v>0</v>
      </c>
      <c r="BA527" s="2942">
        <f t="shared" si="306"/>
        <v>0</v>
      </c>
      <c r="BB527" s="2942">
        <f t="shared" si="307"/>
        <v>0</v>
      </c>
      <c r="BC527" s="2942">
        <f t="shared" si="308"/>
        <v>0</v>
      </c>
      <c r="BD527" s="2942">
        <f t="shared" si="309"/>
        <v>0</v>
      </c>
      <c r="BE527" s="2942">
        <f t="shared" si="310"/>
        <v>0</v>
      </c>
      <c r="BF527" s="2942">
        <f t="shared" si="311"/>
        <v>0</v>
      </c>
      <c r="BG527" s="2942">
        <f t="shared" si="312"/>
        <v>0</v>
      </c>
      <c r="BH527" s="2942">
        <f t="shared" si="313"/>
        <v>0</v>
      </c>
      <c r="BI527" s="2942">
        <f t="shared" si="314"/>
        <v>0</v>
      </c>
      <c r="BJ527" s="2942">
        <f t="shared" si="315"/>
        <v>0</v>
      </c>
      <c r="BK527" s="2942">
        <f t="shared" si="316"/>
        <v>0</v>
      </c>
      <c r="BL527" s="2942">
        <f t="shared" si="317"/>
        <v>0</v>
      </c>
      <c r="BM527" s="2942">
        <f t="shared" si="318"/>
        <v>0</v>
      </c>
      <c r="BN527" s="2942">
        <f t="shared" si="319"/>
        <v>0</v>
      </c>
      <c r="BO527" s="2942">
        <f t="shared" si="320"/>
        <v>0</v>
      </c>
      <c r="BP527" s="2942">
        <f t="shared" si="321"/>
        <v>0</v>
      </c>
      <c r="BQ527" s="2942">
        <f t="shared" si="322"/>
        <v>0</v>
      </c>
      <c r="BR527" s="2942">
        <f t="shared" si="323"/>
        <v>0</v>
      </c>
      <c r="BS527" s="2942">
        <f t="shared" si="324"/>
        <v>0</v>
      </c>
      <c r="BT527" s="2994">
        <f t="shared" si="325"/>
        <v>0</v>
      </c>
    </row>
    <row r="528" spans="1:72">
      <c r="A528" s="2939"/>
      <c r="B528" s="2940"/>
      <c r="C528" s="2940"/>
      <c r="D528" s="2941"/>
      <c r="E528" s="2942">
        <f t="shared" si="297"/>
        <v>0</v>
      </c>
      <c r="F528" s="2943"/>
      <c r="G528" s="2944">
        <f t="shared" si="301"/>
        <v>0</v>
      </c>
      <c r="H528" s="2945">
        <f t="shared" si="302"/>
        <v>0</v>
      </c>
      <c r="I528" s="2952"/>
      <c r="J528" s="2952"/>
      <c r="K528" s="2952"/>
      <c r="L528" s="2952"/>
      <c r="M528" s="2952"/>
      <c r="N528" s="2952"/>
      <c r="O528" s="2952"/>
      <c r="P528" s="2952"/>
      <c r="Q528" s="2952"/>
      <c r="R528" s="2952"/>
      <c r="S528" s="2952"/>
      <c r="T528" s="2952"/>
      <c r="U528" s="2952"/>
      <c r="V528" s="2952"/>
      <c r="W528" s="2952"/>
      <c r="X528" s="2952"/>
      <c r="Y528" s="2952"/>
      <c r="Z528" s="2952"/>
      <c r="AA528" s="2952"/>
      <c r="AB528" s="2952"/>
      <c r="AC528" s="2942">
        <f t="shared" si="303"/>
        <v>0</v>
      </c>
      <c r="AD528" s="2962"/>
      <c r="AE528" s="2962"/>
      <c r="AF528" s="2962"/>
      <c r="AG528" s="2962"/>
      <c r="AH528" s="2962"/>
      <c r="AI528" s="2962"/>
      <c r="AJ528" s="2962"/>
      <c r="AK528" s="2962"/>
      <c r="AL528" s="2962"/>
      <c r="AM528" s="2962"/>
      <c r="AN528" s="2962"/>
      <c r="AO528" s="2962"/>
      <c r="AP528" s="2962"/>
      <c r="AQ528" s="2962"/>
      <c r="AR528" s="2962"/>
      <c r="AS528" s="2962"/>
      <c r="AT528" s="2972"/>
      <c r="AU528" s="2973"/>
      <c r="AV528" s="1120">
        <f t="shared" si="298"/>
        <v>0</v>
      </c>
      <c r="AW528" s="1120">
        <f t="shared" si="299"/>
        <v>0</v>
      </c>
      <c r="AX528" s="1120">
        <f t="shared" si="300"/>
        <v>0</v>
      </c>
      <c r="AY528" s="2987">
        <f t="shared" si="304"/>
        <v>0</v>
      </c>
      <c r="AZ528" s="2942">
        <f t="shared" si="305"/>
        <v>0</v>
      </c>
      <c r="BA528" s="2942">
        <f t="shared" si="306"/>
        <v>0</v>
      </c>
      <c r="BB528" s="2942">
        <f t="shared" si="307"/>
        <v>0</v>
      </c>
      <c r="BC528" s="2942">
        <f t="shared" si="308"/>
        <v>0</v>
      </c>
      <c r="BD528" s="2942">
        <f t="shared" si="309"/>
        <v>0</v>
      </c>
      <c r="BE528" s="2942">
        <f t="shared" si="310"/>
        <v>0</v>
      </c>
      <c r="BF528" s="2942">
        <f t="shared" si="311"/>
        <v>0</v>
      </c>
      <c r="BG528" s="2942">
        <f t="shared" si="312"/>
        <v>0</v>
      </c>
      <c r="BH528" s="2942">
        <f t="shared" si="313"/>
        <v>0</v>
      </c>
      <c r="BI528" s="2942">
        <f t="shared" si="314"/>
        <v>0</v>
      </c>
      <c r="BJ528" s="2942">
        <f t="shared" si="315"/>
        <v>0</v>
      </c>
      <c r="BK528" s="2942">
        <f t="shared" si="316"/>
        <v>0</v>
      </c>
      <c r="BL528" s="2942">
        <f t="shared" si="317"/>
        <v>0</v>
      </c>
      <c r="BM528" s="2942">
        <f t="shared" si="318"/>
        <v>0</v>
      </c>
      <c r="BN528" s="2942">
        <f t="shared" si="319"/>
        <v>0</v>
      </c>
      <c r="BO528" s="2942">
        <f t="shared" si="320"/>
        <v>0</v>
      </c>
      <c r="BP528" s="2942">
        <f t="shared" si="321"/>
        <v>0</v>
      </c>
      <c r="BQ528" s="2942">
        <f t="shared" si="322"/>
        <v>0</v>
      </c>
      <c r="BR528" s="2942">
        <f t="shared" si="323"/>
        <v>0</v>
      </c>
      <c r="BS528" s="2942">
        <f t="shared" si="324"/>
        <v>0</v>
      </c>
      <c r="BT528" s="2994">
        <f t="shared" si="325"/>
        <v>0</v>
      </c>
    </row>
    <row r="529" spans="1:72">
      <c r="A529" s="2939"/>
      <c r="B529" s="2940"/>
      <c r="C529" s="2940"/>
      <c r="D529" s="2941"/>
      <c r="E529" s="2942">
        <f t="shared" si="297"/>
        <v>0</v>
      </c>
      <c r="F529" s="2943"/>
      <c r="G529" s="2944">
        <f t="shared" si="301"/>
        <v>0</v>
      </c>
      <c r="H529" s="2945">
        <f t="shared" si="302"/>
        <v>0</v>
      </c>
      <c r="I529" s="2952"/>
      <c r="J529" s="2952"/>
      <c r="K529" s="2952"/>
      <c r="L529" s="2952"/>
      <c r="M529" s="2952"/>
      <c r="N529" s="2952"/>
      <c r="O529" s="2952"/>
      <c r="P529" s="2952"/>
      <c r="Q529" s="2952"/>
      <c r="R529" s="2952"/>
      <c r="S529" s="2952"/>
      <c r="T529" s="2952"/>
      <c r="U529" s="2952"/>
      <c r="V529" s="2952"/>
      <c r="W529" s="2952"/>
      <c r="X529" s="2952"/>
      <c r="Y529" s="2952"/>
      <c r="Z529" s="2952"/>
      <c r="AA529" s="2952"/>
      <c r="AB529" s="2952"/>
      <c r="AC529" s="2942">
        <f t="shared" si="303"/>
        <v>0</v>
      </c>
      <c r="AD529" s="2962"/>
      <c r="AE529" s="2962"/>
      <c r="AF529" s="2962"/>
      <c r="AG529" s="2962"/>
      <c r="AH529" s="2962"/>
      <c r="AI529" s="2962"/>
      <c r="AJ529" s="2962"/>
      <c r="AK529" s="2962"/>
      <c r="AL529" s="2962"/>
      <c r="AM529" s="2962"/>
      <c r="AN529" s="2962"/>
      <c r="AO529" s="2962"/>
      <c r="AP529" s="2962"/>
      <c r="AQ529" s="2962"/>
      <c r="AR529" s="2962"/>
      <c r="AS529" s="2962"/>
      <c r="AT529" s="2972"/>
      <c r="AU529" s="2973"/>
      <c r="AV529" s="1120">
        <f t="shared" si="298"/>
        <v>0</v>
      </c>
      <c r="AW529" s="1120">
        <f t="shared" si="299"/>
        <v>0</v>
      </c>
      <c r="AX529" s="1120">
        <f t="shared" si="300"/>
        <v>0</v>
      </c>
      <c r="AY529" s="2987">
        <f t="shared" si="304"/>
        <v>0</v>
      </c>
      <c r="AZ529" s="2942">
        <f t="shared" si="305"/>
        <v>0</v>
      </c>
      <c r="BA529" s="2942">
        <f t="shared" si="306"/>
        <v>0</v>
      </c>
      <c r="BB529" s="2942">
        <f t="shared" si="307"/>
        <v>0</v>
      </c>
      <c r="BC529" s="2942">
        <f t="shared" si="308"/>
        <v>0</v>
      </c>
      <c r="BD529" s="2942">
        <f t="shared" si="309"/>
        <v>0</v>
      </c>
      <c r="BE529" s="2942">
        <f t="shared" si="310"/>
        <v>0</v>
      </c>
      <c r="BF529" s="2942">
        <f t="shared" si="311"/>
        <v>0</v>
      </c>
      <c r="BG529" s="2942">
        <f t="shared" si="312"/>
        <v>0</v>
      </c>
      <c r="BH529" s="2942">
        <f t="shared" si="313"/>
        <v>0</v>
      </c>
      <c r="BI529" s="2942">
        <f t="shared" si="314"/>
        <v>0</v>
      </c>
      <c r="BJ529" s="2942">
        <f t="shared" si="315"/>
        <v>0</v>
      </c>
      <c r="BK529" s="2942">
        <f t="shared" si="316"/>
        <v>0</v>
      </c>
      <c r="BL529" s="2942">
        <f t="shared" si="317"/>
        <v>0</v>
      </c>
      <c r="BM529" s="2942">
        <f t="shared" si="318"/>
        <v>0</v>
      </c>
      <c r="BN529" s="2942">
        <f t="shared" si="319"/>
        <v>0</v>
      </c>
      <c r="BO529" s="2942">
        <f t="shared" si="320"/>
        <v>0</v>
      </c>
      <c r="BP529" s="2942">
        <f t="shared" si="321"/>
        <v>0</v>
      </c>
      <c r="BQ529" s="2942">
        <f t="shared" si="322"/>
        <v>0</v>
      </c>
      <c r="BR529" s="2942">
        <f t="shared" si="323"/>
        <v>0</v>
      </c>
      <c r="BS529" s="2942">
        <f t="shared" si="324"/>
        <v>0</v>
      </c>
      <c r="BT529" s="2994">
        <f t="shared" si="325"/>
        <v>0</v>
      </c>
    </row>
    <row r="530" spans="1:72">
      <c r="A530" s="2939"/>
      <c r="B530" s="2940"/>
      <c r="C530" s="2940"/>
      <c r="D530" s="2941"/>
      <c r="E530" s="2942">
        <f t="shared" si="297"/>
        <v>0</v>
      </c>
      <c r="F530" s="2943"/>
      <c r="G530" s="2944">
        <f t="shared" si="301"/>
        <v>0</v>
      </c>
      <c r="H530" s="2945">
        <f t="shared" si="302"/>
        <v>0</v>
      </c>
      <c r="I530" s="2952"/>
      <c r="J530" s="2952"/>
      <c r="K530" s="2952"/>
      <c r="L530" s="2952"/>
      <c r="M530" s="2952"/>
      <c r="N530" s="2952"/>
      <c r="O530" s="2952"/>
      <c r="P530" s="2952"/>
      <c r="Q530" s="2952"/>
      <c r="R530" s="2952"/>
      <c r="S530" s="2952"/>
      <c r="T530" s="2952"/>
      <c r="U530" s="2952"/>
      <c r="V530" s="2952"/>
      <c r="W530" s="2952"/>
      <c r="X530" s="2952"/>
      <c r="Y530" s="2952"/>
      <c r="Z530" s="2952"/>
      <c r="AA530" s="2952"/>
      <c r="AB530" s="2952"/>
      <c r="AC530" s="2942">
        <f t="shared" si="303"/>
        <v>0</v>
      </c>
      <c r="AD530" s="2962"/>
      <c r="AE530" s="2962"/>
      <c r="AF530" s="2962"/>
      <c r="AG530" s="2962"/>
      <c r="AH530" s="2962"/>
      <c r="AI530" s="2962"/>
      <c r="AJ530" s="2962"/>
      <c r="AK530" s="2962"/>
      <c r="AL530" s="2962"/>
      <c r="AM530" s="2962"/>
      <c r="AN530" s="2962"/>
      <c r="AO530" s="2962"/>
      <c r="AP530" s="2962"/>
      <c r="AQ530" s="2962"/>
      <c r="AR530" s="2962"/>
      <c r="AS530" s="2962"/>
      <c r="AT530" s="2972"/>
      <c r="AU530" s="2973"/>
      <c r="AV530" s="1120">
        <f t="shared" si="298"/>
        <v>0</v>
      </c>
      <c r="AW530" s="1120">
        <f t="shared" si="299"/>
        <v>0</v>
      </c>
      <c r="AX530" s="1120">
        <f t="shared" si="300"/>
        <v>0</v>
      </c>
      <c r="AY530" s="2987">
        <f t="shared" si="304"/>
        <v>0</v>
      </c>
      <c r="AZ530" s="2942">
        <f t="shared" si="305"/>
        <v>0</v>
      </c>
      <c r="BA530" s="2942">
        <f t="shared" si="306"/>
        <v>0</v>
      </c>
      <c r="BB530" s="2942">
        <f t="shared" si="307"/>
        <v>0</v>
      </c>
      <c r="BC530" s="2942">
        <f t="shared" si="308"/>
        <v>0</v>
      </c>
      <c r="BD530" s="2942">
        <f t="shared" si="309"/>
        <v>0</v>
      </c>
      <c r="BE530" s="2942">
        <f t="shared" si="310"/>
        <v>0</v>
      </c>
      <c r="BF530" s="2942">
        <f t="shared" si="311"/>
        <v>0</v>
      </c>
      <c r="BG530" s="2942">
        <f t="shared" si="312"/>
        <v>0</v>
      </c>
      <c r="BH530" s="2942">
        <f t="shared" si="313"/>
        <v>0</v>
      </c>
      <c r="BI530" s="2942">
        <f t="shared" si="314"/>
        <v>0</v>
      </c>
      <c r="BJ530" s="2942">
        <f t="shared" si="315"/>
        <v>0</v>
      </c>
      <c r="BK530" s="2942">
        <f t="shared" si="316"/>
        <v>0</v>
      </c>
      <c r="BL530" s="2942">
        <f t="shared" si="317"/>
        <v>0</v>
      </c>
      <c r="BM530" s="2942">
        <f t="shared" si="318"/>
        <v>0</v>
      </c>
      <c r="BN530" s="2942">
        <f t="shared" si="319"/>
        <v>0</v>
      </c>
      <c r="BO530" s="2942">
        <f t="shared" si="320"/>
        <v>0</v>
      </c>
      <c r="BP530" s="2942">
        <f t="shared" si="321"/>
        <v>0</v>
      </c>
      <c r="BQ530" s="2942">
        <f t="shared" si="322"/>
        <v>0</v>
      </c>
      <c r="BR530" s="2942">
        <f t="shared" si="323"/>
        <v>0</v>
      </c>
      <c r="BS530" s="2942">
        <f t="shared" si="324"/>
        <v>0</v>
      </c>
      <c r="BT530" s="2994">
        <f t="shared" si="325"/>
        <v>0</v>
      </c>
    </row>
    <row r="531" spans="1:72">
      <c r="A531" s="2939"/>
      <c r="B531" s="2940"/>
      <c r="C531" s="2940"/>
      <c r="D531" s="2941"/>
      <c r="E531" s="2942">
        <f t="shared" si="297"/>
        <v>0</v>
      </c>
      <c r="F531" s="2943"/>
      <c r="G531" s="2944">
        <f t="shared" si="301"/>
        <v>0</v>
      </c>
      <c r="H531" s="2945">
        <f t="shared" si="302"/>
        <v>0</v>
      </c>
      <c r="I531" s="2952"/>
      <c r="J531" s="2952"/>
      <c r="K531" s="2952"/>
      <c r="L531" s="2952"/>
      <c r="M531" s="2952"/>
      <c r="N531" s="2952"/>
      <c r="O531" s="2952"/>
      <c r="P531" s="2952"/>
      <c r="Q531" s="2952"/>
      <c r="R531" s="2952"/>
      <c r="S531" s="2952"/>
      <c r="T531" s="2952"/>
      <c r="U531" s="2952"/>
      <c r="V531" s="2952"/>
      <c r="W531" s="2952"/>
      <c r="X531" s="2952"/>
      <c r="Y531" s="2952"/>
      <c r="Z531" s="2952"/>
      <c r="AA531" s="2952"/>
      <c r="AB531" s="2952"/>
      <c r="AC531" s="2942">
        <f t="shared" si="303"/>
        <v>0</v>
      </c>
      <c r="AD531" s="2962"/>
      <c r="AE531" s="2962"/>
      <c r="AF531" s="2962"/>
      <c r="AG531" s="2962"/>
      <c r="AH531" s="2962"/>
      <c r="AI531" s="2962"/>
      <c r="AJ531" s="2962"/>
      <c r="AK531" s="2962"/>
      <c r="AL531" s="2962"/>
      <c r="AM531" s="2962"/>
      <c r="AN531" s="2962"/>
      <c r="AO531" s="2962"/>
      <c r="AP531" s="2962"/>
      <c r="AQ531" s="2962"/>
      <c r="AR531" s="2962"/>
      <c r="AS531" s="2962"/>
      <c r="AT531" s="2972"/>
      <c r="AU531" s="2973"/>
      <c r="AV531" s="1120">
        <f t="shared" si="298"/>
        <v>0</v>
      </c>
      <c r="AW531" s="1120">
        <f t="shared" si="299"/>
        <v>0</v>
      </c>
      <c r="AX531" s="1120">
        <f t="shared" si="300"/>
        <v>0</v>
      </c>
      <c r="AY531" s="2987">
        <f t="shared" si="304"/>
        <v>0</v>
      </c>
      <c r="AZ531" s="2942">
        <f t="shared" si="305"/>
        <v>0</v>
      </c>
      <c r="BA531" s="2942">
        <f t="shared" si="306"/>
        <v>0</v>
      </c>
      <c r="BB531" s="2942">
        <f t="shared" si="307"/>
        <v>0</v>
      </c>
      <c r="BC531" s="2942">
        <f t="shared" si="308"/>
        <v>0</v>
      </c>
      <c r="BD531" s="2942">
        <f t="shared" si="309"/>
        <v>0</v>
      </c>
      <c r="BE531" s="2942">
        <f t="shared" si="310"/>
        <v>0</v>
      </c>
      <c r="BF531" s="2942">
        <f t="shared" si="311"/>
        <v>0</v>
      </c>
      <c r="BG531" s="2942">
        <f t="shared" si="312"/>
        <v>0</v>
      </c>
      <c r="BH531" s="2942">
        <f t="shared" si="313"/>
        <v>0</v>
      </c>
      <c r="BI531" s="2942">
        <f t="shared" si="314"/>
        <v>0</v>
      </c>
      <c r="BJ531" s="2942">
        <f t="shared" si="315"/>
        <v>0</v>
      </c>
      <c r="BK531" s="2942">
        <f t="shared" si="316"/>
        <v>0</v>
      </c>
      <c r="BL531" s="2942">
        <f t="shared" si="317"/>
        <v>0</v>
      </c>
      <c r="BM531" s="2942">
        <f t="shared" si="318"/>
        <v>0</v>
      </c>
      <c r="BN531" s="2942">
        <f t="shared" si="319"/>
        <v>0</v>
      </c>
      <c r="BO531" s="2942">
        <f t="shared" si="320"/>
        <v>0</v>
      </c>
      <c r="BP531" s="2942">
        <f t="shared" si="321"/>
        <v>0</v>
      </c>
      <c r="BQ531" s="2942">
        <f t="shared" si="322"/>
        <v>0</v>
      </c>
      <c r="BR531" s="2942">
        <f t="shared" si="323"/>
        <v>0</v>
      </c>
      <c r="BS531" s="2942">
        <f t="shared" si="324"/>
        <v>0</v>
      </c>
      <c r="BT531" s="2994">
        <f t="shared" si="325"/>
        <v>0</v>
      </c>
    </row>
    <row r="532" spans="1:72">
      <c r="A532" s="2939"/>
      <c r="B532" s="2940"/>
      <c r="C532" s="2940"/>
      <c r="D532" s="2941"/>
      <c r="E532" s="2942">
        <f t="shared" si="297"/>
        <v>0</v>
      </c>
      <c r="F532" s="2943"/>
      <c r="G532" s="2944">
        <f t="shared" si="301"/>
        <v>0</v>
      </c>
      <c r="H532" s="2945">
        <f t="shared" si="302"/>
        <v>0</v>
      </c>
      <c r="I532" s="2952"/>
      <c r="J532" s="2952"/>
      <c r="K532" s="2952"/>
      <c r="L532" s="2952"/>
      <c r="M532" s="2952"/>
      <c r="N532" s="2952"/>
      <c r="O532" s="2952"/>
      <c r="P532" s="2952"/>
      <c r="Q532" s="2952"/>
      <c r="R532" s="2952"/>
      <c r="S532" s="2952"/>
      <c r="T532" s="2952"/>
      <c r="U532" s="2952"/>
      <c r="V532" s="2952"/>
      <c r="W532" s="2952"/>
      <c r="X532" s="2952"/>
      <c r="Y532" s="2952"/>
      <c r="Z532" s="2952"/>
      <c r="AA532" s="2952"/>
      <c r="AB532" s="2952"/>
      <c r="AC532" s="2942">
        <f t="shared" si="303"/>
        <v>0</v>
      </c>
      <c r="AD532" s="2962"/>
      <c r="AE532" s="2962"/>
      <c r="AF532" s="2962"/>
      <c r="AG532" s="2962"/>
      <c r="AH532" s="2962"/>
      <c r="AI532" s="2962"/>
      <c r="AJ532" s="2962"/>
      <c r="AK532" s="2962"/>
      <c r="AL532" s="2962"/>
      <c r="AM532" s="2962"/>
      <c r="AN532" s="2962"/>
      <c r="AO532" s="2962"/>
      <c r="AP532" s="2962"/>
      <c r="AQ532" s="2962"/>
      <c r="AR532" s="2962"/>
      <c r="AS532" s="2962"/>
      <c r="AT532" s="2972"/>
      <c r="AU532" s="2973"/>
      <c r="AV532" s="1120">
        <f t="shared" si="298"/>
        <v>0</v>
      </c>
      <c r="AW532" s="1120">
        <f t="shared" si="299"/>
        <v>0</v>
      </c>
      <c r="AX532" s="1120">
        <f t="shared" si="300"/>
        <v>0</v>
      </c>
      <c r="AY532" s="2987">
        <f t="shared" si="304"/>
        <v>0</v>
      </c>
      <c r="AZ532" s="2942">
        <f t="shared" si="305"/>
        <v>0</v>
      </c>
      <c r="BA532" s="2942">
        <f t="shared" si="306"/>
        <v>0</v>
      </c>
      <c r="BB532" s="2942">
        <f t="shared" si="307"/>
        <v>0</v>
      </c>
      <c r="BC532" s="2942">
        <f t="shared" si="308"/>
        <v>0</v>
      </c>
      <c r="BD532" s="2942">
        <f t="shared" si="309"/>
        <v>0</v>
      </c>
      <c r="BE532" s="2942">
        <f t="shared" si="310"/>
        <v>0</v>
      </c>
      <c r="BF532" s="2942">
        <f t="shared" si="311"/>
        <v>0</v>
      </c>
      <c r="BG532" s="2942">
        <f t="shared" si="312"/>
        <v>0</v>
      </c>
      <c r="BH532" s="2942">
        <f t="shared" si="313"/>
        <v>0</v>
      </c>
      <c r="BI532" s="2942">
        <f t="shared" si="314"/>
        <v>0</v>
      </c>
      <c r="BJ532" s="2942">
        <f t="shared" si="315"/>
        <v>0</v>
      </c>
      <c r="BK532" s="2942">
        <f t="shared" si="316"/>
        <v>0</v>
      </c>
      <c r="BL532" s="2942">
        <f t="shared" si="317"/>
        <v>0</v>
      </c>
      <c r="BM532" s="2942">
        <f t="shared" si="318"/>
        <v>0</v>
      </c>
      <c r="BN532" s="2942">
        <f t="shared" si="319"/>
        <v>0</v>
      </c>
      <c r="BO532" s="2942">
        <f t="shared" si="320"/>
        <v>0</v>
      </c>
      <c r="BP532" s="2942">
        <f t="shared" si="321"/>
        <v>0</v>
      </c>
      <c r="BQ532" s="2942">
        <f t="shared" si="322"/>
        <v>0</v>
      </c>
      <c r="BR532" s="2942">
        <f t="shared" si="323"/>
        <v>0</v>
      </c>
      <c r="BS532" s="2942">
        <f t="shared" si="324"/>
        <v>0</v>
      </c>
      <c r="BT532" s="2994">
        <f t="shared" si="325"/>
        <v>0</v>
      </c>
    </row>
    <row r="533" spans="1:72">
      <c r="A533" s="2939"/>
      <c r="B533" s="2940"/>
      <c r="C533" s="2940"/>
      <c r="D533" s="2941"/>
      <c r="E533" s="2942">
        <f t="shared" si="297"/>
        <v>0</v>
      </c>
      <c r="F533" s="2943"/>
      <c r="G533" s="2944">
        <f t="shared" si="301"/>
        <v>0</v>
      </c>
      <c r="H533" s="2945">
        <f t="shared" si="302"/>
        <v>0</v>
      </c>
      <c r="I533" s="2952"/>
      <c r="J533" s="2952"/>
      <c r="K533" s="2952"/>
      <c r="L533" s="2952"/>
      <c r="M533" s="2952"/>
      <c r="N533" s="2952"/>
      <c r="O533" s="2952"/>
      <c r="P533" s="2952"/>
      <c r="Q533" s="2952"/>
      <c r="R533" s="2952"/>
      <c r="S533" s="2952"/>
      <c r="T533" s="2952"/>
      <c r="U533" s="2952"/>
      <c r="V533" s="2952"/>
      <c r="W533" s="2952"/>
      <c r="X533" s="2952"/>
      <c r="Y533" s="2952"/>
      <c r="Z533" s="2952"/>
      <c r="AA533" s="2952"/>
      <c r="AB533" s="2952"/>
      <c r="AC533" s="2942">
        <f t="shared" si="303"/>
        <v>0</v>
      </c>
      <c r="AD533" s="2962"/>
      <c r="AE533" s="2962"/>
      <c r="AF533" s="2962"/>
      <c r="AG533" s="2962"/>
      <c r="AH533" s="2962"/>
      <c r="AI533" s="2962"/>
      <c r="AJ533" s="2962"/>
      <c r="AK533" s="2962"/>
      <c r="AL533" s="2962"/>
      <c r="AM533" s="2962"/>
      <c r="AN533" s="2962"/>
      <c r="AO533" s="2962"/>
      <c r="AP533" s="2962"/>
      <c r="AQ533" s="2962"/>
      <c r="AR533" s="2962"/>
      <c r="AS533" s="2962"/>
      <c r="AT533" s="2972"/>
      <c r="AU533" s="2973"/>
      <c r="AV533" s="1120">
        <f t="shared" si="298"/>
        <v>0</v>
      </c>
      <c r="AW533" s="1120">
        <f t="shared" si="299"/>
        <v>0</v>
      </c>
      <c r="AX533" s="1120">
        <f t="shared" si="300"/>
        <v>0</v>
      </c>
      <c r="AY533" s="2987">
        <f t="shared" si="304"/>
        <v>0</v>
      </c>
      <c r="AZ533" s="2942">
        <f t="shared" si="305"/>
        <v>0</v>
      </c>
      <c r="BA533" s="2942">
        <f t="shared" si="306"/>
        <v>0</v>
      </c>
      <c r="BB533" s="2942">
        <f t="shared" si="307"/>
        <v>0</v>
      </c>
      <c r="BC533" s="2942">
        <f t="shared" si="308"/>
        <v>0</v>
      </c>
      <c r="BD533" s="2942">
        <f t="shared" si="309"/>
        <v>0</v>
      </c>
      <c r="BE533" s="2942">
        <f t="shared" si="310"/>
        <v>0</v>
      </c>
      <c r="BF533" s="2942">
        <f t="shared" si="311"/>
        <v>0</v>
      </c>
      <c r="BG533" s="2942">
        <f t="shared" si="312"/>
        <v>0</v>
      </c>
      <c r="BH533" s="2942">
        <f t="shared" si="313"/>
        <v>0</v>
      </c>
      <c r="BI533" s="2942">
        <f t="shared" si="314"/>
        <v>0</v>
      </c>
      <c r="BJ533" s="2942">
        <f t="shared" si="315"/>
        <v>0</v>
      </c>
      <c r="BK533" s="2942">
        <f t="shared" si="316"/>
        <v>0</v>
      </c>
      <c r="BL533" s="2942">
        <f t="shared" si="317"/>
        <v>0</v>
      </c>
      <c r="BM533" s="2942">
        <f t="shared" si="318"/>
        <v>0</v>
      </c>
      <c r="BN533" s="2942">
        <f t="shared" si="319"/>
        <v>0</v>
      </c>
      <c r="BO533" s="2942">
        <f t="shared" si="320"/>
        <v>0</v>
      </c>
      <c r="BP533" s="2942">
        <f t="shared" si="321"/>
        <v>0</v>
      </c>
      <c r="BQ533" s="2942">
        <f t="shared" si="322"/>
        <v>0</v>
      </c>
      <c r="BR533" s="2942">
        <f t="shared" si="323"/>
        <v>0</v>
      </c>
      <c r="BS533" s="2942">
        <f t="shared" si="324"/>
        <v>0</v>
      </c>
      <c r="BT533" s="2994">
        <f t="shared" si="325"/>
        <v>0</v>
      </c>
    </row>
    <row r="534" spans="1:72">
      <c r="A534" s="2939"/>
      <c r="B534" s="2940"/>
      <c r="C534" s="2940"/>
      <c r="D534" s="2941"/>
      <c r="E534" s="2942">
        <f t="shared" si="297"/>
        <v>0</v>
      </c>
      <c r="F534" s="2943"/>
      <c r="G534" s="2944">
        <f t="shared" si="301"/>
        <v>0</v>
      </c>
      <c r="H534" s="2945">
        <f t="shared" si="302"/>
        <v>0</v>
      </c>
      <c r="I534" s="2952"/>
      <c r="J534" s="2952"/>
      <c r="K534" s="2952"/>
      <c r="L534" s="2952"/>
      <c r="M534" s="2952"/>
      <c r="N534" s="2952"/>
      <c r="O534" s="2952"/>
      <c r="P534" s="2952"/>
      <c r="Q534" s="2952"/>
      <c r="R534" s="2952"/>
      <c r="S534" s="2952"/>
      <c r="T534" s="2952"/>
      <c r="U534" s="2952"/>
      <c r="V534" s="2952"/>
      <c r="W534" s="2952"/>
      <c r="X534" s="2952"/>
      <c r="Y534" s="2952"/>
      <c r="Z534" s="2952"/>
      <c r="AA534" s="2952"/>
      <c r="AB534" s="2952"/>
      <c r="AC534" s="2942">
        <f t="shared" si="303"/>
        <v>0</v>
      </c>
      <c r="AD534" s="2962"/>
      <c r="AE534" s="2962"/>
      <c r="AF534" s="2962"/>
      <c r="AG534" s="2962"/>
      <c r="AH534" s="2962"/>
      <c r="AI534" s="2962"/>
      <c r="AJ534" s="2962"/>
      <c r="AK534" s="2962"/>
      <c r="AL534" s="2962"/>
      <c r="AM534" s="2962"/>
      <c r="AN534" s="2962"/>
      <c r="AO534" s="2962"/>
      <c r="AP534" s="2962"/>
      <c r="AQ534" s="2962"/>
      <c r="AR534" s="2962"/>
      <c r="AS534" s="2962"/>
      <c r="AT534" s="2972"/>
      <c r="AU534" s="2973"/>
      <c r="AV534" s="1120">
        <f t="shared" si="298"/>
        <v>0</v>
      </c>
      <c r="AW534" s="1120">
        <f t="shared" si="299"/>
        <v>0</v>
      </c>
      <c r="AX534" s="1120">
        <f t="shared" si="300"/>
        <v>0</v>
      </c>
      <c r="AY534" s="2987">
        <f t="shared" si="304"/>
        <v>0</v>
      </c>
      <c r="AZ534" s="2942">
        <f t="shared" si="305"/>
        <v>0</v>
      </c>
      <c r="BA534" s="2942">
        <f t="shared" si="306"/>
        <v>0</v>
      </c>
      <c r="BB534" s="2942">
        <f t="shared" si="307"/>
        <v>0</v>
      </c>
      <c r="BC534" s="2942">
        <f t="shared" si="308"/>
        <v>0</v>
      </c>
      <c r="BD534" s="2942">
        <f t="shared" si="309"/>
        <v>0</v>
      </c>
      <c r="BE534" s="2942">
        <f t="shared" si="310"/>
        <v>0</v>
      </c>
      <c r="BF534" s="2942">
        <f t="shared" si="311"/>
        <v>0</v>
      </c>
      <c r="BG534" s="2942">
        <f t="shared" si="312"/>
        <v>0</v>
      </c>
      <c r="BH534" s="2942">
        <f t="shared" si="313"/>
        <v>0</v>
      </c>
      <c r="BI534" s="2942">
        <f t="shared" si="314"/>
        <v>0</v>
      </c>
      <c r="BJ534" s="2942">
        <f t="shared" si="315"/>
        <v>0</v>
      </c>
      <c r="BK534" s="2942">
        <f t="shared" si="316"/>
        <v>0</v>
      </c>
      <c r="BL534" s="2942">
        <f t="shared" si="317"/>
        <v>0</v>
      </c>
      <c r="BM534" s="2942">
        <f t="shared" si="318"/>
        <v>0</v>
      </c>
      <c r="BN534" s="2942">
        <f t="shared" si="319"/>
        <v>0</v>
      </c>
      <c r="BO534" s="2942">
        <f t="shared" si="320"/>
        <v>0</v>
      </c>
      <c r="BP534" s="2942">
        <f t="shared" si="321"/>
        <v>0</v>
      </c>
      <c r="BQ534" s="2942">
        <f t="shared" si="322"/>
        <v>0</v>
      </c>
      <c r="BR534" s="2942">
        <f t="shared" si="323"/>
        <v>0</v>
      </c>
      <c r="BS534" s="2942">
        <f t="shared" si="324"/>
        <v>0</v>
      </c>
      <c r="BT534" s="2994">
        <f t="shared" si="325"/>
        <v>0</v>
      </c>
    </row>
    <row r="535" spans="1:72">
      <c r="A535" s="2939"/>
      <c r="B535" s="2940"/>
      <c r="C535" s="2940"/>
      <c r="D535" s="2941"/>
      <c r="E535" s="2942">
        <f t="shared" si="297"/>
        <v>0</v>
      </c>
      <c r="F535" s="2943"/>
      <c r="G535" s="2944">
        <f t="shared" si="301"/>
        <v>0</v>
      </c>
      <c r="H535" s="2945">
        <f t="shared" si="302"/>
        <v>0</v>
      </c>
      <c r="I535" s="2952"/>
      <c r="J535" s="2952"/>
      <c r="K535" s="2952"/>
      <c r="L535" s="2952"/>
      <c r="M535" s="2952"/>
      <c r="N535" s="2952"/>
      <c r="O535" s="2952"/>
      <c r="P535" s="2952"/>
      <c r="Q535" s="2952"/>
      <c r="R535" s="2952"/>
      <c r="S535" s="2952"/>
      <c r="T535" s="2952"/>
      <c r="U535" s="2952"/>
      <c r="V535" s="2952"/>
      <c r="W535" s="2952"/>
      <c r="X535" s="2952"/>
      <c r="Y535" s="2952"/>
      <c r="Z535" s="2952"/>
      <c r="AA535" s="2952"/>
      <c r="AB535" s="2952"/>
      <c r="AC535" s="2942">
        <f t="shared" si="303"/>
        <v>0</v>
      </c>
      <c r="AD535" s="2962"/>
      <c r="AE535" s="2962"/>
      <c r="AF535" s="2962"/>
      <c r="AG535" s="2962"/>
      <c r="AH535" s="2962"/>
      <c r="AI535" s="2962"/>
      <c r="AJ535" s="2962"/>
      <c r="AK535" s="2962"/>
      <c r="AL535" s="2962"/>
      <c r="AM535" s="2962"/>
      <c r="AN535" s="2962"/>
      <c r="AO535" s="2962"/>
      <c r="AP535" s="2962"/>
      <c r="AQ535" s="2962"/>
      <c r="AR535" s="2962"/>
      <c r="AS535" s="2962"/>
      <c r="AT535" s="2972"/>
      <c r="AU535" s="2973"/>
      <c r="AV535" s="1120">
        <f t="shared" si="298"/>
        <v>0</v>
      </c>
      <c r="AW535" s="1120">
        <f t="shared" si="299"/>
        <v>0</v>
      </c>
      <c r="AX535" s="1120">
        <f t="shared" si="300"/>
        <v>0</v>
      </c>
      <c r="AY535" s="2987">
        <f t="shared" si="304"/>
        <v>0</v>
      </c>
      <c r="AZ535" s="2942">
        <f t="shared" si="305"/>
        <v>0</v>
      </c>
      <c r="BA535" s="2942">
        <f t="shared" si="306"/>
        <v>0</v>
      </c>
      <c r="BB535" s="2942">
        <f t="shared" si="307"/>
        <v>0</v>
      </c>
      <c r="BC535" s="2942">
        <f t="shared" si="308"/>
        <v>0</v>
      </c>
      <c r="BD535" s="2942">
        <f t="shared" si="309"/>
        <v>0</v>
      </c>
      <c r="BE535" s="2942">
        <f t="shared" si="310"/>
        <v>0</v>
      </c>
      <c r="BF535" s="2942">
        <f t="shared" si="311"/>
        <v>0</v>
      </c>
      <c r="BG535" s="2942">
        <f t="shared" si="312"/>
        <v>0</v>
      </c>
      <c r="BH535" s="2942">
        <f t="shared" si="313"/>
        <v>0</v>
      </c>
      <c r="BI535" s="2942">
        <f t="shared" si="314"/>
        <v>0</v>
      </c>
      <c r="BJ535" s="2942">
        <f t="shared" si="315"/>
        <v>0</v>
      </c>
      <c r="BK535" s="2942">
        <f t="shared" si="316"/>
        <v>0</v>
      </c>
      <c r="BL535" s="2942">
        <f t="shared" si="317"/>
        <v>0</v>
      </c>
      <c r="BM535" s="2942">
        <f t="shared" si="318"/>
        <v>0</v>
      </c>
      <c r="BN535" s="2942">
        <f t="shared" si="319"/>
        <v>0</v>
      </c>
      <c r="BO535" s="2942">
        <f t="shared" si="320"/>
        <v>0</v>
      </c>
      <c r="BP535" s="2942">
        <f t="shared" si="321"/>
        <v>0</v>
      </c>
      <c r="BQ535" s="2942">
        <f t="shared" si="322"/>
        <v>0</v>
      </c>
      <c r="BR535" s="2942">
        <f t="shared" si="323"/>
        <v>0</v>
      </c>
      <c r="BS535" s="2942">
        <f t="shared" si="324"/>
        <v>0</v>
      </c>
      <c r="BT535" s="2994">
        <f t="shared" si="325"/>
        <v>0</v>
      </c>
    </row>
    <row r="536" spans="1:72">
      <c r="A536" s="2939"/>
      <c r="B536" s="2940"/>
      <c r="C536" s="2940"/>
      <c r="D536" s="2941"/>
      <c r="E536" s="2942">
        <f t="shared" si="297"/>
        <v>0</v>
      </c>
      <c r="F536" s="2943"/>
      <c r="G536" s="2944">
        <f t="shared" si="301"/>
        <v>0</v>
      </c>
      <c r="H536" s="2945">
        <f t="shared" si="302"/>
        <v>0</v>
      </c>
      <c r="I536" s="2952"/>
      <c r="J536" s="2952"/>
      <c r="K536" s="2952"/>
      <c r="L536" s="2952"/>
      <c r="M536" s="2952"/>
      <c r="N536" s="2952"/>
      <c r="O536" s="2952"/>
      <c r="P536" s="2952"/>
      <c r="Q536" s="2952"/>
      <c r="R536" s="2952"/>
      <c r="S536" s="2952"/>
      <c r="T536" s="2952"/>
      <c r="U536" s="2952"/>
      <c r="V536" s="2952"/>
      <c r="W536" s="2952"/>
      <c r="X536" s="2952"/>
      <c r="Y536" s="2952"/>
      <c r="Z536" s="2952"/>
      <c r="AA536" s="2952"/>
      <c r="AB536" s="2952"/>
      <c r="AC536" s="2942">
        <f t="shared" si="303"/>
        <v>0</v>
      </c>
      <c r="AD536" s="2962"/>
      <c r="AE536" s="2962"/>
      <c r="AF536" s="2962"/>
      <c r="AG536" s="2962"/>
      <c r="AH536" s="2962"/>
      <c r="AI536" s="2962"/>
      <c r="AJ536" s="2962"/>
      <c r="AK536" s="2962"/>
      <c r="AL536" s="2962"/>
      <c r="AM536" s="2962"/>
      <c r="AN536" s="2962"/>
      <c r="AO536" s="2962"/>
      <c r="AP536" s="2962"/>
      <c r="AQ536" s="2962"/>
      <c r="AR536" s="2962"/>
      <c r="AS536" s="2962"/>
      <c r="AT536" s="2972"/>
      <c r="AU536" s="2973"/>
      <c r="AV536" s="1120">
        <f t="shared" si="298"/>
        <v>0</v>
      </c>
      <c r="AW536" s="1120">
        <f t="shared" si="299"/>
        <v>0</v>
      </c>
      <c r="AX536" s="1120">
        <f t="shared" si="300"/>
        <v>0</v>
      </c>
      <c r="AY536" s="2987">
        <f t="shared" si="304"/>
        <v>0</v>
      </c>
      <c r="AZ536" s="2942">
        <f t="shared" si="305"/>
        <v>0</v>
      </c>
      <c r="BA536" s="2942">
        <f t="shared" si="306"/>
        <v>0</v>
      </c>
      <c r="BB536" s="2942">
        <f t="shared" si="307"/>
        <v>0</v>
      </c>
      <c r="BC536" s="2942">
        <f t="shared" si="308"/>
        <v>0</v>
      </c>
      <c r="BD536" s="2942">
        <f t="shared" si="309"/>
        <v>0</v>
      </c>
      <c r="BE536" s="2942">
        <f t="shared" si="310"/>
        <v>0</v>
      </c>
      <c r="BF536" s="2942">
        <f t="shared" si="311"/>
        <v>0</v>
      </c>
      <c r="BG536" s="2942">
        <f t="shared" si="312"/>
        <v>0</v>
      </c>
      <c r="BH536" s="2942">
        <f t="shared" si="313"/>
        <v>0</v>
      </c>
      <c r="BI536" s="2942">
        <f t="shared" si="314"/>
        <v>0</v>
      </c>
      <c r="BJ536" s="2942">
        <f t="shared" si="315"/>
        <v>0</v>
      </c>
      <c r="BK536" s="2942">
        <f t="shared" si="316"/>
        <v>0</v>
      </c>
      <c r="BL536" s="2942">
        <f t="shared" si="317"/>
        <v>0</v>
      </c>
      <c r="BM536" s="2942">
        <f t="shared" si="318"/>
        <v>0</v>
      </c>
      <c r="BN536" s="2942">
        <f t="shared" si="319"/>
        <v>0</v>
      </c>
      <c r="BO536" s="2942">
        <f t="shared" si="320"/>
        <v>0</v>
      </c>
      <c r="BP536" s="2942">
        <f t="shared" si="321"/>
        <v>0</v>
      </c>
      <c r="BQ536" s="2942">
        <f t="shared" si="322"/>
        <v>0</v>
      </c>
      <c r="BR536" s="2942">
        <f t="shared" si="323"/>
        <v>0</v>
      </c>
      <c r="BS536" s="2942">
        <f t="shared" si="324"/>
        <v>0</v>
      </c>
      <c r="BT536" s="2994">
        <f t="shared" si="325"/>
        <v>0</v>
      </c>
    </row>
    <row r="537" spans="1:72">
      <c r="A537" s="2939"/>
      <c r="B537" s="2940"/>
      <c r="C537" s="2940"/>
      <c r="D537" s="2941"/>
      <c r="E537" s="2942">
        <f t="shared" si="297"/>
        <v>0</v>
      </c>
      <c r="F537" s="2943"/>
      <c r="G537" s="2944">
        <f t="shared" si="301"/>
        <v>0</v>
      </c>
      <c r="H537" s="2945">
        <f t="shared" si="302"/>
        <v>0</v>
      </c>
      <c r="I537" s="2952"/>
      <c r="J537" s="2952"/>
      <c r="K537" s="2952"/>
      <c r="L537" s="2952"/>
      <c r="M537" s="2952"/>
      <c r="N537" s="2952"/>
      <c r="O537" s="2952"/>
      <c r="P537" s="2952"/>
      <c r="Q537" s="2952"/>
      <c r="R537" s="2952"/>
      <c r="S537" s="2952"/>
      <c r="T537" s="2952"/>
      <c r="U537" s="2952"/>
      <c r="V537" s="2952"/>
      <c r="W537" s="2952"/>
      <c r="X537" s="2952"/>
      <c r="Y537" s="2952"/>
      <c r="Z537" s="2952"/>
      <c r="AA537" s="2952"/>
      <c r="AB537" s="2952"/>
      <c r="AC537" s="2942">
        <f t="shared" si="303"/>
        <v>0</v>
      </c>
      <c r="AD537" s="2962"/>
      <c r="AE537" s="2962"/>
      <c r="AF537" s="2962"/>
      <c r="AG537" s="2962"/>
      <c r="AH537" s="2962"/>
      <c r="AI537" s="2962"/>
      <c r="AJ537" s="2962"/>
      <c r="AK537" s="2962"/>
      <c r="AL537" s="2962"/>
      <c r="AM537" s="2962"/>
      <c r="AN537" s="2962"/>
      <c r="AO537" s="2962"/>
      <c r="AP537" s="2962"/>
      <c r="AQ537" s="2962"/>
      <c r="AR537" s="2962"/>
      <c r="AS537" s="2962"/>
      <c r="AT537" s="2972"/>
      <c r="AU537" s="2973"/>
      <c r="AV537" s="1120">
        <f t="shared" si="298"/>
        <v>0</v>
      </c>
      <c r="AW537" s="1120">
        <f t="shared" si="299"/>
        <v>0</v>
      </c>
      <c r="AX537" s="1120">
        <f t="shared" si="300"/>
        <v>0</v>
      </c>
      <c r="AY537" s="2987">
        <f t="shared" si="304"/>
        <v>0</v>
      </c>
      <c r="AZ537" s="2942">
        <f t="shared" si="305"/>
        <v>0</v>
      </c>
      <c r="BA537" s="2942">
        <f t="shared" si="306"/>
        <v>0</v>
      </c>
      <c r="BB537" s="2942">
        <f t="shared" si="307"/>
        <v>0</v>
      </c>
      <c r="BC537" s="2942">
        <f t="shared" si="308"/>
        <v>0</v>
      </c>
      <c r="BD537" s="2942">
        <f t="shared" si="309"/>
        <v>0</v>
      </c>
      <c r="BE537" s="2942">
        <f t="shared" si="310"/>
        <v>0</v>
      </c>
      <c r="BF537" s="2942">
        <f t="shared" si="311"/>
        <v>0</v>
      </c>
      <c r="BG537" s="2942">
        <f t="shared" si="312"/>
        <v>0</v>
      </c>
      <c r="BH537" s="2942">
        <f t="shared" si="313"/>
        <v>0</v>
      </c>
      <c r="BI537" s="2942">
        <f t="shared" si="314"/>
        <v>0</v>
      </c>
      <c r="BJ537" s="2942">
        <f t="shared" si="315"/>
        <v>0</v>
      </c>
      <c r="BK537" s="2942">
        <f t="shared" si="316"/>
        <v>0</v>
      </c>
      <c r="BL537" s="2942">
        <f t="shared" si="317"/>
        <v>0</v>
      </c>
      <c r="BM537" s="2942">
        <f t="shared" si="318"/>
        <v>0</v>
      </c>
      <c r="BN537" s="2942">
        <f t="shared" si="319"/>
        <v>0</v>
      </c>
      <c r="BO537" s="2942">
        <f t="shared" si="320"/>
        <v>0</v>
      </c>
      <c r="BP537" s="2942">
        <f t="shared" si="321"/>
        <v>0</v>
      </c>
      <c r="BQ537" s="2942">
        <f t="shared" si="322"/>
        <v>0</v>
      </c>
      <c r="BR537" s="2942">
        <f t="shared" si="323"/>
        <v>0</v>
      </c>
      <c r="BS537" s="2942">
        <f t="shared" si="324"/>
        <v>0</v>
      </c>
      <c r="BT537" s="2994">
        <f t="shared" si="325"/>
        <v>0</v>
      </c>
    </row>
    <row r="538" spans="1:72">
      <c r="A538" s="2939"/>
      <c r="B538" s="2940"/>
      <c r="C538" s="2940"/>
      <c r="D538" s="2941"/>
      <c r="E538" s="2942">
        <f t="shared" si="297"/>
        <v>0</v>
      </c>
      <c r="F538" s="2943"/>
      <c r="G538" s="2944">
        <f t="shared" si="301"/>
        <v>0</v>
      </c>
      <c r="H538" s="2945">
        <f t="shared" si="302"/>
        <v>0</v>
      </c>
      <c r="I538" s="2952"/>
      <c r="J538" s="2952"/>
      <c r="K538" s="2952"/>
      <c r="L538" s="2952"/>
      <c r="M538" s="2952"/>
      <c r="N538" s="2952"/>
      <c r="O538" s="2952"/>
      <c r="P538" s="2952"/>
      <c r="Q538" s="2952"/>
      <c r="R538" s="2952"/>
      <c r="S538" s="2952"/>
      <c r="T538" s="2952"/>
      <c r="U538" s="2952"/>
      <c r="V538" s="2952"/>
      <c r="W538" s="2952"/>
      <c r="X538" s="2952"/>
      <c r="Y538" s="2952"/>
      <c r="Z538" s="2952"/>
      <c r="AA538" s="2952"/>
      <c r="AB538" s="2952"/>
      <c r="AC538" s="2942">
        <f t="shared" si="303"/>
        <v>0</v>
      </c>
      <c r="AD538" s="2962"/>
      <c r="AE538" s="2962"/>
      <c r="AF538" s="2962"/>
      <c r="AG538" s="2962"/>
      <c r="AH538" s="2962"/>
      <c r="AI538" s="2962"/>
      <c r="AJ538" s="2962"/>
      <c r="AK538" s="2962"/>
      <c r="AL538" s="2962"/>
      <c r="AM538" s="2962"/>
      <c r="AN538" s="2962"/>
      <c r="AO538" s="2962"/>
      <c r="AP538" s="2962"/>
      <c r="AQ538" s="2962"/>
      <c r="AR538" s="2962"/>
      <c r="AS538" s="2962"/>
      <c r="AT538" s="2972"/>
      <c r="AU538" s="2973"/>
      <c r="AV538" s="1120">
        <f t="shared" si="298"/>
        <v>0</v>
      </c>
      <c r="AW538" s="1120">
        <f t="shared" si="299"/>
        <v>0</v>
      </c>
      <c r="AX538" s="1120">
        <f t="shared" si="300"/>
        <v>0</v>
      </c>
      <c r="AY538" s="2987">
        <f t="shared" si="304"/>
        <v>0</v>
      </c>
      <c r="AZ538" s="2942">
        <f t="shared" si="305"/>
        <v>0</v>
      </c>
      <c r="BA538" s="2942">
        <f t="shared" si="306"/>
        <v>0</v>
      </c>
      <c r="BB538" s="2942">
        <f t="shared" si="307"/>
        <v>0</v>
      </c>
      <c r="BC538" s="2942">
        <f t="shared" si="308"/>
        <v>0</v>
      </c>
      <c r="BD538" s="2942">
        <f t="shared" si="309"/>
        <v>0</v>
      </c>
      <c r="BE538" s="2942">
        <f t="shared" si="310"/>
        <v>0</v>
      </c>
      <c r="BF538" s="2942">
        <f t="shared" si="311"/>
        <v>0</v>
      </c>
      <c r="BG538" s="2942">
        <f t="shared" si="312"/>
        <v>0</v>
      </c>
      <c r="BH538" s="2942">
        <f t="shared" si="313"/>
        <v>0</v>
      </c>
      <c r="BI538" s="2942">
        <f t="shared" si="314"/>
        <v>0</v>
      </c>
      <c r="BJ538" s="2942">
        <f t="shared" si="315"/>
        <v>0</v>
      </c>
      <c r="BK538" s="2942">
        <f t="shared" si="316"/>
        <v>0</v>
      </c>
      <c r="BL538" s="2942">
        <f t="shared" si="317"/>
        <v>0</v>
      </c>
      <c r="BM538" s="2942">
        <f t="shared" si="318"/>
        <v>0</v>
      </c>
      <c r="BN538" s="2942">
        <f t="shared" si="319"/>
        <v>0</v>
      </c>
      <c r="BO538" s="2942">
        <f t="shared" si="320"/>
        <v>0</v>
      </c>
      <c r="BP538" s="2942">
        <f t="shared" si="321"/>
        <v>0</v>
      </c>
      <c r="BQ538" s="2942">
        <f t="shared" si="322"/>
        <v>0</v>
      </c>
      <c r="BR538" s="2942">
        <f t="shared" si="323"/>
        <v>0</v>
      </c>
      <c r="BS538" s="2942">
        <f t="shared" si="324"/>
        <v>0</v>
      </c>
      <c r="BT538" s="2994">
        <f t="shared" si="325"/>
        <v>0</v>
      </c>
    </row>
    <row r="539" spans="1:72">
      <c r="A539" s="2939"/>
      <c r="B539" s="2940"/>
      <c r="C539" s="2940"/>
      <c r="D539" s="2941"/>
      <c r="E539" s="2942">
        <f t="shared" si="297"/>
        <v>0</v>
      </c>
      <c r="F539" s="2943"/>
      <c r="G539" s="2944">
        <f t="shared" si="301"/>
        <v>0</v>
      </c>
      <c r="H539" s="2945">
        <f t="shared" si="302"/>
        <v>0</v>
      </c>
      <c r="I539" s="2952"/>
      <c r="J539" s="2952"/>
      <c r="K539" s="2952"/>
      <c r="L539" s="2952"/>
      <c r="M539" s="2952"/>
      <c r="N539" s="2952"/>
      <c r="O539" s="2952"/>
      <c r="P539" s="2952"/>
      <c r="Q539" s="2952"/>
      <c r="R539" s="2952"/>
      <c r="S539" s="2952"/>
      <c r="T539" s="2952"/>
      <c r="U539" s="2952"/>
      <c r="V539" s="2952"/>
      <c r="W539" s="2952"/>
      <c r="X539" s="2952"/>
      <c r="Y539" s="2952"/>
      <c r="Z539" s="2952"/>
      <c r="AA539" s="2952"/>
      <c r="AB539" s="2952"/>
      <c r="AC539" s="2942">
        <f t="shared" si="303"/>
        <v>0</v>
      </c>
      <c r="AD539" s="2962"/>
      <c r="AE539" s="2962"/>
      <c r="AF539" s="2962"/>
      <c r="AG539" s="2962"/>
      <c r="AH539" s="2962"/>
      <c r="AI539" s="2962"/>
      <c r="AJ539" s="2962"/>
      <c r="AK539" s="2962"/>
      <c r="AL539" s="2962"/>
      <c r="AM539" s="2962"/>
      <c r="AN539" s="2962"/>
      <c r="AO539" s="2962"/>
      <c r="AP539" s="2962"/>
      <c r="AQ539" s="2962"/>
      <c r="AR539" s="2962"/>
      <c r="AS539" s="2962"/>
      <c r="AT539" s="2972"/>
      <c r="AU539" s="2973"/>
      <c r="AV539" s="1120">
        <f t="shared" si="298"/>
        <v>0</v>
      </c>
      <c r="AW539" s="1120">
        <f t="shared" si="299"/>
        <v>0</v>
      </c>
      <c r="AX539" s="1120">
        <f t="shared" si="300"/>
        <v>0</v>
      </c>
      <c r="AY539" s="2987">
        <f t="shared" si="304"/>
        <v>0</v>
      </c>
      <c r="AZ539" s="2942">
        <f t="shared" si="305"/>
        <v>0</v>
      </c>
      <c r="BA539" s="2942">
        <f t="shared" si="306"/>
        <v>0</v>
      </c>
      <c r="BB539" s="2942">
        <f t="shared" si="307"/>
        <v>0</v>
      </c>
      <c r="BC539" s="2942">
        <f t="shared" si="308"/>
        <v>0</v>
      </c>
      <c r="BD539" s="2942">
        <f t="shared" si="309"/>
        <v>0</v>
      </c>
      <c r="BE539" s="2942">
        <f t="shared" si="310"/>
        <v>0</v>
      </c>
      <c r="BF539" s="2942">
        <f t="shared" si="311"/>
        <v>0</v>
      </c>
      <c r="BG539" s="2942">
        <f t="shared" si="312"/>
        <v>0</v>
      </c>
      <c r="BH539" s="2942">
        <f t="shared" si="313"/>
        <v>0</v>
      </c>
      <c r="BI539" s="2942">
        <f t="shared" si="314"/>
        <v>0</v>
      </c>
      <c r="BJ539" s="2942">
        <f t="shared" si="315"/>
        <v>0</v>
      </c>
      <c r="BK539" s="2942">
        <f t="shared" si="316"/>
        <v>0</v>
      </c>
      <c r="BL539" s="2942">
        <f t="shared" si="317"/>
        <v>0</v>
      </c>
      <c r="BM539" s="2942">
        <f t="shared" si="318"/>
        <v>0</v>
      </c>
      <c r="BN539" s="2942">
        <f t="shared" si="319"/>
        <v>0</v>
      </c>
      <c r="BO539" s="2942">
        <f t="shared" si="320"/>
        <v>0</v>
      </c>
      <c r="BP539" s="2942">
        <f t="shared" si="321"/>
        <v>0</v>
      </c>
      <c r="BQ539" s="2942">
        <f t="shared" si="322"/>
        <v>0</v>
      </c>
      <c r="BR539" s="2942">
        <f t="shared" si="323"/>
        <v>0</v>
      </c>
      <c r="BS539" s="2942">
        <f t="shared" si="324"/>
        <v>0</v>
      </c>
      <c r="BT539" s="2994">
        <f t="shared" si="325"/>
        <v>0</v>
      </c>
    </row>
    <row r="540" spans="1:72">
      <c r="A540" s="2939"/>
      <c r="B540" s="2940"/>
      <c r="C540" s="2940"/>
      <c r="D540" s="2941"/>
      <c r="E540" s="2942">
        <f t="shared" si="297"/>
        <v>0</v>
      </c>
      <c r="F540" s="2943"/>
      <c r="G540" s="2944">
        <f t="shared" si="301"/>
        <v>0</v>
      </c>
      <c r="H540" s="2945">
        <f t="shared" si="302"/>
        <v>0</v>
      </c>
      <c r="I540" s="2952"/>
      <c r="J540" s="2952"/>
      <c r="K540" s="2952"/>
      <c r="L540" s="2952"/>
      <c r="M540" s="2952"/>
      <c r="N540" s="2952"/>
      <c r="O540" s="2952"/>
      <c r="P540" s="2952"/>
      <c r="Q540" s="2952"/>
      <c r="R540" s="2952"/>
      <c r="S540" s="2952"/>
      <c r="T540" s="2952"/>
      <c r="U540" s="2952"/>
      <c r="V540" s="2952"/>
      <c r="W540" s="2952"/>
      <c r="X540" s="2952"/>
      <c r="Y540" s="2952"/>
      <c r="Z540" s="2952"/>
      <c r="AA540" s="2952"/>
      <c r="AB540" s="2952"/>
      <c r="AC540" s="2942">
        <f t="shared" si="303"/>
        <v>0</v>
      </c>
      <c r="AD540" s="2962"/>
      <c r="AE540" s="2962"/>
      <c r="AF540" s="2962"/>
      <c r="AG540" s="2962"/>
      <c r="AH540" s="2962"/>
      <c r="AI540" s="2962"/>
      <c r="AJ540" s="2962"/>
      <c r="AK540" s="2962"/>
      <c r="AL540" s="2962"/>
      <c r="AM540" s="2962"/>
      <c r="AN540" s="2962"/>
      <c r="AO540" s="2962"/>
      <c r="AP540" s="2962"/>
      <c r="AQ540" s="2962"/>
      <c r="AR540" s="2962"/>
      <c r="AS540" s="2962"/>
      <c r="AT540" s="2972"/>
      <c r="AU540" s="2973"/>
      <c r="AV540" s="1120">
        <f t="shared" si="298"/>
        <v>0</v>
      </c>
      <c r="AW540" s="1120">
        <f t="shared" si="299"/>
        <v>0</v>
      </c>
      <c r="AX540" s="1120">
        <f t="shared" si="300"/>
        <v>0</v>
      </c>
      <c r="AY540" s="2987">
        <f t="shared" si="304"/>
        <v>0</v>
      </c>
      <c r="AZ540" s="2942">
        <f t="shared" si="305"/>
        <v>0</v>
      </c>
      <c r="BA540" s="2942">
        <f t="shared" si="306"/>
        <v>0</v>
      </c>
      <c r="BB540" s="2942">
        <f t="shared" si="307"/>
        <v>0</v>
      </c>
      <c r="BC540" s="2942">
        <f t="shared" si="308"/>
        <v>0</v>
      </c>
      <c r="BD540" s="2942">
        <f t="shared" si="309"/>
        <v>0</v>
      </c>
      <c r="BE540" s="2942">
        <f t="shared" si="310"/>
        <v>0</v>
      </c>
      <c r="BF540" s="2942">
        <f t="shared" si="311"/>
        <v>0</v>
      </c>
      <c r="BG540" s="2942">
        <f t="shared" si="312"/>
        <v>0</v>
      </c>
      <c r="BH540" s="2942">
        <f t="shared" si="313"/>
        <v>0</v>
      </c>
      <c r="BI540" s="2942">
        <f t="shared" si="314"/>
        <v>0</v>
      </c>
      <c r="BJ540" s="2942">
        <f t="shared" si="315"/>
        <v>0</v>
      </c>
      <c r="BK540" s="2942">
        <f t="shared" si="316"/>
        <v>0</v>
      </c>
      <c r="BL540" s="2942">
        <f t="shared" si="317"/>
        <v>0</v>
      </c>
      <c r="BM540" s="2942">
        <f t="shared" si="318"/>
        <v>0</v>
      </c>
      <c r="BN540" s="2942">
        <f t="shared" si="319"/>
        <v>0</v>
      </c>
      <c r="BO540" s="2942">
        <f t="shared" si="320"/>
        <v>0</v>
      </c>
      <c r="BP540" s="2942">
        <f t="shared" si="321"/>
        <v>0</v>
      </c>
      <c r="BQ540" s="2942">
        <f t="shared" si="322"/>
        <v>0</v>
      </c>
      <c r="BR540" s="2942">
        <f t="shared" si="323"/>
        <v>0</v>
      </c>
      <c r="BS540" s="2942">
        <f t="shared" si="324"/>
        <v>0</v>
      </c>
      <c r="BT540" s="2994">
        <f t="shared" si="325"/>
        <v>0</v>
      </c>
    </row>
    <row r="541" spans="1:72">
      <c r="A541" s="2939"/>
      <c r="B541" s="2940"/>
      <c r="C541" s="2940"/>
      <c r="D541" s="2941"/>
      <c r="E541" s="2942">
        <f t="shared" si="297"/>
        <v>0</v>
      </c>
      <c r="F541" s="2943"/>
      <c r="G541" s="2944">
        <f t="shared" si="301"/>
        <v>0</v>
      </c>
      <c r="H541" s="2945">
        <f t="shared" si="302"/>
        <v>0</v>
      </c>
      <c r="I541" s="2952"/>
      <c r="J541" s="2952"/>
      <c r="K541" s="2952"/>
      <c r="L541" s="2952"/>
      <c r="M541" s="2952"/>
      <c r="N541" s="2952"/>
      <c r="O541" s="2952"/>
      <c r="P541" s="2952"/>
      <c r="Q541" s="2952"/>
      <c r="R541" s="2952"/>
      <c r="S541" s="2952"/>
      <c r="T541" s="2952"/>
      <c r="U541" s="2952"/>
      <c r="V541" s="2952"/>
      <c r="W541" s="2952"/>
      <c r="X541" s="2952"/>
      <c r="Y541" s="2952"/>
      <c r="Z541" s="2952"/>
      <c r="AA541" s="2952"/>
      <c r="AB541" s="2952"/>
      <c r="AC541" s="2942">
        <f t="shared" si="303"/>
        <v>0</v>
      </c>
      <c r="AD541" s="2962"/>
      <c r="AE541" s="2962"/>
      <c r="AF541" s="2962"/>
      <c r="AG541" s="2962"/>
      <c r="AH541" s="2962"/>
      <c r="AI541" s="2962"/>
      <c r="AJ541" s="2962"/>
      <c r="AK541" s="2962"/>
      <c r="AL541" s="2962"/>
      <c r="AM541" s="2962"/>
      <c r="AN541" s="2962"/>
      <c r="AO541" s="2962"/>
      <c r="AP541" s="2962"/>
      <c r="AQ541" s="2962"/>
      <c r="AR541" s="2962"/>
      <c r="AS541" s="2962"/>
      <c r="AT541" s="2972"/>
      <c r="AU541" s="2973"/>
      <c r="AV541" s="1120">
        <f t="shared" si="298"/>
        <v>0</v>
      </c>
      <c r="AW541" s="1120">
        <f t="shared" si="299"/>
        <v>0</v>
      </c>
      <c r="AX541" s="1120">
        <f t="shared" si="300"/>
        <v>0</v>
      </c>
      <c r="AY541" s="2987">
        <f t="shared" si="304"/>
        <v>0</v>
      </c>
      <c r="AZ541" s="2942">
        <f t="shared" si="305"/>
        <v>0</v>
      </c>
      <c r="BA541" s="2942">
        <f t="shared" si="306"/>
        <v>0</v>
      </c>
      <c r="BB541" s="2942">
        <f t="shared" si="307"/>
        <v>0</v>
      </c>
      <c r="BC541" s="2942">
        <f t="shared" si="308"/>
        <v>0</v>
      </c>
      <c r="BD541" s="2942">
        <f t="shared" si="309"/>
        <v>0</v>
      </c>
      <c r="BE541" s="2942">
        <f t="shared" si="310"/>
        <v>0</v>
      </c>
      <c r="BF541" s="2942">
        <f t="shared" si="311"/>
        <v>0</v>
      </c>
      <c r="BG541" s="2942">
        <f t="shared" si="312"/>
        <v>0</v>
      </c>
      <c r="BH541" s="2942">
        <f t="shared" si="313"/>
        <v>0</v>
      </c>
      <c r="BI541" s="2942">
        <f t="shared" si="314"/>
        <v>0</v>
      </c>
      <c r="BJ541" s="2942">
        <f t="shared" si="315"/>
        <v>0</v>
      </c>
      <c r="BK541" s="2942">
        <f t="shared" si="316"/>
        <v>0</v>
      </c>
      <c r="BL541" s="2942">
        <f t="shared" si="317"/>
        <v>0</v>
      </c>
      <c r="BM541" s="2942">
        <f t="shared" si="318"/>
        <v>0</v>
      </c>
      <c r="BN541" s="2942">
        <f t="shared" si="319"/>
        <v>0</v>
      </c>
      <c r="BO541" s="2942">
        <f t="shared" si="320"/>
        <v>0</v>
      </c>
      <c r="BP541" s="2942">
        <f t="shared" si="321"/>
        <v>0</v>
      </c>
      <c r="BQ541" s="2942">
        <f t="shared" si="322"/>
        <v>0</v>
      </c>
      <c r="BR541" s="2942">
        <f t="shared" si="323"/>
        <v>0</v>
      </c>
      <c r="BS541" s="2942">
        <f t="shared" si="324"/>
        <v>0</v>
      </c>
      <c r="BT541" s="2994">
        <f t="shared" si="325"/>
        <v>0</v>
      </c>
    </row>
    <row r="542" spans="1:72">
      <c r="A542" s="2939"/>
      <c r="B542" s="2940"/>
      <c r="C542" s="2940"/>
      <c r="D542" s="2941"/>
      <c r="E542" s="2942">
        <f t="shared" si="297"/>
        <v>0</v>
      </c>
      <c r="F542" s="2943"/>
      <c r="G542" s="2944">
        <f t="shared" si="301"/>
        <v>0</v>
      </c>
      <c r="H542" s="2945">
        <f t="shared" si="302"/>
        <v>0</v>
      </c>
      <c r="I542" s="2952"/>
      <c r="J542" s="2952"/>
      <c r="K542" s="2952"/>
      <c r="L542" s="2952"/>
      <c r="M542" s="2952"/>
      <c r="N542" s="2952"/>
      <c r="O542" s="2952"/>
      <c r="P542" s="2952"/>
      <c r="Q542" s="2952"/>
      <c r="R542" s="2952"/>
      <c r="S542" s="2952"/>
      <c r="T542" s="2952"/>
      <c r="U542" s="2952"/>
      <c r="V542" s="2952"/>
      <c r="W542" s="2952"/>
      <c r="X542" s="2952"/>
      <c r="Y542" s="2952"/>
      <c r="Z542" s="2952"/>
      <c r="AA542" s="2952"/>
      <c r="AB542" s="2952"/>
      <c r="AC542" s="2942">
        <f t="shared" si="303"/>
        <v>0</v>
      </c>
      <c r="AD542" s="2962"/>
      <c r="AE542" s="2962"/>
      <c r="AF542" s="2962"/>
      <c r="AG542" s="2962"/>
      <c r="AH542" s="2962"/>
      <c r="AI542" s="2962"/>
      <c r="AJ542" s="2962"/>
      <c r="AK542" s="2962"/>
      <c r="AL542" s="2962"/>
      <c r="AM542" s="2962"/>
      <c r="AN542" s="2962"/>
      <c r="AO542" s="2962"/>
      <c r="AP542" s="2962"/>
      <c r="AQ542" s="2962"/>
      <c r="AR542" s="2962"/>
      <c r="AS542" s="2962"/>
      <c r="AT542" s="2972"/>
      <c r="AU542" s="2973"/>
      <c r="AV542" s="1120">
        <f t="shared" si="298"/>
        <v>0</v>
      </c>
      <c r="AW542" s="1120">
        <f t="shared" si="299"/>
        <v>0</v>
      </c>
      <c r="AX542" s="1120">
        <f t="shared" si="300"/>
        <v>0</v>
      </c>
      <c r="AY542" s="2987">
        <f t="shared" si="304"/>
        <v>0</v>
      </c>
      <c r="AZ542" s="2942">
        <f t="shared" si="305"/>
        <v>0</v>
      </c>
      <c r="BA542" s="2942">
        <f t="shared" si="306"/>
        <v>0</v>
      </c>
      <c r="BB542" s="2942">
        <f t="shared" si="307"/>
        <v>0</v>
      </c>
      <c r="BC542" s="2942">
        <f t="shared" si="308"/>
        <v>0</v>
      </c>
      <c r="BD542" s="2942">
        <f t="shared" si="309"/>
        <v>0</v>
      </c>
      <c r="BE542" s="2942">
        <f t="shared" si="310"/>
        <v>0</v>
      </c>
      <c r="BF542" s="2942">
        <f t="shared" si="311"/>
        <v>0</v>
      </c>
      <c r="BG542" s="2942">
        <f t="shared" si="312"/>
        <v>0</v>
      </c>
      <c r="BH542" s="2942">
        <f t="shared" si="313"/>
        <v>0</v>
      </c>
      <c r="BI542" s="2942">
        <f t="shared" si="314"/>
        <v>0</v>
      </c>
      <c r="BJ542" s="2942">
        <f t="shared" si="315"/>
        <v>0</v>
      </c>
      <c r="BK542" s="2942">
        <f t="shared" si="316"/>
        <v>0</v>
      </c>
      <c r="BL542" s="2942">
        <f t="shared" si="317"/>
        <v>0</v>
      </c>
      <c r="BM542" s="2942">
        <f t="shared" si="318"/>
        <v>0</v>
      </c>
      <c r="BN542" s="2942">
        <f t="shared" si="319"/>
        <v>0</v>
      </c>
      <c r="BO542" s="2942">
        <f t="shared" si="320"/>
        <v>0</v>
      </c>
      <c r="BP542" s="2942">
        <f t="shared" si="321"/>
        <v>0</v>
      </c>
      <c r="BQ542" s="2942">
        <f t="shared" si="322"/>
        <v>0</v>
      </c>
      <c r="BR542" s="2942">
        <f t="shared" si="323"/>
        <v>0</v>
      </c>
      <c r="BS542" s="2942">
        <f t="shared" si="324"/>
        <v>0</v>
      </c>
      <c r="BT542" s="2994">
        <f t="shared" si="325"/>
        <v>0</v>
      </c>
    </row>
    <row r="543" spans="1:72">
      <c r="A543" s="2939"/>
      <c r="B543" s="2940"/>
      <c r="C543" s="2940"/>
      <c r="D543" s="2941"/>
      <c r="E543" s="2942">
        <f t="shared" si="297"/>
        <v>0</v>
      </c>
      <c r="F543" s="2943"/>
      <c r="G543" s="2944">
        <f t="shared" si="301"/>
        <v>0</v>
      </c>
      <c r="H543" s="2945">
        <f t="shared" si="302"/>
        <v>0</v>
      </c>
      <c r="I543" s="2952"/>
      <c r="J543" s="2952"/>
      <c r="K543" s="2952"/>
      <c r="L543" s="2952"/>
      <c r="M543" s="2952"/>
      <c r="N543" s="2952"/>
      <c r="O543" s="2952"/>
      <c r="P543" s="2952"/>
      <c r="Q543" s="2952"/>
      <c r="R543" s="2952"/>
      <c r="S543" s="2952"/>
      <c r="T543" s="2952"/>
      <c r="U543" s="2952"/>
      <c r="V543" s="2952"/>
      <c r="W543" s="2952"/>
      <c r="X543" s="2952"/>
      <c r="Y543" s="2952"/>
      <c r="Z543" s="2952"/>
      <c r="AA543" s="2952"/>
      <c r="AB543" s="2952"/>
      <c r="AC543" s="2942">
        <f t="shared" si="303"/>
        <v>0</v>
      </c>
      <c r="AD543" s="2962"/>
      <c r="AE543" s="2962"/>
      <c r="AF543" s="2962"/>
      <c r="AG543" s="2962"/>
      <c r="AH543" s="2962"/>
      <c r="AI543" s="2962"/>
      <c r="AJ543" s="2962"/>
      <c r="AK543" s="2962"/>
      <c r="AL543" s="2962"/>
      <c r="AM543" s="2962"/>
      <c r="AN543" s="2962"/>
      <c r="AO543" s="2962"/>
      <c r="AP543" s="2962"/>
      <c r="AQ543" s="2962"/>
      <c r="AR543" s="2962"/>
      <c r="AS543" s="2962"/>
      <c r="AT543" s="2972"/>
      <c r="AU543" s="2973"/>
      <c r="AV543" s="1120">
        <f t="shared" si="298"/>
        <v>0</v>
      </c>
      <c r="AW543" s="1120">
        <f t="shared" si="299"/>
        <v>0</v>
      </c>
      <c r="AX543" s="1120">
        <f t="shared" si="300"/>
        <v>0</v>
      </c>
      <c r="AY543" s="2987">
        <f t="shared" si="304"/>
        <v>0</v>
      </c>
      <c r="AZ543" s="2942">
        <f t="shared" si="305"/>
        <v>0</v>
      </c>
      <c r="BA543" s="2942">
        <f t="shared" si="306"/>
        <v>0</v>
      </c>
      <c r="BB543" s="2942">
        <f t="shared" si="307"/>
        <v>0</v>
      </c>
      <c r="BC543" s="2942">
        <f t="shared" si="308"/>
        <v>0</v>
      </c>
      <c r="BD543" s="2942">
        <f t="shared" si="309"/>
        <v>0</v>
      </c>
      <c r="BE543" s="2942">
        <f t="shared" si="310"/>
        <v>0</v>
      </c>
      <c r="BF543" s="2942">
        <f t="shared" si="311"/>
        <v>0</v>
      </c>
      <c r="BG543" s="2942">
        <f t="shared" si="312"/>
        <v>0</v>
      </c>
      <c r="BH543" s="2942">
        <f t="shared" si="313"/>
        <v>0</v>
      </c>
      <c r="BI543" s="2942">
        <f t="shared" si="314"/>
        <v>0</v>
      </c>
      <c r="BJ543" s="2942">
        <f t="shared" si="315"/>
        <v>0</v>
      </c>
      <c r="BK543" s="2942">
        <f t="shared" si="316"/>
        <v>0</v>
      </c>
      <c r="BL543" s="2942">
        <f t="shared" si="317"/>
        <v>0</v>
      </c>
      <c r="BM543" s="2942">
        <f t="shared" si="318"/>
        <v>0</v>
      </c>
      <c r="BN543" s="2942">
        <f t="shared" si="319"/>
        <v>0</v>
      </c>
      <c r="BO543" s="2942">
        <f t="shared" si="320"/>
        <v>0</v>
      </c>
      <c r="BP543" s="2942">
        <f t="shared" si="321"/>
        <v>0</v>
      </c>
      <c r="BQ543" s="2942">
        <f t="shared" si="322"/>
        <v>0</v>
      </c>
      <c r="BR543" s="2942">
        <f t="shared" si="323"/>
        <v>0</v>
      </c>
      <c r="BS543" s="2942">
        <f t="shared" si="324"/>
        <v>0</v>
      </c>
      <c r="BT543" s="2994">
        <f t="shared" si="325"/>
        <v>0</v>
      </c>
    </row>
    <row r="544" spans="1:72">
      <c r="A544" s="2939"/>
      <c r="B544" s="2940"/>
      <c r="C544" s="2940"/>
      <c r="D544" s="2941"/>
      <c r="E544" s="2942">
        <f t="shared" si="297"/>
        <v>0</v>
      </c>
      <c r="F544" s="2943"/>
      <c r="G544" s="2944">
        <f t="shared" si="301"/>
        <v>0</v>
      </c>
      <c r="H544" s="2945">
        <f t="shared" si="302"/>
        <v>0</v>
      </c>
      <c r="I544" s="2952"/>
      <c r="J544" s="2952"/>
      <c r="K544" s="2952"/>
      <c r="L544" s="2952"/>
      <c r="M544" s="2952"/>
      <c r="N544" s="2952"/>
      <c r="O544" s="2952"/>
      <c r="P544" s="2952"/>
      <c r="Q544" s="2952"/>
      <c r="R544" s="2952"/>
      <c r="S544" s="2952"/>
      <c r="T544" s="2952"/>
      <c r="U544" s="2952"/>
      <c r="V544" s="2952"/>
      <c r="W544" s="2952"/>
      <c r="X544" s="2952"/>
      <c r="Y544" s="2952"/>
      <c r="Z544" s="2952"/>
      <c r="AA544" s="2952"/>
      <c r="AB544" s="2952"/>
      <c r="AC544" s="2942">
        <f t="shared" si="303"/>
        <v>0</v>
      </c>
      <c r="AD544" s="2962"/>
      <c r="AE544" s="2962"/>
      <c r="AF544" s="2962"/>
      <c r="AG544" s="2962"/>
      <c r="AH544" s="2962"/>
      <c r="AI544" s="2962"/>
      <c r="AJ544" s="2962"/>
      <c r="AK544" s="2962"/>
      <c r="AL544" s="2962"/>
      <c r="AM544" s="2962"/>
      <c r="AN544" s="2962"/>
      <c r="AO544" s="2962"/>
      <c r="AP544" s="2962"/>
      <c r="AQ544" s="2962"/>
      <c r="AR544" s="2962"/>
      <c r="AS544" s="2962"/>
      <c r="AT544" s="2972"/>
      <c r="AU544" s="2973"/>
      <c r="AV544" s="1120">
        <f t="shared" si="298"/>
        <v>0</v>
      </c>
      <c r="AW544" s="1120">
        <f t="shared" si="299"/>
        <v>0</v>
      </c>
      <c r="AX544" s="1120">
        <f t="shared" si="300"/>
        <v>0</v>
      </c>
      <c r="AY544" s="2987">
        <f t="shared" si="304"/>
        <v>0</v>
      </c>
      <c r="AZ544" s="2942">
        <f t="shared" si="305"/>
        <v>0</v>
      </c>
      <c r="BA544" s="2942">
        <f t="shared" si="306"/>
        <v>0</v>
      </c>
      <c r="BB544" s="2942">
        <f t="shared" si="307"/>
        <v>0</v>
      </c>
      <c r="BC544" s="2942">
        <f t="shared" si="308"/>
        <v>0</v>
      </c>
      <c r="BD544" s="2942">
        <f t="shared" si="309"/>
        <v>0</v>
      </c>
      <c r="BE544" s="2942">
        <f t="shared" si="310"/>
        <v>0</v>
      </c>
      <c r="BF544" s="2942">
        <f t="shared" si="311"/>
        <v>0</v>
      </c>
      <c r="BG544" s="2942">
        <f t="shared" si="312"/>
        <v>0</v>
      </c>
      <c r="BH544" s="2942">
        <f t="shared" si="313"/>
        <v>0</v>
      </c>
      <c r="BI544" s="2942">
        <f t="shared" si="314"/>
        <v>0</v>
      </c>
      <c r="BJ544" s="2942">
        <f t="shared" si="315"/>
        <v>0</v>
      </c>
      <c r="BK544" s="2942">
        <f t="shared" si="316"/>
        <v>0</v>
      </c>
      <c r="BL544" s="2942">
        <f t="shared" si="317"/>
        <v>0</v>
      </c>
      <c r="BM544" s="2942">
        <f t="shared" si="318"/>
        <v>0</v>
      </c>
      <c r="BN544" s="2942">
        <f t="shared" si="319"/>
        <v>0</v>
      </c>
      <c r="BO544" s="2942">
        <f t="shared" si="320"/>
        <v>0</v>
      </c>
      <c r="BP544" s="2942">
        <f t="shared" si="321"/>
        <v>0</v>
      </c>
      <c r="BQ544" s="2942">
        <f t="shared" si="322"/>
        <v>0</v>
      </c>
      <c r="BR544" s="2942">
        <f t="shared" si="323"/>
        <v>0</v>
      </c>
      <c r="BS544" s="2942">
        <f t="shared" si="324"/>
        <v>0</v>
      </c>
      <c r="BT544" s="2994">
        <f t="shared" si="325"/>
        <v>0</v>
      </c>
    </row>
    <row r="545" spans="1:72">
      <c r="A545" s="2939"/>
      <c r="B545" s="2940"/>
      <c r="C545" s="2940"/>
      <c r="D545" s="2941"/>
      <c r="E545" s="2942">
        <f t="shared" si="297"/>
        <v>0</v>
      </c>
      <c r="F545" s="2943"/>
      <c r="G545" s="2944">
        <f t="shared" si="301"/>
        <v>0</v>
      </c>
      <c r="H545" s="2945">
        <f t="shared" si="302"/>
        <v>0</v>
      </c>
      <c r="I545" s="2952"/>
      <c r="J545" s="2952"/>
      <c r="K545" s="2952"/>
      <c r="L545" s="2952"/>
      <c r="M545" s="2952"/>
      <c r="N545" s="2952"/>
      <c r="O545" s="2952"/>
      <c r="P545" s="2952"/>
      <c r="Q545" s="2952"/>
      <c r="R545" s="2952"/>
      <c r="S545" s="2952"/>
      <c r="T545" s="2952"/>
      <c r="U545" s="2952"/>
      <c r="V545" s="2952"/>
      <c r="W545" s="2952"/>
      <c r="X545" s="2952"/>
      <c r="Y545" s="2952"/>
      <c r="Z545" s="2952"/>
      <c r="AA545" s="2952"/>
      <c r="AB545" s="2952"/>
      <c r="AC545" s="2942">
        <f t="shared" si="303"/>
        <v>0</v>
      </c>
      <c r="AD545" s="2962"/>
      <c r="AE545" s="2962"/>
      <c r="AF545" s="2962"/>
      <c r="AG545" s="2962"/>
      <c r="AH545" s="2962"/>
      <c r="AI545" s="2962"/>
      <c r="AJ545" s="2962"/>
      <c r="AK545" s="2962"/>
      <c r="AL545" s="2962"/>
      <c r="AM545" s="2962"/>
      <c r="AN545" s="2962"/>
      <c r="AO545" s="2962"/>
      <c r="AP545" s="2962"/>
      <c r="AQ545" s="2962"/>
      <c r="AR545" s="2962"/>
      <c r="AS545" s="2962"/>
      <c r="AT545" s="2972"/>
      <c r="AU545" s="2973"/>
      <c r="AV545" s="1120">
        <f t="shared" si="298"/>
        <v>0</v>
      </c>
      <c r="AW545" s="1120">
        <f t="shared" si="299"/>
        <v>0</v>
      </c>
      <c r="AX545" s="1120">
        <f t="shared" si="300"/>
        <v>0</v>
      </c>
      <c r="AY545" s="2987">
        <f t="shared" si="304"/>
        <v>0</v>
      </c>
      <c r="AZ545" s="2942">
        <f t="shared" si="305"/>
        <v>0</v>
      </c>
      <c r="BA545" s="2942">
        <f t="shared" si="306"/>
        <v>0</v>
      </c>
      <c r="BB545" s="2942">
        <f t="shared" si="307"/>
        <v>0</v>
      </c>
      <c r="BC545" s="2942">
        <f t="shared" si="308"/>
        <v>0</v>
      </c>
      <c r="BD545" s="2942">
        <f t="shared" si="309"/>
        <v>0</v>
      </c>
      <c r="BE545" s="2942">
        <f t="shared" si="310"/>
        <v>0</v>
      </c>
      <c r="BF545" s="2942">
        <f t="shared" si="311"/>
        <v>0</v>
      </c>
      <c r="BG545" s="2942">
        <f t="shared" si="312"/>
        <v>0</v>
      </c>
      <c r="BH545" s="2942">
        <f t="shared" si="313"/>
        <v>0</v>
      </c>
      <c r="BI545" s="2942">
        <f t="shared" si="314"/>
        <v>0</v>
      </c>
      <c r="BJ545" s="2942">
        <f t="shared" si="315"/>
        <v>0</v>
      </c>
      <c r="BK545" s="2942">
        <f t="shared" si="316"/>
        <v>0</v>
      </c>
      <c r="BL545" s="2942">
        <f t="shared" si="317"/>
        <v>0</v>
      </c>
      <c r="BM545" s="2942">
        <f t="shared" si="318"/>
        <v>0</v>
      </c>
      <c r="BN545" s="2942">
        <f t="shared" si="319"/>
        <v>0</v>
      </c>
      <c r="BO545" s="2942">
        <f t="shared" si="320"/>
        <v>0</v>
      </c>
      <c r="BP545" s="2942">
        <f t="shared" si="321"/>
        <v>0</v>
      </c>
      <c r="BQ545" s="2942">
        <f t="shared" si="322"/>
        <v>0</v>
      </c>
      <c r="BR545" s="2942">
        <f t="shared" si="323"/>
        <v>0</v>
      </c>
      <c r="BS545" s="2942">
        <f t="shared" si="324"/>
        <v>0</v>
      </c>
      <c r="BT545" s="2994">
        <f t="shared" si="325"/>
        <v>0</v>
      </c>
    </row>
    <row r="546" spans="1:72">
      <c r="A546" s="2939"/>
      <c r="B546" s="2940"/>
      <c r="C546" s="2940"/>
      <c r="D546" s="2941"/>
      <c r="E546" s="2942">
        <f t="shared" si="297"/>
        <v>0</v>
      </c>
      <c r="F546" s="2943"/>
      <c r="G546" s="2944">
        <f t="shared" si="301"/>
        <v>0</v>
      </c>
      <c r="H546" s="2945">
        <f t="shared" si="302"/>
        <v>0</v>
      </c>
      <c r="I546" s="2952"/>
      <c r="J546" s="2952"/>
      <c r="K546" s="2952"/>
      <c r="L546" s="2952"/>
      <c r="M546" s="2952"/>
      <c r="N546" s="2952"/>
      <c r="O546" s="2952"/>
      <c r="P546" s="2952"/>
      <c r="Q546" s="2952"/>
      <c r="R546" s="2952"/>
      <c r="S546" s="2952"/>
      <c r="T546" s="2952"/>
      <c r="U546" s="2952"/>
      <c r="V546" s="2952"/>
      <c r="W546" s="2952"/>
      <c r="X546" s="2952"/>
      <c r="Y546" s="2952"/>
      <c r="Z546" s="2952"/>
      <c r="AA546" s="2952"/>
      <c r="AB546" s="2952"/>
      <c r="AC546" s="2942">
        <f t="shared" si="303"/>
        <v>0</v>
      </c>
      <c r="AD546" s="2962"/>
      <c r="AE546" s="2962"/>
      <c r="AF546" s="2962"/>
      <c r="AG546" s="2962"/>
      <c r="AH546" s="2962"/>
      <c r="AI546" s="2962"/>
      <c r="AJ546" s="2962"/>
      <c r="AK546" s="2962"/>
      <c r="AL546" s="2962"/>
      <c r="AM546" s="2962"/>
      <c r="AN546" s="2962"/>
      <c r="AO546" s="2962"/>
      <c r="AP546" s="2962"/>
      <c r="AQ546" s="2962"/>
      <c r="AR546" s="2962"/>
      <c r="AS546" s="2962"/>
      <c r="AT546" s="2972"/>
      <c r="AU546" s="2973"/>
      <c r="AV546" s="1120">
        <f t="shared" si="298"/>
        <v>0</v>
      </c>
      <c r="AW546" s="1120">
        <f t="shared" si="299"/>
        <v>0</v>
      </c>
      <c r="AX546" s="1120">
        <f t="shared" si="300"/>
        <v>0</v>
      </c>
      <c r="AY546" s="2987">
        <f t="shared" si="304"/>
        <v>0</v>
      </c>
      <c r="AZ546" s="2942">
        <f t="shared" si="305"/>
        <v>0</v>
      </c>
      <c r="BA546" s="2942">
        <f t="shared" si="306"/>
        <v>0</v>
      </c>
      <c r="BB546" s="2942">
        <f t="shared" si="307"/>
        <v>0</v>
      </c>
      <c r="BC546" s="2942">
        <f t="shared" si="308"/>
        <v>0</v>
      </c>
      <c r="BD546" s="2942">
        <f t="shared" si="309"/>
        <v>0</v>
      </c>
      <c r="BE546" s="2942">
        <f t="shared" si="310"/>
        <v>0</v>
      </c>
      <c r="BF546" s="2942">
        <f t="shared" si="311"/>
        <v>0</v>
      </c>
      <c r="BG546" s="2942">
        <f t="shared" si="312"/>
        <v>0</v>
      </c>
      <c r="BH546" s="2942">
        <f t="shared" si="313"/>
        <v>0</v>
      </c>
      <c r="BI546" s="2942">
        <f t="shared" si="314"/>
        <v>0</v>
      </c>
      <c r="BJ546" s="2942">
        <f t="shared" si="315"/>
        <v>0</v>
      </c>
      <c r="BK546" s="2942">
        <f t="shared" si="316"/>
        <v>0</v>
      </c>
      <c r="BL546" s="2942">
        <f t="shared" si="317"/>
        <v>0</v>
      </c>
      <c r="BM546" s="2942">
        <f t="shared" si="318"/>
        <v>0</v>
      </c>
      <c r="BN546" s="2942">
        <f t="shared" si="319"/>
        <v>0</v>
      </c>
      <c r="BO546" s="2942">
        <f t="shared" si="320"/>
        <v>0</v>
      </c>
      <c r="BP546" s="2942">
        <f t="shared" si="321"/>
        <v>0</v>
      </c>
      <c r="BQ546" s="2942">
        <f t="shared" si="322"/>
        <v>0</v>
      </c>
      <c r="BR546" s="2942">
        <f t="shared" si="323"/>
        <v>0</v>
      </c>
      <c r="BS546" s="2942">
        <f t="shared" si="324"/>
        <v>0</v>
      </c>
      <c r="BT546" s="2994">
        <f t="shared" si="325"/>
        <v>0</v>
      </c>
    </row>
    <row r="547" spans="1:72">
      <c r="A547" s="2939"/>
      <c r="B547" s="2940"/>
      <c r="C547" s="2940"/>
      <c r="D547" s="2941"/>
      <c r="E547" s="2942">
        <f t="shared" si="297"/>
        <v>0</v>
      </c>
      <c r="F547" s="2943"/>
      <c r="G547" s="2944">
        <f t="shared" si="301"/>
        <v>0</v>
      </c>
      <c r="H547" s="2945">
        <f t="shared" si="302"/>
        <v>0</v>
      </c>
      <c r="I547" s="2952"/>
      <c r="J547" s="2952"/>
      <c r="K547" s="2952"/>
      <c r="L547" s="2952"/>
      <c r="M547" s="2952"/>
      <c r="N547" s="2952"/>
      <c r="O547" s="2952"/>
      <c r="P547" s="2952"/>
      <c r="Q547" s="2952"/>
      <c r="R547" s="2952"/>
      <c r="S547" s="2952"/>
      <c r="T547" s="2952"/>
      <c r="U547" s="2952"/>
      <c r="V547" s="2952"/>
      <c r="W547" s="2952"/>
      <c r="X547" s="2952"/>
      <c r="Y547" s="2952"/>
      <c r="Z547" s="2952"/>
      <c r="AA547" s="2952"/>
      <c r="AB547" s="2952"/>
      <c r="AC547" s="2942">
        <f t="shared" si="303"/>
        <v>0</v>
      </c>
      <c r="AD547" s="2962"/>
      <c r="AE547" s="2962"/>
      <c r="AF547" s="2962"/>
      <c r="AG547" s="2962"/>
      <c r="AH547" s="2962"/>
      <c r="AI547" s="2962"/>
      <c r="AJ547" s="2962"/>
      <c r="AK547" s="2962"/>
      <c r="AL547" s="2962"/>
      <c r="AM547" s="2962"/>
      <c r="AN547" s="2962"/>
      <c r="AO547" s="2962"/>
      <c r="AP547" s="2962"/>
      <c r="AQ547" s="2962"/>
      <c r="AR547" s="2962"/>
      <c r="AS547" s="2962"/>
      <c r="AT547" s="2972"/>
      <c r="AU547" s="2973"/>
      <c r="AV547" s="1120">
        <f t="shared" si="298"/>
        <v>0</v>
      </c>
      <c r="AW547" s="1120">
        <f t="shared" si="299"/>
        <v>0</v>
      </c>
      <c r="AX547" s="1120">
        <f t="shared" si="300"/>
        <v>0</v>
      </c>
      <c r="AY547" s="2987">
        <f t="shared" si="304"/>
        <v>0</v>
      </c>
      <c r="AZ547" s="2942">
        <f t="shared" si="305"/>
        <v>0</v>
      </c>
      <c r="BA547" s="2942">
        <f t="shared" si="306"/>
        <v>0</v>
      </c>
      <c r="BB547" s="2942">
        <f t="shared" si="307"/>
        <v>0</v>
      </c>
      <c r="BC547" s="2942">
        <f t="shared" si="308"/>
        <v>0</v>
      </c>
      <c r="BD547" s="2942">
        <f t="shared" si="309"/>
        <v>0</v>
      </c>
      <c r="BE547" s="2942">
        <f t="shared" si="310"/>
        <v>0</v>
      </c>
      <c r="BF547" s="2942">
        <f t="shared" si="311"/>
        <v>0</v>
      </c>
      <c r="BG547" s="2942">
        <f t="shared" si="312"/>
        <v>0</v>
      </c>
      <c r="BH547" s="2942">
        <f t="shared" si="313"/>
        <v>0</v>
      </c>
      <c r="BI547" s="2942">
        <f t="shared" si="314"/>
        <v>0</v>
      </c>
      <c r="BJ547" s="2942">
        <f t="shared" si="315"/>
        <v>0</v>
      </c>
      <c r="BK547" s="2942">
        <f t="shared" si="316"/>
        <v>0</v>
      </c>
      <c r="BL547" s="2942">
        <f t="shared" si="317"/>
        <v>0</v>
      </c>
      <c r="BM547" s="2942">
        <f t="shared" si="318"/>
        <v>0</v>
      </c>
      <c r="BN547" s="2942">
        <f t="shared" si="319"/>
        <v>0</v>
      </c>
      <c r="BO547" s="2942">
        <f t="shared" si="320"/>
        <v>0</v>
      </c>
      <c r="BP547" s="2942">
        <f t="shared" si="321"/>
        <v>0</v>
      </c>
      <c r="BQ547" s="2942">
        <f t="shared" si="322"/>
        <v>0</v>
      </c>
      <c r="BR547" s="2942">
        <f t="shared" si="323"/>
        <v>0</v>
      </c>
      <c r="BS547" s="2942">
        <f t="shared" si="324"/>
        <v>0</v>
      </c>
      <c r="BT547" s="2994">
        <f t="shared" si="325"/>
        <v>0</v>
      </c>
    </row>
    <row r="548" spans="1:72">
      <c r="A548" s="2939"/>
      <c r="B548" s="2940"/>
      <c r="C548" s="2940"/>
      <c r="D548" s="2941"/>
      <c r="E548" s="2942">
        <f t="shared" si="297"/>
        <v>0</v>
      </c>
      <c r="F548" s="2943"/>
      <c r="G548" s="2944">
        <f t="shared" si="301"/>
        <v>0</v>
      </c>
      <c r="H548" s="2945">
        <f t="shared" si="302"/>
        <v>0</v>
      </c>
      <c r="I548" s="2952"/>
      <c r="J548" s="2952"/>
      <c r="K548" s="2952"/>
      <c r="L548" s="2952"/>
      <c r="M548" s="2952"/>
      <c r="N548" s="2952"/>
      <c r="O548" s="2952"/>
      <c r="P548" s="2952"/>
      <c r="Q548" s="2952"/>
      <c r="R548" s="2952"/>
      <c r="S548" s="2952"/>
      <c r="T548" s="2952"/>
      <c r="U548" s="2952"/>
      <c r="V548" s="2952"/>
      <c r="W548" s="2952"/>
      <c r="X548" s="2952"/>
      <c r="Y548" s="2952"/>
      <c r="Z548" s="2952"/>
      <c r="AA548" s="2952"/>
      <c r="AB548" s="2952"/>
      <c r="AC548" s="2942">
        <f t="shared" si="303"/>
        <v>0</v>
      </c>
      <c r="AD548" s="2962"/>
      <c r="AE548" s="2962"/>
      <c r="AF548" s="2962"/>
      <c r="AG548" s="2962"/>
      <c r="AH548" s="2962"/>
      <c r="AI548" s="2962"/>
      <c r="AJ548" s="2962"/>
      <c r="AK548" s="2962"/>
      <c r="AL548" s="2962"/>
      <c r="AM548" s="2962"/>
      <c r="AN548" s="2962"/>
      <c r="AO548" s="2962"/>
      <c r="AP548" s="2962"/>
      <c r="AQ548" s="2962"/>
      <c r="AR548" s="2962"/>
      <c r="AS548" s="2962"/>
      <c r="AT548" s="2972"/>
      <c r="AU548" s="2973"/>
      <c r="AV548" s="1120">
        <f t="shared" si="298"/>
        <v>0</v>
      </c>
      <c r="AW548" s="1120">
        <f t="shared" si="299"/>
        <v>0</v>
      </c>
      <c r="AX548" s="1120">
        <f t="shared" si="300"/>
        <v>0</v>
      </c>
      <c r="AY548" s="2987">
        <f t="shared" si="304"/>
        <v>0</v>
      </c>
      <c r="AZ548" s="2942">
        <f t="shared" si="305"/>
        <v>0</v>
      </c>
      <c r="BA548" s="2942">
        <f t="shared" si="306"/>
        <v>0</v>
      </c>
      <c r="BB548" s="2942">
        <f t="shared" si="307"/>
        <v>0</v>
      </c>
      <c r="BC548" s="2942">
        <f t="shared" si="308"/>
        <v>0</v>
      </c>
      <c r="BD548" s="2942">
        <f t="shared" si="309"/>
        <v>0</v>
      </c>
      <c r="BE548" s="2942">
        <f t="shared" si="310"/>
        <v>0</v>
      </c>
      <c r="BF548" s="2942">
        <f t="shared" si="311"/>
        <v>0</v>
      </c>
      <c r="BG548" s="2942">
        <f t="shared" si="312"/>
        <v>0</v>
      </c>
      <c r="BH548" s="2942">
        <f t="shared" si="313"/>
        <v>0</v>
      </c>
      <c r="BI548" s="2942">
        <f t="shared" si="314"/>
        <v>0</v>
      </c>
      <c r="BJ548" s="2942">
        <f t="shared" si="315"/>
        <v>0</v>
      </c>
      <c r="BK548" s="2942">
        <f t="shared" si="316"/>
        <v>0</v>
      </c>
      <c r="BL548" s="2942">
        <f t="shared" si="317"/>
        <v>0</v>
      </c>
      <c r="BM548" s="2942">
        <f t="shared" si="318"/>
        <v>0</v>
      </c>
      <c r="BN548" s="2942">
        <f t="shared" si="319"/>
        <v>0</v>
      </c>
      <c r="BO548" s="2942">
        <f t="shared" si="320"/>
        <v>0</v>
      </c>
      <c r="BP548" s="2942">
        <f t="shared" si="321"/>
        <v>0</v>
      </c>
      <c r="BQ548" s="2942">
        <f t="shared" si="322"/>
        <v>0</v>
      </c>
      <c r="BR548" s="2942">
        <f t="shared" si="323"/>
        <v>0</v>
      </c>
      <c r="BS548" s="2942">
        <f t="shared" si="324"/>
        <v>0</v>
      </c>
      <c r="BT548" s="2994">
        <f t="shared" si="325"/>
        <v>0</v>
      </c>
    </row>
    <row r="549" spans="1:72">
      <c r="A549" s="2939"/>
      <c r="B549" s="2940"/>
      <c r="C549" s="2940"/>
      <c r="D549" s="2941"/>
      <c r="E549" s="2942">
        <f t="shared" si="297"/>
        <v>0</v>
      </c>
      <c r="F549" s="2943"/>
      <c r="G549" s="2944">
        <f t="shared" si="301"/>
        <v>0</v>
      </c>
      <c r="H549" s="2945">
        <f t="shared" si="302"/>
        <v>0</v>
      </c>
      <c r="I549" s="2952"/>
      <c r="J549" s="2952"/>
      <c r="K549" s="2952"/>
      <c r="L549" s="2952"/>
      <c r="M549" s="2952"/>
      <c r="N549" s="2952"/>
      <c r="O549" s="2952"/>
      <c r="P549" s="2952"/>
      <c r="Q549" s="2952"/>
      <c r="R549" s="2952"/>
      <c r="S549" s="2952"/>
      <c r="T549" s="2952"/>
      <c r="U549" s="2952"/>
      <c r="V549" s="2952"/>
      <c r="W549" s="2952"/>
      <c r="X549" s="2952"/>
      <c r="Y549" s="2952"/>
      <c r="Z549" s="2952"/>
      <c r="AA549" s="2952"/>
      <c r="AB549" s="2952"/>
      <c r="AC549" s="2942">
        <f t="shared" si="303"/>
        <v>0</v>
      </c>
      <c r="AD549" s="2962"/>
      <c r="AE549" s="2962"/>
      <c r="AF549" s="2962"/>
      <c r="AG549" s="2962"/>
      <c r="AH549" s="2962"/>
      <c r="AI549" s="2962"/>
      <c r="AJ549" s="2962"/>
      <c r="AK549" s="2962"/>
      <c r="AL549" s="2962"/>
      <c r="AM549" s="2962"/>
      <c r="AN549" s="2962"/>
      <c r="AO549" s="2962"/>
      <c r="AP549" s="2962"/>
      <c r="AQ549" s="2962"/>
      <c r="AR549" s="2962"/>
      <c r="AS549" s="2962"/>
      <c r="AT549" s="2972"/>
      <c r="AU549" s="2973"/>
      <c r="AV549" s="1120">
        <f t="shared" si="298"/>
        <v>0</v>
      </c>
      <c r="AW549" s="1120">
        <f t="shared" si="299"/>
        <v>0</v>
      </c>
      <c r="AX549" s="1120">
        <f t="shared" si="300"/>
        <v>0</v>
      </c>
      <c r="AY549" s="2987">
        <f t="shared" si="304"/>
        <v>0</v>
      </c>
      <c r="AZ549" s="2942">
        <f t="shared" si="305"/>
        <v>0</v>
      </c>
      <c r="BA549" s="2942">
        <f t="shared" si="306"/>
        <v>0</v>
      </c>
      <c r="BB549" s="2942">
        <f t="shared" si="307"/>
        <v>0</v>
      </c>
      <c r="BC549" s="2942">
        <f t="shared" si="308"/>
        <v>0</v>
      </c>
      <c r="BD549" s="2942">
        <f t="shared" si="309"/>
        <v>0</v>
      </c>
      <c r="BE549" s="2942">
        <f t="shared" si="310"/>
        <v>0</v>
      </c>
      <c r="BF549" s="2942">
        <f t="shared" si="311"/>
        <v>0</v>
      </c>
      <c r="BG549" s="2942">
        <f t="shared" si="312"/>
        <v>0</v>
      </c>
      <c r="BH549" s="2942">
        <f t="shared" si="313"/>
        <v>0</v>
      </c>
      <c r="BI549" s="2942">
        <f t="shared" si="314"/>
        <v>0</v>
      </c>
      <c r="BJ549" s="2942">
        <f t="shared" si="315"/>
        <v>0</v>
      </c>
      <c r="BK549" s="2942">
        <f t="shared" si="316"/>
        <v>0</v>
      </c>
      <c r="BL549" s="2942">
        <f t="shared" si="317"/>
        <v>0</v>
      </c>
      <c r="BM549" s="2942">
        <f t="shared" si="318"/>
        <v>0</v>
      </c>
      <c r="BN549" s="2942">
        <f t="shared" si="319"/>
        <v>0</v>
      </c>
      <c r="BO549" s="2942">
        <f t="shared" si="320"/>
        <v>0</v>
      </c>
      <c r="BP549" s="2942">
        <f t="shared" si="321"/>
        <v>0</v>
      </c>
      <c r="BQ549" s="2942">
        <f t="shared" si="322"/>
        <v>0</v>
      </c>
      <c r="BR549" s="2942">
        <f t="shared" si="323"/>
        <v>0</v>
      </c>
      <c r="BS549" s="2942">
        <f t="shared" si="324"/>
        <v>0</v>
      </c>
      <c r="BT549" s="2994">
        <f t="shared" si="325"/>
        <v>0</v>
      </c>
    </row>
    <row r="550" spans="1:72">
      <c r="A550" s="2939"/>
      <c r="B550" s="2940"/>
      <c r="C550" s="2940"/>
      <c r="D550" s="2941"/>
      <c r="E550" s="2942">
        <f t="shared" si="297"/>
        <v>0</v>
      </c>
      <c r="F550" s="2943"/>
      <c r="G550" s="2944">
        <f t="shared" si="301"/>
        <v>0</v>
      </c>
      <c r="H550" s="2945">
        <f t="shared" si="302"/>
        <v>0</v>
      </c>
      <c r="I550" s="2952"/>
      <c r="J550" s="2952"/>
      <c r="K550" s="2952"/>
      <c r="L550" s="2952"/>
      <c r="M550" s="2952"/>
      <c r="N550" s="2952"/>
      <c r="O550" s="2952"/>
      <c r="P550" s="2952"/>
      <c r="Q550" s="2952"/>
      <c r="R550" s="2952"/>
      <c r="S550" s="2952"/>
      <c r="T550" s="2952"/>
      <c r="U550" s="2952"/>
      <c r="V550" s="2952"/>
      <c r="W550" s="2952"/>
      <c r="X550" s="2952"/>
      <c r="Y550" s="2952"/>
      <c r="Z550" s="2952"/>
      <c r="AA550" s="2952"/>
      <c r="AB550" s="2952"/>
      <c r="AC550" s="2942">
        <f t="shared" si="303"/>
        <v>0</v>
      </c>
      <c r="AD550" s="2962"/>
      <c r="AE550" s="2962"/>
      <c r="AF550" s="2962"/>
      <c r="AG550" s="2962"/>
      <c r="AH550" s="2962"/>
      <c r="AI550" s="2962"/>
      <c r="AJ550" s="2962"/>
      <c r="AK550" s="2962"/>
      <c r="AL550" s="2962"/>
      <c r="AM550" s="2962"/>
      <c r="AN550" s="2962"/>
      <c r="AO550" s="2962"/>
      <c r="AP550" s="2962"/>
      <c r="AQ550" s="2962"/>
      <c r="AR550" s="2962"/>
      <c r="AS550" s="2962"/>
      <c r="AT550" s="2972"/>
      <c r="AU550" s="2973"/>
      <c r="AV550" s="1120">
        <f t="shared" si="298"/>
        <v>0</v>
      </c>
      <c r="AW550" s="1120">
        <f t="shared" si="299"/>
        <v>0</v>
      </c>
      <c r="AX550" s="1120">
        <f t="shared" si="300"/>
        <v>0</v>
      </c>
      <c r="AY550" s="2987">
        <f t="shared" si="304"/>
        <v>0</v>
      </c>
      <c r="AZ550" s="2942">
        <f t="shared" si="305"/>
        <v>0</v>
      </c>
      <c r="BA550" s="2942">
        <f t="shared" si="306"/>
        <v>0</v>
      </c>
      <c r="BB550" s="2942">
        <f t="shared" si="307"/>
        <v>0</v>
      </c>
      <c r="BC550" s="2942">
        <f t="shared" si="308"/>
        <v>0</v>
      </c>
      <c r="BD550" s="2942">
        <f t="shared" si="309"/>
        <v>0</v>
      </c>
      <c r="BE550" s="2942">
        <f t="shared" si="310"/>
        <v>0</v>
      </c>
      <c r="BF550" s="2942">
        <f t="shared" si="311"/>
        <v>0</v>
      </c>
      <c r="BG550" s="2942">
        <f t="shared" si="312"/>
        <v>0</v>
      </c>
      <c r="BH550" s="2942">
        <f t="shared" si="313"/>
        <v>0</v>
      </c>
      <c r="BI550" s="2942">
        <f t="shared" si="314"/>
        <v>0</v>
      </c>
      <c r="BJ550" s="2942">
        <f t="shared" si="315"/>
        <v>0</v>
      </c>
      <c r="BK550" s="2942">
        <f t="shared" si="316"/>
        <v>0</v>
      </c>
      <c r="BL550" s="2942">
        <f t="shared" si="317"/>
        <v>0</v>
      </c>
      <c r="BM550" s="2942">
        <f t="shared" si="318"/>
        <v>0</v>
      </c>
      <c r="BN550" s="2942">
        <f t="shared" si="319"/>
        <v>0</v>
      </c>
      <c r="BO550" s="2942">
        <f t="shared" si="320"/>
        <v>0</v>
      </c>
      <c r="BP550" s="2942">
        <f t="shared" si="321"/>
        <v>0</v>
      </c>
      <c r="BQ550" s="2942">
        <f t="shared" si="322"/>
        <v>0</v>
      </c>
      <c r="BR550" s="2942">
        <f t="shared" si="323"/>
        <v>0</v>
      </c>
      <c r="BS550" s="2942">
        <f t="shared" si="324"/>
        <v>0</v>
      </c>
      <c r="BT550" s="2994">
        <f t="shared" si="325"/>
        <v>0</v>
      </c>
    </row>
    <row r="551" spans="1:72">
      <c r="A551" s="2939"/>
      <c r="B551" s="2940"/>
      <c r="C551" s="2940"/>
      <c r="D551" s="2941"/>
      <c r="E551" s="2942">
        <f t="shared" si="297"/>
        <v>0</v>
      </c>
      <c r="F551" s="2943"/>
      <c r="G551" s="2944">
        <f t="shared" si="301"/>
        <v>0</v>
      </c>
      <c r="H551" s="2945">
        <f t="shared" si="302"/>
        <v>0</v>
      </c>
      <c r="I551" s="2952"/>
      <c r="J551" s="2952"/>
      <c r="K551" s="2952"/>
      <c r="L551" s="2952"/>
      <c r="M551" s="2952"/>
      <c r="N551" s="2952"/>
      <c r="O551" s="2952"/>
      <c r="P551" s="2952"/>
      <c r="Q551" s="2952"/>
      <c r="R551" s="2952"/>
      <c r="S551" s="2952"/>
      <c r="T551" s="2952"/>
      <c r="U551" s="2952"/>
      <c r="V551" s="2952"/>
      <c r="W551" s="2952"/>
      <c r="X551" s="2952"/>
      <c r="Y551" s="2952"/>
      <c r="Z551" s="2952"/>
      <c r="AA551" s="2952"/>
      <c r="AB551" s="2952"/>
      <c r="AC551" s="2942">
        <f t="shared" si="303"/>
        <v>0</v>
      </c>
      <c r="AD551" s="2962"/>
      <c r="AE551" s="2962"/>
      <c r="AF551" s="2962"/>
      <c r="AG551" s="2962"/>
      <c r="AH551" s="2962"/>
      <c r="AI551" s="2962"/>
      <c r="AJ551" s="2962"/>
      <c r="AK551" s="2962"/>
      <c r="AL551" s="2962"/>
      <c r="AM551" s="2962"/>
      <c r="AN551" s="2962"/>
      <c r="AO551" s="2962"/>
      <c r="AP551" s="2962"/>
      <c r="AQ551" s="2962"/>
      <c r="AR551" s="2962"/>
      <c r="AS551" s="2962"/>
      <c r="AT551" s="2972"/>
      <c r="AU551" s="2973"/>
      <c r="AV551" s="1120">
        <f t="shared" si="298"/>
        <v>0</v>
      </c>
      <c r="AW551" s="1120">
        <f t="shared" si="299"/>
        <v>0</v>
      </c>
      <c r="AX551" s="1120">
        <f t="shared" si="300"/>
        <v>0</v>
      </c>
      <c r="AY551" s="2987">
        <f t="shared" si="304"/>
        <v>0</v>
      </c>
      <c r="AZ551" s="2942">
        <f t="shared" si="305"/>
        <v>0</v>
      </c>
      <c r="BA551" s="2942">
        <f t="shared" si="306"/>
        <v>0</v>
      </c>
      <c r="BB551" s="2942">
        <f t="shared" si="307"/>
        <v>0</v>
      </c>
      <c r="BC551" s="2942">
        <f t="shared" si="308"/>
        <v>0</v>
      </c>
      <c r="BD551" s="2942">
        <f t="shared" si="309"/>
        <v>0</v>
      </c>
      <c r="BE551" s="2942">
        <f t="shared" si="310"/>
        <v>0</v>
      </c>
      <c r="BF551" s="2942">
        <f t="shared" si="311"/>
        <v>0</v>
      </c>
      <c r="BG551" s="2942">
        <f t="shared" si="312"/>
        <v>0</v>
      </c>
      <c r="BH551" s="2942">
        <f t="shared" si="313"/>
        <v>0</v>
      </c>
      <c r="BI551" s="2942">
        <f t="shared" si="314"/>
        <v>0</v>
      </c>
      <c r="BJ551" s="2942">
        <f t="shared" si="315"/>
        <v>0</v>
      </c>
      <c r="BK551" s="2942">
        <f t="shared" si="316"/>
        <v>0</v>
      </c>
      <c r="BL551" s="2942">
        <f t="shared" si="317"/>
        <v>0</v>
      </c>
      <c r="BM551" s="2942">
        <f t="shared" si="318"/>
        <v>0</v>
      </c>
      <c r="BN551" s="2942">
        <f t="shared" si="319"/>
        <v>0</v>
      </c>
      <c r="BO551" s="2942">
        <f t="shared" si="320"/>
        <v>0</v>
      </c>
      <c r="BP551" s="2942">
        <f t="shared" si="321"/>
        <v>0</v>
      </c>
      <c r="BQ551" s="2942">
        <f t="shared" si="322"/>
        <v>0</v>
      </c>
      <c r="BR551" s="2942">
        <f t="shared" si="323"/>
        <v>0</v>
      </c>
      <c r="BS551" s="2942">
        <f t="shared" si="324"/>
        <v>0</v>
      </c>
      <c r="BT551" s="2994">
        <f t="shared" si="325"/>
        <v>0</v>
      </c>
    </row>
    <row r="552" spans="1:72">
      <c r="A552" s="2939"/>
      <c r="B552" s="2940"/>
      <c r="C552" s="2940"/>
      <c r="D552" s="2941"/>
      <c r="E552" s="2942">
        <f t="shared" ref="E552:E587" si="326">IF($C$3="是",ROUND($A$3*G552/$B$3,2),ROUND($A$3*(G552-AT552)/$B$3,2))</f>
        <v>0</v>
      </c>
      <c r="F552" s="2943"/>
      <c r="G552" s="2944">
        <f t="shared" si="301"/>
        <v>0</v>
      </c>
      <c r="H552" s="2945">
        <f t="shared" si="302"/>
        <v>0</v>
      </c>
      <c r="I552" s="2952"/>
      <c r="J552" s="2952"/>
      <c r="K552" s="2952"/>
      <c r="L552" s="2952"/>
      <c r="M552" s="2952"/>
      <c r="N552" s="2952"/>
      <c r="O552" s="2952"/>
      <c r="P552" s="2952"/>
      <c r="Q552" s="2952"/>
      <c r="R552" s="2952"/>
      <c r="S552" s="2952"/>
      <c r="T552" s="2952"/>
      <c r="U552" s="2952"/>
      <c r="V552" s="2952"/>
      <c r="W552" s="2952"/>
      <c r="X552" s="2952"/>
      <c r="Y552" s="2952"/>
      <c r="Z552" s="2952"/>
      <c r="AA552" s="2952"/>
      <c r="AB552" s="2952"/>
      <c r="AC552" s="2942">
        <f t="shared" si="303"/>
        <v>0</v>
      </c>
      <c r="AD552" s="2962"/>
      <c r="AE552" s="2962"/>
      <c r="AF552" s="2962"/>
      <c r="AG552" s="2962"/>
      <c r="AH552" s="2962"/>
      <c r="AI552" s="2962"/>
      <c r="AJ552" s="2962"/>
      <c r="AK552" s="2962"/>
      <c r="AL552" s="2962"/>
      <c r="AM552" s="2962"/>
      <c r="AN552" s="2962"/>
      <c r="AO552" s="2962"/>
      <c r="AP552" s="2962"/>
      <c r="AQ552" s="2962"/>
      <c r="AR552" s="2962"/>
      <c r="AS552" s="2962"/>
      <c r="AT552" s="2972"/>
      <c r="AU552" s="2973"/>
      <c r="AV552" s="1120">
        <f t="shared" si="298"/>
        <v>0</v>
      </c>
      <c r="AW552" s="1120">
        <f t="shared" si="299"/>
        <v>0</v>
      </c>
      <c r="AX552" s="1120">
        <f t="shared" si="300"/>
        <v>0</v>
      </c>
      <c r="AY552" s="2987">
        <f t="shared" si="304"/>
        <v>0</v>
      </c>
      <c r="AZ552" s="2942">
        <f t="shared" si="305"/>
        <v>0</v>
      </c>
      <c r="BA552" s="2942">
        <f t="shared" si="306"/>
        <v>0</v>
      </c>
      <c r="BB552" s="2942">
        <f t="shared" si="307"/>
        <v>0</v>
      </c>
      <c r="BC552" s="2942">
        <f t="shared" si="308"/>
        <v>0</v>
      </c>
      <c r="BD552" s="2942">
        <f t="shared" si="309"/>
        <v>0</v>
      </c>
      <c r="BE552" s="2942">
        <f t="shared" si="310"/>
        <v>0</v>
      </c>
      <c r="BF552" s="2942">
        <f t="shared" si="311"/>
        <v>0</v>
      </c>
      <c r="BG552" s="2942">
        <f t="shared" si="312"/>
        <v>0</v>
      </c>
      <c r="BH552" s="2942">
        <f t="shared" si="313"/>
        <v>0</v>
      </c>
      <c r="BI552" s="2942">
        <f t="shared" si="314"/>
        <v>0</v>
      </c>
      <c r="BJ552" s="2942">
        <f t="shared" si="315"/>
        <v>0</v>
      </c>
      <c r="BK552" s="2942">
        <f t="shared" si="316"/>
        <v>0</v>
      </c>
      <c r="BL552" s="2942">
        <f t="shared" si="317"/>
        <v>0</v>
      </c>
      <c r="BM552" s="2942">
        <f t="shared" si="318"/>
        <v>0</v>
      </c>
      <c r="BN552" s="2942">
        <f t="shared" si="319"/>
        <v>0</v>
      </c>
      <c r="BO552" s="2942">
        <f t="shared" si="320"/>
        <v>0</v>
      </c>
      <c r="BP552" s="2942">
        <f t="shared" si="321"/>
        <v>0</v>
      </c>
      <c r="BQ552" s="2942">
        <f t="shared" si="322"/>
        <v>0</v>
      </c>
      <c r="BR552" s="2942">
        <f t="shared" si="323"/>
        <v>0</v>
      </c>
      <c r="BS552" s="2942">
        <f t="shared" si="324"/>
        <v>0</v>
      </c>
      <c r="BT552" s="2994">
        <f t="shared" si="325"/>
        <v>0</v>
      </c>
    </row>
    <row r="553" spans="1:72">
      <c r="A553" s="2939"/>
      <c r="B553" s="2940"/>
      <c r="C553" s="2940"/>
      <c r="D553" s="2941"/>
      <c r="E553" s="2942">
        <f t="shared" si="326"/>
        <v>0</v>
      </c>
      <c r="F553" s="2943"/>
      <c r="G553" s="2944">
        <f t="shared" ref="G553:G587" si="327">H553+AC553+AT553</f>
        <v>0</v>
      </c>
      <c r="H553" s="2945">
        <f t="shared" ref="H553:H587" si="328">SUMIF(I$12:AB$12,"总值",I553:AB553)</f>
        <v>0</v>
      </c>
      <c r="I553" s="2952"/>
      <c r="J553" s="2952"/>
      <c r="K553" s="2952"/>
      <c r="L553" s="2952"/>
      <c r="M553" s="2952"/>
      <c r="N553" s="2952"/>
      <c r="O553" s="2952"/>
      <c r="P553" s="2952"/>
      <c r="Q553" s="2952"/>
      <c r="R553" s="2952"/>
      <c r="S553" s="2952"/>
      <c r="T553" s="2952"/>
      <c r="U553" s="2952"/>
      <c r="V553" s="2952"/>
      <c r="W553" s="2952"/>
      <c r="X553" s="2952"/>
      <c r="Y553" s="2952"/>
      <c r="Z553" s="2952"/>
      <c r="AA553" s="2952"/>
      <c r="AB553" s="2952"/>
      <c r="AC553" s="2942">
        <f t="shared" ref="AC553:AC587" si="329">SUMIF(AD$12:AS$12,"总值",AD553:AS553)</f>
        <v>0</v>
      </c>
      <c r="AD553" s="2962"/>
      <c r="AE553" s="2962"/>
      <c r="AF553" s="2962"/>
      <c r="AG553" s="2962"/>
      <c r="AH553" s="2962"/>
      <c r="AI553" s="2962"/>
      <c r="AJ553" s="2962"/>
      <c r="AK553" s="2962"/>
      <c r="AL553" s="2962"/>
      <c r="AM553" s="2962"/>
      <c r="AN553" s="2962"/>
      <c r="AO553" s="2962"/>
      <c r="AP553" s="2962"/>
      <c r="AQ553" s="2962"/>
      <c r="AR553" s="2962"/>
      <c r="AS553" s="2962"/>
      <c r="AT553" s="2972"/>
      <c r="AU553" s="2973"/>
      <c r="AV553" s="1120">
        <f t="shared" ref="AV553:AV587" si="330">A553</f>
        <v>0</v>
      </c>
      <c r="AW553" s="1120">
        <f t="shared" ref="AW553:AW587" si="331">B553</f>
        <v>0</v>
      </c>
      <c r="AX553" s="1120">
        <f t="shared" ref="AX553:AX587" si="332">C553</f>
        <v>0</v>
      </c>
      <c r="AY553" s="2987">
        <f t="shared" ref="AY553:AY587" si="333">ROUND($AY$6*AZ553/$AZ$5,2)</f>
        <v>0</v>
      </c>
      <c r="AZ553" s="2942">
        <f t="shared" ref="AZ553:AZ587" si="334">BA553+BL553</f>
        <v>0</v>
      </c>
      <c r="BA553" s="2942">
        <f t="shared" ref="BA553:BA587" si="335">SUM(BB553:BK553)</f>
        <v>0</v>
      </c>
      <c r="BB553" s="2942">
        <f t="shared" ref="BB553:BB587" si="336">IF($D553="是",I553-J553,0)</f>
        <v>0</v>
      </c>
      <c r="BC553" s="2942">
        <f t="shared" ref="BC553:BC587" si="337">IF($D553="是",K553-L553,0)</f>
        <v>0</v>
      </c>
      <c r="BD553" s="2942">
        <f t="shared" ref="BD553:BD587" si="338">IF($D553="是",M553-N553,0)</f>
        <v>0</v>
      </c>
      <c r="BE553" s="2942">
        <f t="shared" ref="BE553:BE587" si="339">IF($D553="是",O553-P553,0)</f>
        <v>0</v>
      </c>
      <c r="BF553" s="2942">
        <f t="shared" ref="BF553:BF587" si="340">IF($D553="是",Q553-R553,0)</f>
        <v>0</v>
      </c>
      <c r="BG553" s="2942">
        <f t="shared" ref="BG553:BG587" si="341">IF($D553="是",S553-T553,0)</f>
        <v>0</v>
      </c>
      <c r="BH553" s="2942">
        <f t="shared" ref="BH553:BH587" si="342">IF($D553="是",U553-V553,0)</f>
        <v>0</v>
      </c>
      <c r="BI553" s="2942">
        <f t="shared" ref="BI553:BI587" si="343">IF($D553="是",W553-X553,0)</f>
        <v>0</v>
      </c>
      <c r="BJ553" s="2942">
        <f t="shared" ref="BJ553:BJ587" si="344">IF($D553="是",Y553-Z553,0)</f>
        <v>0</v>
      </c>
      <c r="BK553" s="2942">
        <f t="shared" ref="BK553:BK587" si="345">IF($D553="是",AA553-AB553,0)</f>
        <v>0</v>
      </c>
      <c r="BL553" s="2942">
        <f t="shared" ref="BL553:BL587" si="346">SUM(BM553:BT553)</f>
        <v>0</v>
      </c>
      <c r="BM553" s="2942">
        <f t="shared" ref="BM553:BM587" si="347">IF($D553="是",AD553-AE553,0)</f>
        <v>0</v>
      </c>
      <c r="BN553" s="2942">
        <f t="shared" ref="BN553:BN587" si="348">IF($D553="是",AF553-AG553,0)</f>
        <v>0</v>
      </c>
      <c r="BO553" s="2942">
        <f t="shared" ref="BO553:BO587" si="349">IF($D553="是",AH553-AI553,0)</f>
        <v>0</v>
      </c>
      <c r="BP553" s="2942">
        <f t="shared" ref="BP553:BP587" si="350">IF($D553="是",AJ553-AK553,0)</f>
        <v>0</v>
      </c>
      <c r="BQ553" s="2942">
        <f t="shared" ref="BQ553:BQ587" si="351">IF($D553="是",AL553-AM553,0)</f>
        <v>0</v>
      </c>
      <c r="BR553" s="2942">
        <f t="shared" ref="BR553:BR587" si="352">IF($D553="是",AN553-AO553,0)</f>
        <v>0</v>
      </c>
      <c r="BS553" s="2942">
        <f t="shared" ref="BS553:BS587" si="353">IF($D553="是",AP553-AQ553,0)</f>
        <v>0</v>
      </c>
      <c r="BT553" s="2994">
        <f t="shared" ref="BT553:BT587" si="354">IF($D553="是",AR553-AS553,0)</f>
        <v>0</v>
      </c>
    </row>
    <row r="554" spans="1:72">
      <c r="A554" s="2939"/>
      <c r="B554" s="2940"/>
      <c r="C554" s="2940"/>
      <c r="D554" s="2941"/>
      <c r="E554" s="2942">
        <f t="shared" si="326"/>
        <v>0</v>
      </c>
      <c r="F554" s="2943"/>
      <c r="G554" s="2944">
        <f t="shared" si="327"/>
        <v>0</v>
      </c>
      <c r="H554" s="2945">
        <f t="shared" si="328"/>
        <v>0</v>
      </c>
      <c r="I554" s="2952"/>
      <c r="J554" s="2952"/>
      <c r="K554" s="2952"/>
      <c r="L554" s="2952"/>
      <c r="M554" s="2952"/>
      <c r="N554" s="2952"/>
      <c r="O554" s="2952"/>
      <c r="P554" s="2952"/>
      <c r="Q554" s="2952"/>
      <c r="R554" s="2952"/>
      <c r="S554" s="2952"/>
      <c r="T554" s="2952"/>
      <c r="U554" s="2952"/>
      <c r="V554" s="2952"/>
      <c r="W554" s="2952"/>
      <c r="X554" s="2952"/>
      <c r="Y554" s="2952"/>
      <c r="Z554" s="2952"/>
      <c r="AA554" s="2952"/>
      <c r="AB554" s="2952"/>
      <c r="AC554" s="2942">
        <f t="shared" si="329"/>
        <v>0</v>
      </c>
      <c r="AD554" s="2962"/>
      <c r="AE554" s="2962"/>
      <c r="AF554" s="2962"/>
      <c r="AG554" s="2962"/>
      <c r="AH554" s="2962"/>
      <c r="AI554" s="2962"/>
      <c r="AJ554" s="2962"/>
      <c r="AK554" s="2962"/>
      <c r="AL554" s="2962"/>
      <c r="AM554" s="2962"/>
      <c r="AN554" s="2962"/>
      <c r="AO554" s="2962"/>
      <c r="AP554" s="2962"/>
      <c r="AQ554" s="2962"/>
      <c r="AR554" s="2962"/>
      <c r="AS554" s="2962"/>
      <c r="AT554" s="2972"/>
      <c r="AU554" s="2973"/>
      <c r="AV554" s="1120">
        <f t="shared" si="330"/>
        <v>0</v>
      </c>
      <c r="AW554" s="1120">
        <f t="shared" si="331"/>
        <v>0</v>
      </c>
      <c r="AX554" s="1120">
        <f t="shared" si="332"/>
        <v>0</v>
      </c>
      <c r="AY554" s="2987">
        <f t="shared" si="333"/>
        <v>0</v>
      </c>
      <c r="AZ554" s="2942">
        <f t="shared" si="334"/>
        <v>0</v>
      </c>
      <c r="BA554" s="2942">
        <f t="shared" si="335"/>
        <v>0</v>
      </c>
      <c r="BB554" s="2942">
        <f t="shared" si="336"/>
        <v>0</v>
      </c>
      <c r="BC554" s="2942">
        <f t="shared" si="337"/>
        <v>0</v>
      </c>
      <c r="BD554" s="2942">
        <f t="shared" si="338"/>
        <v>0</v>
      </c>
      <c r="BE554" s="2942">
        <f t="shared" si="339"/>
        <v>0</v>
      </c>
      <c r="BF554" s="2942">
        <f t="shared" si="340"/>
        <v>0</v>
      </c>
      <c r="BG554" s="2942">
        <f t="shared" si="341"/>
        <v>0</v>
      </c>
      <c r="BH554" s="2942">
        <f t="shared" si="342"/>
        <v>0</v>
      </c>
      <c r="BI554" s="2942">
        <f t="shared" si="343"/>
        <v>0</v>
      </c>
      <c r="BJ554" s="2942">
        <f t="shared" si="344"/>
        <v>0</v>
      </c>
      <c r="BK554" s="2942">
        <f t="shared" si="345"/>
        <v>0</v>
      </c>
      <c r="BL554" s="2942">
        <f t="shared" si="346"/>
        <v>0</v>
      </c>
      <c r="BM554" s="2942">
        <f t="shared" si="347"/>
        <v>0</v>
      </c>
      <c r="BN554" s="2942">
        <f t="shared" si="348"/>
        <v>0</v>
      </c>
      <c r="BO554" s="2942">
        <f t="shared" si="349"/>
        <v>0</v>
      </c>
      <c r="BP554" s="2942">
        <f t="shared" si="350"/>
        <v>0</v>
      </c>
      <c r="BQ554" s="2942">
        <f t="shared" si="351"/>
        <v>0</v>
      </c>
      <c r="BR554" s="2942">
        <f t="shared" si="352"/>
        <v>0</v>
      </c>
      <c r="BS554" s="2942">
        <f t="shared" si="353"/>
        <v>0</v>
      </c>
      <c r="BT554" s="2994">
        <f t="shared" si="354"/>
        <v>0</v>
      </c>
    </row>
    <row r="555" spans="1:72">
      <c r="A555" s="2939"/>
      <c r="B555" s="2940"/>
      <c r="C555" s="2940"/>
      <c r="D555" s="2941"/>
      <c r="E555" s="2942">
        <f t="shared" si="326"/>
        <v>0</v>
      </c>
      <c r="F555" s="2943"/>
      <c r="G555" s="2944">
        <f t="shared" si="327"/>
        <v>0</v>
      </c>
      <c r="H555" s="2945">
        <f t="shared" si="328"/>
        <v>0</v>
      </c>
      <c r="I555" s="2952"/>
      <c r="J555" s="2952"/>
      <c r="K555" s="2952"/>
      <c r="L555" s="2952"/>
      <c r="M555" s="2952"/>
      <c r="N555" s="2952"/>
      <c r="O555" s="2952"/>
      <c r="P555" s="2952"/>
      <c r="Q555" s="2952"/>
      <c r="R555" s="2952"/>
      <c r="S555" s="2952"/>
      <c r="T555" s="2952"/>
      <c r="U555" s="2952"/>
      <c r="V555" s="2952"/>
      <c r="W555" s="2952"/>
      <c r="X555" s="2952"/>
      <c r="Y555" s="2952"/>
      <c r="Z555" s="2952"/>
      <c r="AA555" s="2952"/>
      <c r="AB555" s="2952"/>
      <c r="AC555" s="2942">
        <f t="shared" si="329"/>
        <v>0</v>
      </c>
      <c r="AD555" s="2962"/>
      <c r="AE555" s="2962"/>
      <c r="AF555" s="2962"/>
      <c r="AG555" s="2962"/>
      <c r="AH555" s="2962"/>
      <c r="AI555" s="2962"/>
      <c r="AJ555" s="2962"/>
      <c r="AK555" s="2962"/>
      <c r="AL555" s="2962"/>
      <c r="AM555" s="2962"/>
      <c r="AN555" s="2962"/>
      <c r="AO555" s="2962"/>
      <c r="AP555" s="2962"/>
      <c r="AQ555" s="2962"/>
      <c r="AR555" s="2962"/>
      <c r="AS555" s="2962"/>
      <c r="AT555" s="2972"/>
      <c r="AU555" s="2973"/>
      <c r="AV555" s="1120">
        <f t="shared" si="330"/>
        <v>0</v>
      </c>
      <c r="AW555" s="1120">
        <f t="shared" si="331"/>
        <v>0</v>
      </c>
      <c r="AX555" s="1120">
        <f t="shared" si="332"/>
        <v>0</v>
      </c>
      <c r="AY555" s="2987">
        <f t="shared" si="333"/>
        <v>0</v>
      </c>
      <c r="AZ555" s="2942">
        <f t="shared" si="334"/>
        <v>0</v>
      </c>
      <c r="BA555" s="2942">
        <f t="shared" si="335"/>
        <v>0</v>
      </c>
      <c r="BB555" s="2942">
        <f t="shared" si="336"/>
        <v>0</v>
      </c>
      <c r="BC555" s="2942">
        <f t="shared" si="337"/>
        <v>0</v>
      </c>
      <c r="BD555" s="2942">
        <f t="shared" si="338"/>
        <v>0</v>
      </c>
      <c r="BE555" s="2942">
        <f t="shared" si="339"/>
        <v>0</v>
      </c>
      <c r="BF555" s="2942">
        <f t="shared" si="340"/>
        <v>0</v>
      </c>
      <c r="BG555" s="2942">
        <f t="shared" si="341"/>
        <v>0</v>
      </c>
      <c r="BH555" s="2942">
        <f t="shared" si="342"/>
        <v>0</v>
      </c>
      <c r="BI555" s="2942">
        <f t="shared" si="343"/>
        <v>0</v>
      </c>
      <c r="BJ555" s="2942">
        <f t="shared" si="344"/>
        <v>0</v>
      </c>
      <c r="BK555" s="2942">
        <f t="shared" si="345"/>
        <v>0</v>
      </c>
      <c r="BL555" s="2942">
        <f t="shared" si="346"/>
        <v>0</v>
      </c>
      <c r="BM555" s="2942">
        <f t="shared" si="347"/>
        <v>0</v>
      </c>
      <c r="BN555" s="2942">
        <f t="shared" si="348"/>
        <v>0</v>
      </c>
      <c r="BO555" s="2942">
        <f t="shared" si="349"/>
        <v>0</v>
      </c>
      <c r="BP555" s="2942">
        <f t="shared" si="350"/>
        <v>0</v>
      </c>
      <c r="BQ555" s="2942">
        <f t="shared" si="351"/>
        <v>0</v>
      </c>
      <c r="BR555" s="2942">
        <f t="shared" si="352"/>
        <v>0</v>
      </c>
      <c r="BS555" s="2942">
        <f t="shared" si="353"/>
        <v>0</v>
      </c>
      <c r="BT555" s="2994">
        <f t="shared" si="354"/>
        <v>0</v>
      </c>
    </row>
    <row r="556" spans="1:72">
      <c r="A556" s="2939"/>
      <c r="B556" s="2940"/>
      <c r="C556" s="2940"/>
      <c r="D556" s="2941"/>
      <c r="E556" s="2942">
        <f t="shared" si="326"/>
        <v>0</v>
      </c>
      <c r="F556" s="2943"/>
      <c r="G556" s="2944">
        <f t="shared" si="327"/>
        <v>0</v>
      </c>
      <c r="H556" s="2945">
        <f t="shared" si="328"/>
        <v>0</v>
      </c>
      <c r="I556" s="2952"/>
      <c r="J556" s="2952"/>
      <c r="K556" s="2952"/>
      <c r="L556" s="2952"/>
      <c r="M556" s="2952"/>
      <c r="N556" s="2952"/>
      <c r="O556" s="2952"/>
      <c r="P556" s="2952"/>
      <c r="Q556" s="2952"/>
      <c r="R556" s="2952"/>
      <c r="S556" s="2952"/>
      <c r="T556" s="2952"/>
      <c r="U556" s="2952"/>
      <c r="V556" s="2952"/>
      <c r="W556" s="2952"/>
      <c r="X556" s="2952"/>
      <c r="Y556" s="2952"/>
      <c r="Z556" s="2952"/>
      <c r="AA556" s="2952"/>
      <c r="AB556" s="2952"/>
      <c r="AC556" s="2942">
        <f t="shared" si="329"/>
        <v>0</v>
      </c>
      <c r="AD556" s="2962"/>
      <c r="AE556" s="2962"/>
      <c r="AF556" s="2962"/>
      <c r="AG556" s="2962"/>
      <c r="AH556" s="2962"/>
      <c r="AI556" s="2962"/>
      <c r="AJ556" s="2962"/>
      <c r="AK556" s="2962"/>
      <c r="AL556" s="2962"/>
      <c r="AM556" s="2962"/>
      <c r="AN556" s="2962"/>
      <c r="AO556" s="2962"/>
      <c r="AP556" s="2962"/>
      <c r="AQ556" s="2962"/>
      <c r="AR556" s="2962"/>
      <c r="AS556" s="2962"/>
      <c r="AT556" s="2972"/>
      <c r="AU556" s="2973"/>
      <c r="AV556" s="1120">
        <f t="shared" si="330"/>
        <v>0</v>
      </c>
      <c r="AW556" s="1120">
        <f t="shared" si="331"/>
        <v>0</v>
      </c>
      <c r="AX556" s="1120">
        <f t="shared" si="332"/>
        <v>0</v>
      </c>
      <c r="AY556" s="2987">
        <f t="shared" si="333"/>
        <v>0</v>
      </c>
      <c r="AZ556" s="2942">
        <f t="shared" si="334"/>
        <v>0</v>
      </c>
      <c r="BA556" s="2942">
        <f t="shared" si="335"/>
        <v>0</v>
      </c>
      <c r="BB556" s="2942">
        <f t="shared" si="336"/>
        <v>0</v>
      </c>
      <c r="BC556" s="2942">
        <f t="shared" si="337"/>
        <v>0</v>
      </c>
      <c r="BD556" s="2942">
        <f t="shared" si="338"/>
        <v>0</v>
      </c>
      <c r="BE556" s="2942">
        <f t="shared" si="339"/>
        <v>0</v>
      </c>
      <c r="BF556" s="2942">
        <f t="shared" si="340"/>
        <v>0</v>
      </c>
      <c r="BG556" s="2942">
        <f t="shared" si="341"/>
        <v>0</v>
      </c>
      <c r="BH556" s="2942">
        <f t="shared" si="342"/>
        <v>0</v>
      </c>
      <c r="BI556" s="2942">
        <f t="shared" si="343"/>
        <v>0</v>
      </c>
      <c r="BJ556" s="2942">
        <f t="shared" si="344"/>
        <v>0</v>
      </c>
      <c r="BK556" s="2942">
        <f t="shared" si="345"/>
        <v>0</v>
      </c>
      <c r="BL556" s="2942">
        <f t="shared" si="346"/>
        <v>0</v>
      </c>
      <c r="BM556" s="2942">
        <f t="shared" si="347"/>
        <v>0</v>
      </c>
      <c r="BN556" s="2942">
        <f t="shared" si="348"/>
        <v>0</v>
      </c>
      <c r="BO556" s="2942">
        <f t="shared" si="349"/>
        <v>0</v>
      </c>
      <c r="BP556" s="2942">
        <f t="shared" si="350"/>
        <v>0</v>
      </c>
      <c r="BQ556" s="2942">
        <f t="shared" si="351"/>
        <v>0</v>
      </c>
      <c r="BR556" s="2942">
        <f t="shared" si="352"/>
        <v>0</v>
      </c>
      <c r="BS556" s="2942">
        <f t="shared" si="353"/>
        <v>0</v>
      </c>
      <c r="BT556" s="2994">
        <f t="shared" si="354"/>
        <v>0</v>
      </c>
    </row>
    <row r="557" spans="1:72">
      <c r="A557" s="2939"/>
      <c r="B557" s="2940"/>
      <c r="C557" s="2940"/>
      <c r="D557" s="2941"/>
      <c r="E557" s="2942">
        <f t="shared" si="326"/>
        <v>0</v>
      </c>
      <c r="F557" s="2943"/>
      <c r="G557" s="2944">
        <f t="shared" si="327"/>
        <v>0</v>
      </c>
      <c r="H557" s="2945">
        <f t="shared" si="328"/>
        <v>0</v>
      </c>
      <c r="I557" s="2952"/>
      <c r="J557" s="2952"/>
      <c r="K557" s="2952"/>
      <c r="L557" s="2952"/>
      <c r="M557" s="2952"/>
      <c r="N557" s="2952"/>
      <c r="O557" s="2952"/>
      <c r="P557" s="2952"/>
      <c r="Q557" s="2952"/>
      <c r="R557" s="2952"/>
      <c r="S557" s="2952"/>
      <c r="T557" s="2952"/>
      <c r="U557" s="2952"/>
      <c r="V557" s="2952"/>
      <c r="W557" s="2952"/>
      <c r="X557" s="2952"/>
      <c r="Y557" s="2952"/>
      <c r="Z557" s="2952"/>
      <c r="AA557" s="2952"/>
      <c r="AB557" s="2952"/>
      <c r="AC557" s="2942">
        <f t="shared" si="329"/>
        <v>0</v>
      </c>
      <c r="AD557" s="2962"/>
      <c r="AE557" s="2962"/>
      <c r="AF557" s="2962"/>
      <c r="AG557" s="2962"/>
      <c r="AH557" s="2962"/>
      <c r="AI557" s="2962"/>
      <c r="AJ557" s="2962"/>
      <c r="AK557" s="2962"/>
      <c r="AL557" s="2962"/>
      <c r="AM557" s="2962"/>
      <c r="AN557" s="2962"/>
      <c r="AO557" s="2962"/>
      <c r="AP557" s="2962"/>
      <c r="AQ557" s="2962"/>
      <c r="AR557" s="2962"/>
      <c r="AS557" s="2962"/>
      <c r="AT557" s="2972"/>
      <c r="AU557" s="2973"/>
      <c r="AV557" s="1120">
        <f t="shared" si="330"/>
        <v>0</v>
      </c>
      <c r="AW557" s="1120">
        <f t="shared" si="331"/>
        <v>0</v>
      </c>
      <c r="AX557" s="1120">
        <f t="shared" si="332"/>
        <v>0</v>
      </c>
      <c r="AY557" s="2987">
        <f t="shared" si="333"/>
        <v>0</v>
      </c>
      <c r="AZ557" s="2942">
        <f t="shared" si="334"/>
        <v>0</v>
      </c>
      <c r="BA557" s="2942">
        <f t="shared" si="335"/>
        <v>0</v>
      </c>
      <c r="BB557" s="2942">
        <f t="shared" si="336"/>
        <v>0</v>
      </c>
      <c r="BC557" s="2942">
        <f t="shared" si="337"/>
        <v>0</v>
      </c>
      <c r="BD557" s="2942">
        <f t="shared" si="338"/>
        <v>0</v>
      </c>
      <c r="BE557" s="2942">
        <f t="shared" si="339"/>
        <v>0</v>
      </c>
      <c r="BF557" s="2942">
        <f t="shared" si="340"/>
        <v>0</v>
      </c>
      <c r="BG557" s="2942">
        <f t="shared" si="341"/>
        <v>0</v>
      </c>
      <c r="BH557" s="2942">
        <f t="shared" si="342"/>
        <v>0</v>
      </c>
      <c r="BI557" s="2942">
        <f t="shared" si="343"/>
        <v>0</v>
      </c>
      <c r="BJ557" s="2942">
        <f t="shared" si="344"/>
        <v>0</v>
      </c>
      <c r="BK557" s="2942">
        <f t="shared" si="345"/>
        <v>0</v>
      </c>
      <c r="BL557" s="2942">
        <f t="shared" si="346"/>
        <v>0</v>
      </c>
      <c r="BM557" s="2942">
        <f t="shared" si="347"/>
        <v>0</v>
      </c>
      <c r="BN557" s="2942">
        <f t="shared" si="348"/>
        <v>0</v>
      </c>
      <c r="BO557" s="2942">
        <f t="shared" si="349"/>
        <v>0</v>
      </c>
      <c r="BP557" s="2942">
        <f t="shared" si="350"/>
        <v>0</v>
      </c>
      <c r="BQ557" s="2942">
        <f t="shared" si="351"/>
        <v>0</v>
      </c>
      <c r="BR557" s="2942">
        <f t="shared" si="352"/>
        <v>0</v>
      </c>
      <c r="BS557" s="2942">
        <f t="shared" si="353"/>
        <v>0</v>
      </c>
      <c r="BT557" s="2994">
        <f t="shared" si="354"/>
        <v>0</v>
      </c>
    </row>
    <row r="558" spans="1:72">
      <c r="A558" s="2939"/>
      <c r="B558" s="2940"/>
      <c r="C558" s="2940"/>
      <c r="D558" s="2941"/>
      <c r="E558" s="2942">
        <f t="shared" si="326"/>
        <v>0</v>
      </c>
      <c r="F558" s="2943"/>
      <c r="G558" s="2944">
        <f t="shared" si="327"/>
        <v>0</v>
      </c>
      <c r="H558" s="2945">
        <f t="shared" si="328"/>
        <v>0</v>
      </c>
      <c r="I558" s="2952"/>
      <c r="J558" s="2952"/>
      <c r="K558" s="2952"/>
      <c r="L558" s="2952"/>
      <c r="M558" s="2952"/>
      <c r="N558" s="2952"/>
      <c r="O558" s="2952"/>
      <c r="P558" s="2952"/>
      <c r="Q558" s="2952"/>
      <c r="R558" s="2952"/>
      <c r="S558" s="2952"/>
      <c r="T558" s="2952"/>
      <c r="U558" s="2952"/>
      <c r="V558" s="2952"/>
      <c r="W558" s="2952"/>
      <c r="X558" s="2952"/>
      <c r="Y558" s="2952"/>
      <c r="Z558" s="2952"/>
      <c r="AA558" s="2952"/>
      <c r="AB558" s="2952"/>
      <c r="AC558" s="2942">
        <f t="shared" si="329"/>
        <v>0</v>
      </c>
      <c r="AD558" s="2962"/>
      <c r="AE558" s="2962"/>
      <c r="AF558" s="2962"/>
      <c r="AG558" s="2962"/>
      <c r="AH558" s="2962"/>
      <c r="AI558" s="2962"/>
      <c r="AJ558" s="2962"/>
      <c r="AK558" s="2962"/>
      <c r="AL558" s="2962"/>
      <c r="AM558" s="2962"/>
      <c r="AN558" s="2962"/>
      <c r="AO558" s="2962"/>
      <c r="AP558" s="2962"/>
      <c r="AQ558" s="2962"/>
      <c r="AR558" s="2962"/>
      <c r="AS558" s="2962"/>
      <c r="AT558" s="2972"/>
      <c r="AU558" s="2973"/>
      <c r="AV558" s="1120">
        <f t="shared" si="330"/>
        <v>0</v>
      </c>
      <c r="AW558" s="1120">
        <f t="shared" si="331"/>
        <v>0</v>
      </c>
      <c r="AX558" s="1120">
        <f t="shared" si="332"/>
        <v>0</v>
      </c>
      <c r="AY558" s="2987">
        <f t="shared" si="333"/>
        <v>0</v>
      </c>
      <c r="AZ558" s="2942">
        <f t="shared" si="334"/>
        <v>0</v>
      </c>
      <c r="BA558" s="2942">
        <f t="shared" si="335"/>
        <v>0</v>
      </c>
      <c r="BB558" s="2942">
        <f t="shared" si="336"/>
        <v>0</v>
      </c>
      <c r="BC558" s="2942">
        <f t="shared" si="337"/>
        <v>0</v>
      </c>
      <c r="BD558" s="2942">
        <f t="shared" si="338"/>
        <v>0</v>
      </c>
      <c r="BE558" s="2942">
        <f t="shared" si="339"/>
        <v>0</v>
      </c>
      <c r="BF558" s="2942">
        <f t="shared" si="340"/>
        <v>0</v>
      </c>
      <c r="BG558" s="2942">
        <f t="shared" si="341"/>
        <v>0</v>
      </c>
      <c r="BH558" s="2942">
        <f t="shared" si="342"/>
        <v>0</v>
      </c>
      <c r="BI558" s="2942">
        <f t="shared" si="343"/>
        <v>0</v>
      </c>
      <c r="BJ558" s="2942">
        <f t="shared" si="344"/>
        <v>0</v>
      </c>
      <c r="BK558" s="2942">
        <f t="shared" si="345"/>
        <v>0</v>
      </c>
      <c r="BL558" s="2942">
        <f t="shared" si="346"/>
        <v>0</v>
      </c>
      <c r="BM558" s="2942">
        <f t="shared" si="347"/>
        <v>0</v>
      </c>
      <c r="BN558" s="2942">
        <f t="shared" si="348"/>
        <v>0</v>
      </c>
      <c r="BO558" s="2942">
        <f t="shared" si="349"/>
        <v>0</v>
      </c>
      <c r="BP558" s="2942">
        <f t="shared" si="350"/>
        <v>0</v>
      </c>
      <c r="BQ558" s="2942">
        <f t="shared" si="351"/>
        <v>0</v>
      </c>
      <c r="BR558" s="2942">
        <f t="shared" si="352"/>
        <v>0</v>
      </c>
      <c r="BS558" s="2942">
        <f t="shared" si="353"/>
        <v>0</v>
      </c>
      <c r="BT558" s="2994">
        <f t="shared" si="354"/>
        <v>0</v>
      </c>
    </row>
    <row r="559" spans="1:72">
      <c r="A559" s="2939"/>
      <c r="B559" s="2940"/>
      <c r="C559" s="2940"/>
      <c r="D559" s="2941"/>
      <c r="E559" s="2942">
        <f t="shared" si="326"/>
        <v>0</v>
      </c>
      <c r="F559" s="2943"/>
      <c r="G559" s="2944">
        <f t="shared" si="327"/>
        <v>0</v>
      </c>
      <c r="H559" s="2945">
        <f t="shared" si="328"/>
        <v>0</v>
      </c>
      <c r="I559" s="2952"/>
      <c r="J559" s="2952"/>
      <c r="K559" s="2952"/>
      <c r="L559" s="2952"/>
      <c r="M559" s="2952"/>
      <c r="N559" s="2952"/>
      <c r="O559" s="2952"/>
      <c r="P559" s="2952"/>
      <c r="Q559" s="2952"/>
      <c r="R559" s="2952"/>
      <c r="S559" s="2952"/>
      <c r="T559" s="2952"/>
      <c r="U559" s="2952"/>
      <c r="V559" s="2952"/>
      <c r="W559" s="2952"/>
      <c r="X559" s="2952"/>
      <c r="Y559" s="2952"/>
      <c r="Z559" s="2952"/>
      <c r="AA559" s="2952"/>
      <c r="AB559" s="2952"/>
      <c r="AC559" s="2942">
        <f t="shared" si="329"/>
        <v>0</v>
      </c>
      <c r="AD559" s="2962"/>
      <c r="AE559" s="2962"/>
      <c r="AF559" s="2962"/>
      <c r="AG559" s="2962"/>
      <c r="AH559" s="2962"/>
      <c r="AI559" s="2962"/>
      <c r="AJ559" s="2962"/>
      <c r="AK559" s="2962"/>
      <c r="AL559" s="2962"/>
      <c r="AM559" s="2962"/>
      <c r="AN559" s="2962"/>
      <c r="AO559" s="2962"/>
      <c r="AP559" s="2962"/>
      <c r="AQ559" s="2962"/>
      <c r="AR559" s="2962"/>
      <c r="AS559" s="2962"/>
      <c r="AT559" s="2972"/>
      <c r="AU559" s="2973"/>
      <c r="AV559" s="1120">
        <f t="shared" si="330"/>
        <v>0</v>
      </c>
      <c r="AW559" s="1120">
        <f t="shared" si="331"/>
        <v>0</v>
      </c>
      <c r="AX559" s="1120">
        <f t="shared" si="332"/>
        <v>0</v>
      </c>
      <c r="AY559" s="2987">
        <f t="shared" si="333"/>
        <v>0</v>
      </c>
      <c r="AZ559" s="2942">
        <f t="shared" si="334"/>
        <v>0</v>
      </c>
      <c r="BA559" s="2942">
        <f t="shared" si="335"/>
        <v>0</v>
      </c>
      <c r="BB559" s="2942">
        <f t="shared" si="336"/>
        <v>0</v>
      </c>
      <c r="BC559" s="2942">
        <f t="shared" si="337"/>
        <v>0</v>
      </c>
      <c r="BD559" s="2942">
        <f t="shared" si="338"/>
        <v>0</v>
      </c>
      <c r="BE559" s="2942">
        <f t="shared" si="339"/>
        <v>0</v>
      </c>
      <c r="BF559" s="2942">
        <f t="shared" si="340"/>
        <v>0</v>
      </c>
      <c r="BG559" s="2942">
        <f t="shared" si="341"/>
        <v>0</v>
      </c>
      <c r="BH559" s="2942">
        <f t="shared" si="342"/>
        <v>0</v>
      </c>
      <c r="BI559" s="2942">
        <f t="shared" si="343"/>
        <v>0</v>
      </c>
      <c r="BJ559" s="2942">
        <f t="shared" si="344"/>
        <v>0</v>
      </c>
      <c r="BK559" s="2942">
        <f t="shared" si="345"/>
        <v>0</v>
      </c>
      <c r="BL559" s="2942">
        <f t="shared" si="346"/>
        <v>0</v>
      </c>
      <c r="BM559" s="2942">
        <f t="shared" si="347"/>
        <v>0</v>
      </c>
      <c r="BN559" s="2942">
        <f t="shared" si="348"/>
        <v>0</v>
      </c>
      <c r="BO559" s="2942">
        <f t="shared" si="349"/>
        <v>0</v>
      </c>
      <c r="BP559" s="2942">
        <f t="shared" si="350"/>
        <v>0</v>
      </c>
      <c r="BQ559" s="2942">
        <f t="shared" si="351"/>
        <v>0</v>
      </c>
      <c r="BR559" s="2942">
        <f t="shared" si="352"/>
        <v>0</v>
      </c>
      <c r="BS559" s="2942">
        <f t="shared" si="353"/>
        <v>0</v>
      </c>
      <c r="BT559" s="2994">
        <f t="shared" si="354"/>
        <v>0</v>
      </c>
    </row>
    <row r="560" spans="1:72">
      <c r="A560" s="2939"/>
      <c r="B560" s="2940"/>
      <c r="C560" s="2940"/>
      <c r="D560" s="2941"/>
      <c r="E560" s="2942">
        <f t="shared" si="326"/>
        <v>0</v>
      </c>
      <c r="F560" s="2943"/>
      <c r="G560" s="2944">
        <f t="shared" si="327"/>
        <v>0</v>
      </c>
      <c r="H560" s="2945">
        <f t="shared" si="328"/>
        <v>0</v>
      </c>
      <c r="I560" s="2952"/>
      <c r="J560" s="2952"/>
      <c r="K560" s="2952"/>
      <c r="L560" s="2952"/>
      <c r="M560" s="2952"/>
      <c r="N560" s="2952"/>
      <c r="O560" s="2952"/>
      <c r="P560" s="2952"/>
      <c r="Q560" s="2952"/>
      <c r="R560" s="2952"/>
      <c r="S560" s="2952"/>
      <c r="T560" s="2952"/>
      <c r="U560" s="2952"/>
      <c r="V560" s="2952"/>
      <c r="W560" s="2952"/>
      <c r="X560" s="2952"/>
      <c r="Y560" s="2952"/>
      <c r="Z560" s="2952"/>
      <c r="AA560" s="2952"/>
      <c r="AB560" s="2952"/>
      <c r="AC560" s="2942">
        <f t="shared" si="329"/>
        <v>0</v>
      </c>
      <c r="AD560" s="2962"/>
      <c r="AE560" s="2962"/>
      <c r="AF560" s="2962"/>
      <c r="AG560" s="2962"/>
      <c r="AH560" s="2962"/>
      <c r="AI560" s="2962"/>
      <c r="AJ560" s="2962"/>
      <c r="AK560" s="2962"/>
      <c r="AL560" s="2962"/>
      <c r="AM560" s="2962"/>
      <c r="AN560" s="2962"/>
      <c r="AO560" s="2962"/>
      <c r="AP560" s="2962"/>
      <c r="AQ560" s="2962"/>
      <c r="AR560" s="2962"/>
      <c r="AS560" s="2962"/>
      <c r="AT560" s="2972"/>
      <c r="AU560" s="2973"/>
      <c r="AV560" s="1120">
        <f t="shared" si="330"/>
        <v>0</v>
      </c>
      <c r="AW560" s="1120">
        <f t="shared" si="331"/>
        <v>0</v>
      </c>
      <c r="AX560" s="1120">
        <f t="shared" si="332"/>
        <v>0</v>
      </c>
      <c r="AY560" s="2987">
        <f t="shared" si="333"/>
        <v>0</v>
      </c>
      <c r="AZ560" s="2942">
        <f t="shared" si="334"/>
        <v>0</v>
      </c>
      <c r="BA560" s="2942">
        <f t="shared" si="335"/>
        <v>0</v>
      </c>
      <c r="BB560" s="2942">
        <f t="shared" si="336"/>
        <v>0</v>
      </c>
      <c r="BC560" s="2942">
        <f t="shared" si="337"/>
        <v>0</v>
      </c>
      <c r="BD560" s="2942">
        <f t="shared" si="338"/>
        <v>0</v>
      </c>
      <c r="BE560" s="2942">
        <f t="shared" si="339"/>
        <v>0</v>
      </c>
      <c r="BF560" s="2942">
        <f t="shared" si="340"/>
        <v>0</v>
      </c>
      <c r="BG560" s="2942">
        <f t="shared" si="341"/>
        <v>0</v>
      </c>
      <c r="BH560" s="2942">
        <f t="shared" si="342"/>
        <v>0</v>
      </c>
      <c r="BI560" s="2942">
        <f t="shared" si="343"/>
        <v>0</v>
      </c>
      <c r="BJ560" s="2942">
        <f t="shared" si="344"/>
        <v>0</v>
      </c>
      <c r="BK560" s="2942">
        <f t="shared" si="345"/>
        <v>0</v>
      </c>
      <c r="BL560" s="2942">
        <f t="shared" si="346"/>
        <v>0</v>
      </c>
      <c r="BM560" s="2942">
        <f t="shared" si="347"/>
        <v>0</v>
      </c>
      <c r="BN560" s="2942">
        <f t="shared" si="348"/>
        <v>0</v>
      </c>
      <c r="BO560" s="2942">
        <f t="shared" si="349"/>
        <v>0</v>
      </c>
      <c r="BP560" s="2942">
        <f t="shared" si="350"/>
        <v>0</v>
      </c>
      <c r="BQ560" s="2942">
        <f t="shared" si="351"/>
        <v>0</v>
      </c>
      <c r="BR560" s="2942">
        <f t="shared" si="352"/>
        <v>0</v>
      </c>
      <c r="BS560" s="2942">
        <f t="shared" si="353"/>
        <v>0</v>
      </c>
      <c r="BT560" s="2994">
        <f t="shared" si="354"/>
        <v>0</v>
      </c>
    </row>
    <row r="561" spans="1:72">
      <c r="A561" s="2939"/>
      <c r="B561" s="2940"/>
      <c r="C561" s="2940"/>
      <c r="D561" s="2941"/>
      <c r="E561" s="2942">
        <f t="shared" si="326"/>
        <v>0</v>
      </c>
      <c r="F561" s="2943"/>
      <c r="G561" s="2944">
        <f t="shared" si="327"/>
        <v>0</v>
      </c>
      <c r="H561" s="2945">
        <f t="shared" si="328"/>
        <v>0</v>
      </c>
      <c r="I561" s="2952"/>
      <c r="J561" s="2952"/>
      <c r="K561" s="2952"/>
      <c r="L561" s="2952"/>
      <c r="M561" s="2952"/>
      <c r="N561" s="2952"/>
      <c r="O561" s="2952"/>
      <c r="P561" s="2952"/>
      <c r="Q561" s="2952"/>
      <c r="R561" s="2952"/>
      <c r="S561" s="2952"/>
      <c r="T561" s="2952"/>
      <c r="U561" s="2952"/>
      <c r="V561" s="2952"/>
      <c r="W561" s="2952"/>
      <c r="X561" s="2952"/>
      <c r="Y561" s="2952"/>
      <c r="Z561" s="2952"/>
      <c r="AA561" s="2952"/>
      <c r="AB561" s="2952"/>
      <c r="AC561" s="2942">
        <f t="shared" si="329"/>
        <v>0</v>
      </c>
      <c r="AD561" s="2962"/>
      <c r="AE561" s="2962"/>
      <c r="AF561" s="2962"/>
      <c r="AG561" s="2962"/>
      <c r="AH561" s="2962"/>
      <c r="AI561" s="2962"/>
      <c r="AJ561" s="2962"/>
      <c r="AK561" s="2962"/>
      <c r="AL561" s="2962"/>
      <c r="AM561" s="2962"/>
      <c r="AN561" s="2962"/>
      <c r="AO561" s="2962"/>
      <c r="AP561" s="2962"/>
      <c r="AQ561" s="2962"/>
      <c r="AR561" s="2962"/>
      <c r="AS561" s="2962"/>
      <c r="AT561" s="2972"/>
      <c r="AU561" s="2973"/>
      <c r="AV561" s="1120">
        <f t="shared" si="330"/>
        <v>0</v>
      </c>
      <c r="AW561" s="1120">
        <f t="shared" si="331"/>
        <v>0</v>
      </c>
      <c r="AX561" s="1120">
        <f t="shared" si="332"/>
        <v>0</v>
      </c>
      <c r="AY561" s="2987">
        <f t="shared" si="333"/>
        <v>0</v>
      </c>
      <c r="AZ561" s="2942">
        <f t="shared" si="334"/>
        <v>0</v>
      </c>
      <c r="BA561" s="2942">
        <f t="shared" si="335"/>
        <v>0</v>
      </c>
      <c r="BB561" s="2942">
        <f t="shared" si="336"/>
        <v>0</v>
      </c>
      <c r="BC561" s="2942">
        <f t="shared" si="337"/>
        <v>0</v>
      </c>
      <c r="BD561" s="2942">
        <f t="shared" si="338"/>
        <v>0</v>
      </c>
      <c r="BE561" s="2942">
        <f t="shared" si="339"/>
        <v>0</v>
      </c>
      <c r="BF561" s="2942">
        <f t="shared" si="340"/>
        <v>0</v>
      </c>
      <c r="BG561" s="2942">
        <f t="shared" si="341"/>
        <v>0</v>
      </c>
      <c r="BH561" s="2942">
        <f t="shared" si="342"/>
        <v>0</v>
      </c>
      <c r="BI561" s="2942">
        <f t="shared" si="343"/>
        <v>0</v>
      </c>
      <c r="BJ561" s="2942">
        <f t="shared" si="344"/>
        <v>0</v>
      </c>
      <c r="BK561" s="2942">
        <f t="shared" si="345"/>
        <v>0</v>
      </c>
      <c r="BL561" s="2942">
        <f t="shared" si="346"/>
        <v>0</v>
      </c>
      <c r="BM561" s="2942">
        <f t="shared" si="347"/>
        <v>0</v>
      </c>
      <c r="BN561" s="2942">
        <f t="shared" si="348"/>
        <v>0</v>
      </c>
      <c r="BO561" s="2942">
        <f t="shared" si="349"/>
        <v>0</v>
      </c>
      <c r="BP561" s="2942">
        <f t="shared" si="350"/>
        <v>0</v>
      </c>
      <c r="BQ561" s="2942">
        <f t="shared" si="351"/>
        <v>0</v>
      </c>
      <c r="BR561" s="2942">
        <f t="shared" si="352"/>
        <v>0</v>
      </c>
      <c r="BS561" s="2942">
        <f t="shared" si="353"/>
        <v>0</v>
      </c>
      <c r="BT561" s="2994">
        <f t="shared" si="354"/>
        <v>0</v>
      </c>
    </row>
    <row r="562" spans="1:72">
      <c r="A562" s="2939"/>
      <c r="B562" s="2940"/>
      <c r="C562" s="2940"/>
      <c r="D562" s="2941"/>
      <c r="E562" s="2942">
        <f t="shared" si="326"/>
        <v>0</v>
      </c>
      <c r="F562" s="2943"/>
      <c r="G562" s="2944">
        <f t="shared" si="327"/>
        <v>0</v>
      </c>
      <c r="H562" s="2945">
        <f t="shared" si="328"/>
        <v>0</v>
      </c>
      <c r="I562" s="2952"/>
      <c r="J562" s="2952"/>
      <c r="K562" s="2952"/>
      <c r="L562" s="2952"/>
      <c r="M562" s="2952"/>
      <c r="N562" s="2952"/>
      <c r="O562" s="2952"/>
      <c r="P562" s="2952"/>
      <c r="Q562" s="2952"/>
      <c r="R562" s="2952"/>
      <c r="S562" s="2952"/>
      <c r="T562" s="2952"/>
      <c r="U562" s="2952"/>
      <c r="V562" s="2952"/>
      <c r="W562" s="2952"/>
      <c r="X562" s="2952"/>
      <c r="Y562" s="2952"/>
      <c r="Z562" s="2952"/>
      <c r="AA562" s="2952"/>
      <c r="AB562" s="2952"/>
      <c r="AC562" s="2942">
        <f t="shared" si="329"/>
        <v>0</v>
      </c>
      <c r="AD562" s="2962"/>
      <c r="AE562" s="2962"/>
      <c r="AF562" s="2962"/>
      <c r="AG562" s="2962"/>
      <c r="AH562" s="2962"/>
      <c r="AI562" s="2962"/>
      <c r="AJ562" s="2962"/>
      <c r="AK562" s="2962"/>
      <c r="AL562" s="2962"/>
      <c r="AM562" s="2962"/>
      <c r="AN562" s="2962"/>
      <c r="AO562" s="2962"/>
      <c r="AP562" s="2962"/>
      <c r="AQ562" s="2962"/>
      <c r="AR562" s="2962"/>
      <c r="AS562" s="2962"/>
      <c r="AT562" s="2972"/>
      <c r="AU562" s="2973"/>
      <c r="AV562" s="1120">
        <f t="shared" si="330"/>
        <v>0</v>
      </c>
      <c r="AW562" s="1120">
        <f t="shared" si="331"/>
        <v>0</v>
      </c>
      <c r="AX562" s="1120">
        <f t="shared" si="332"/>
        <v>0</v>
      </c>
      <c r="AY562" s="2987">
        <f t="shared" si="333"/>
        <v>0</v>
      </c>
      <c r="AZ562" s="2942">
        <f t="shared" si="334"/>
        <v>0</v>
      </c>
      <c r="BA562" s="2942">
        <f t="shared" si="335"/>
        <v>0</v>
      </c>
      <c r="BB562" s="2942">
        <f t="shared" si="336"/>
        <v>0</v>
      </c>
      <c r="BC562" s="2942">
        <f t="shared" si="337"/>
        <v>0</v>
      </c>
      <c r="BD562" s="2942">
        <f t="shared" si="338"/>
        <v>0</v>
      </c>
      <c r="BE562" s="2942">
        <f t="shared" si="339"/>
        <v>0</v>
      </c>
      <c r="BF562" s="2942">
        <f t="shared" si="340"/>
        <v>0</v>
      </c>
      <c r="BG562" s="2942">
        <f t="shared" si="341"/>
        <v>0</v>
      </c>
      <c r="BH562" s="2942">
        <f t="shared" si="342"/>
        <v>0</v>
      </c>
      <c r="BI562" s="2942">
        <f t="shared" si="343"/>
        <v>0</v>
      </c>
      <c r="BJ562" s="2942">
        <f t="shared" si="344"/>
        <v>0</v>
      </c>
      <c r="BK562" s="2942">
        <f t="shared" si="345"/>
        <v>0</v>
      </c>
      <c r="BL562" s="2942">
        <f t="shared" si="346"/>
        <v>0</v>
      </c>
      <c r="BM562" s="2942">
        <f t="shared" si="347"/>
        <v>0</v>
      </c>
      <c r="BN562" s="2942">
        <f t="shared" si="348"/>
        <v>0</v>
      </c>
      <c r="BO562" s="2942">
        <f t="shared" si="349"/>
        <v>0</v>
      </c>
      <c r="BP562" s="2942">
        <f t="shared" si="350"/>
        <v>0</v>
      </c>
      <c r="BQ562" s="2942">
        <f t="shared" si="351"/>
        <v>0</v>
      </c>
      <c r="BR562" s="2942">
        <f t="shared" si="352"/>
        <v>0</v>
      </c>
      <c r="BS562" s="2942">
        <f t="shared" si="353"/>
        <v>0</v>
      </c>
      <c r="BT562" s="2994">
        <f t="shared" si="354"/>
        <v>0</v>
      </c>
    </row>
    <row r="563" spans="1:72">
      <c r="A563" s="2939"/>
      <c r="B563" s="2940"/>
      <c r="C563" s="2940"/>
      <c r="D563" s="2941"/>
      <c r="E563" s="2942">
        <f t="shared" si="326"/>
        <v>0</v>
      </c>
      <c r="F563" s="2943"/>
      <c r="G563" s="2944">
        <f t="shared" si="327"/>
        <v>0</v>
      </c>
      <c r="H563" s="2945">
        <f t="shared" si="328"/>
        <v>0</v>
      </c>
      <c r="I563" s="2952"/>
      <c r="J563" s="2952"/>
      <c r="K563" s="2952"/>
      <c r="L563" s="2952"/>
      <c r="M563" s="2952"/>
      <c r="N563" s="2952"/>
      <c r="O563" s="2952"/>
      <c r="P563" s="2952"/>
      <c r="Q563" s="2952"/>
      <c r="R563" s="2952"/>
      <c r="S563" s="2952"/>
      <c r="T563" s="2952"/>
      <c r="U563" s="2952"/>
      <c r="V563" s="2952"/>
      <c r="W563" s="2952"/>
      <c r="X563" s="2952"/>
      <c r="Y563" s="2952"/>
      <c r="Z563" s="2952"/>
      <c r="AA563" s="2952"/>
      <c r="AB563" s="2952"/>
      <c r="AC563" s="2942">
        <f t="shared" si="329"/>
        <v>0</v>
      </c>
      <c r="AD563" s="2962"/>
      <c r="AE563" s="2962"/>
      <c r="AF563" s="2962"/>
      <c r="AG563" s="2962"/>
      <c r="AH563" s="2962"/>
      <c r="AI563" s="2962"/>
      <c r="AJ563" s="2962"/>
      <c r="AK563" s="2962"/>
      <c r="AL563" s="2962"/>
      <c r="AM563" s="2962"/>
      <c r="AN563" s="2962"/>
      <c r="AO563" s="2962"/>
      <c r="AP563" s="2962"/>
      <c r="AQ563" s="2962"/>
      <c r="AR563" s="2962"/>
      <c r="AS563" s="2962"/>
      <c r="AT563" s="2972"/>
      <c r="AU563" s="2973"/>
      <c r="AV563" s="1120">
        <f t="shared" si="330"/>
        <v>0</v>
      </c>
      <c r="AW563" s="1120">
        <f t="shared" si="331"/>
        <v>0</v>
      </c>
      <c r="AX563" s="1120">
        <f t="shared" si="332"/>
        <v>0</v>
      </c>
      <c r="AY563" s="2987">
        <f t="shared" si="333"/>
        <v>0</v>
      </c>
      <c r="AZ563" s="2942">
        <f t="shared" si="334"/>
        <v>0</v>
      </c>
      <c r="BA563" s="2942">
        <f t="shared" si="335"/>
        <v>0</v>
      </c>
      <c r="BB563" s="2942">
        <f t="shared" si="336"/>
        <v>0</v>
      </c>
      <c r="BC563" s="2942">
        <f t="shared" si="337"/>
        <v>0</v>
      </c>
      <c r="BD563" s="2942">
        <f t="shared" si="338"/>
        <v>0</v>
      </c>
      <c r="BE563" s="2942">
        <f t="shared" si="339"/>
        <v>0</v>
      </c>
      <c r="BF563" s="2942">
        <f t="shared" si="340"/>
        <v>0</v>
      </c>
      <c r="BG563" s="2942">
        <f t="shared" si="341"/>
        <v>0</v>
      </c>
      <c r="BH563" s="2942">
        <f t="shared" si="342"/>
        <v>0</v>
      </c>
      <c r="BI563" s="2942">
        <f t="shared" si="343"/>
        <v>0</v>
      </c>
      <c r="BJ563" s="2942">
        <f t="shared" si="344"/>
        <v>0</v>
      </c>
      <c r="BK563" s="2942">
        <f t="shared" si="345"/>
        <v>0</v>
      </c>
      <c r="BL563" s="2942">
        <f t="shared" si="346"/>
        <v>0</v>
      </c>
      <c r="BM563" s="2942">
        <f t="shared" si="347"/>
        <v>0</v>
      </c>
      <c r="BN563" s="2942">
        <f t="shared" si="348"/>
        <v>0</v>
      </c>
      <c r="BO563" s="2942">
        <f t="shared" si="349"/>
        <v>0</v>
      </c>
      <c r="BP563" s="2942">
        <f t="shared" si="350"/>
        <v>0</v>
      </c>
      <c r="BQ563" s="2942">
        <f t="shared" si="351"/>
        <v>0</v>
      </c>
      <c r="BR563" s="2942">
        <f t="shared" si="352"/>
        <v>0</v>
      </c>
      <c r="BS563" s="2942">
        <f t="shared" si="353"/>
        <v>0</v>
      </c>
      <c r="BT563" s="2994">
        <f t="shared" si="354"/>
        <v>0</v>
      </c>
    </row>
    <row r="564" spans="1:72">
      <c r="A564" s="2939"/>
      <c r="B564" s="2940"/>
      <c r="C564" s="2940"/>
      <c r="D564" s="2941"/>
      <c r="E564" s="2942">
        <f t="shared" si="326"/>
        <v>0</v>
      </c>
      <c r="F564" s="2943"/>
      <c r="G564" s="2944">
        <f t="shared" si="327"/>
        <v>0</v>
      </c>
      <c r="H564" s="2945">
        <f t="shared" si="328"/>
        <v>0</v>
      </c>
      <c r="I564" s="2952"/>
      <c r="J564" s="2952"/>
      <c r="K564" s="2952"/>
      <c r="L564" s="2952"/>
      <c r="M564" s="2952"/>
      <c r="N564" s="2952"/>
      <c r="O564" s="2952"/>
      <c r="P564" s="2952"/>
      <c r="Q564" s="2952"/>
      <c r="R564" s="2952"/>
      <c r="S564" s="2952"/>
      <c r="T564" s="2952"/>
      <c r="U564" s="2952"/>
      <c r="V564" s="2952"/>
      <c r="W564" s="2952"/>
      <c r="X564" s="2952"/>
      <c r="Y564" s="2952"/>
      <c r="Z564" s="2952"/>
      <c r="AA564" s="2952"/>
      <c r="AB564" s="2952"/>
      <c r="AC564" s="2942">
        <f t="shared" si="329"/>
        <v>0</v>
      </c>
      <c r="AD564" s="2962"/>
      <c r="AE564" s="2962"/>
      <c r="AF564" s="2962"/>
      <c r="AG564" s="2962"/>
      <c r="AH564" s="2962"/>
      <c r="AI564" s="2962"/>
      <c r="AJ564" s="2962"/>
      <c r="AK564" s="2962"/>
      <c r="AL564" s="2962"/>
      <c r="AM564" s="2962"/>
      <c r="AN564" s="2962"/>
      <c r="AO564" s="2962"/>
      <c r="AP564" s="2962"/>
      <c r="AQ564" s="2962"/>
      <c r="AR564" s="2962"/>
      <c r="AS564" s="2962"/>
      <c r="AT564" s="2972"/>
      <c r="AU564" s="2973"/>
      <c r="AV564" s="1120">
        <f t="shared" si="330"/>
        <v>0</v>
      </c>
      <c r="AW564" s="1120">
        <f t="shared" si="331"/>
        <v>0</v>
      </c>
      <c r="AX564" s="1120">
        <f t="shared" si="332"/>
        <v>0</v>
      </c>
      <c r="AY564" s="2987">
        <f t="shared" si="333"/>
        <v>0</v>
      </c>
      <c r="AZ564" s="2942">
        <f t="shared" si="334"/>
        <v>0</v>
      </c>
      <c r="BA564" s="2942">
        <f t="shared" si="335"/>
        <v>0</v>
      </c>
      <c r="BB564" s="2942">
        <f t="shared" si="336"/>
        <v>0</v>
      </c>
      <c r="BC564" s="2942">
        <f t="shared" si="337"/>
        <v>0</v>
      </c>
      <c r="BD564" s="2942">
        <f t="shared" si="338"/>
        <v>0</v>
      </c>
      <c r="BE564" s="2942">
        <f t="shared" si="339"/>
        <v>0</v>
      </c>
      <c r="BF564" s="2942">
        <f t="shared" si="340"/>
        <v>0</v>
      </c>
      <c r="BG564" s="2942">
        <f t="shared" si="341"/>
        <v>0</v>
      </c>
      <c r="BH564" s="2942">
        <f t="shared" si="342"/>
        <v>0</v>
      </c>
      <c r="BI564" s="2942">
        <f t="shared" si="343"/>
        <v>0</v>
      </c>
      <c r="BJ564" s="2942">
        <f t="shared" si="344"/>
        <v>0</v>
      </c>
      <c r="BK564" s="2942">
        <f t="shared" si="345"/>
        <v>0</v>
      </c>
      <c r="BL564" s="2942">
        <f t="shared" si="346"/>
        <v>0</v>
      </c>
      <c r="BM564" s="2942">
        <f t="shared" si="347"/>
        <v>0</v>
      </c>
      <c r="BN564" s="2942">
        <f t="shared" si="348"/>
        <v>0</v>
      </c>
      <c r="BO564" s="2942">
        <f t="shared" si="349"/>
        <v>0</v>
      </c>
      <c r="BP564" s="2942">
        <f t="shared" si="350"/>
        <v>0</v>
      </c>
      <c r="BQ564" s="2942">
        <f t="shared" si="351"/>
        <v>0</v>
      </c>
      <c r="BR564" s="2942">
        <f t="shared" si="352"/>
        <v>0</v>
      </c>
      <c r="BS564" s="2942">
        <f t="shared" si="353"/>
        <v>0</v>
      </c>
      <c r="BT564" s="2994">
        <f t="shared" si="354"/>
        <v>0</v>
      </c>
    </row>
    <row r="565" spans="1:72">
      <c r="A565" s="2939"/>
      <c r="B565" s="2940"/>
      <c r="C565" s="2940"/>
      <c r="D565" s="2941"/>
      <c r="E565" s="2942">
        <f t="shared" si="326"/>
        <v>0</v>
      </c>
      <c r="F565" s="2943"/>
      <c r="G565" s="2944">
        <f t="shared" si="327"/>
        <v>0</v>
      </c>
      <c r="H565" s="2945">
        <f t="shared" si="328"/>
        <v>0</v>
      </c>
      <c r="I565" s="2952"/>
      <c r="J565" s="2952"/>
      <c r="K565" s="2952"/>
      <c r="L565" s="2952"/>
      <c r="M565" s="2952"/>
      <c r="N565" s="2952"/>
      <c r="O565" s="2952"/>
      <c r="P565" s="2952"/>
      <c r="Q565" s="2952"/>
      <c r="R565" s="2952"/>
      <c r="S565" s="2952"/>
      <c r="T565" s="2952"/>
      <c r="U565" s="2952"/>
      <c r="V565" s="2952"/>
      <c r="W565" s="2952"/>
      <c r="X565" s="2952"/>
      <c r="Y565" s="2952"/>
      <c r="Z565" s="2952"/>
      <c r="AA565" s="2952"/>
      <c r="AB565" s="2952"/>
      <c r="AC565" s="2942">
        <f t="shared" si="329"/>
        <v>0</v>
      </c>
      <c r="AD565" s="2962"/>
      <c r="AE565" s="2962"/>
      <c r="AF565" s="2962"/>
      <c r="AG565" s="2962"/>
      <c r="AH565" s="2962"/>
      <c r="AI565" s="2962"/>
      <c r="AJ565" s="2962"/>
      <c r="AK565" s="2962"/>
      <c r="AL565" s="2962"/>
      <c r="AM565" s="2962"/>
      <c r="AN565" s="2962"/>
      <c r="AO565" s="2962"/>
      <c r="AP565" s="2962"/>
      <c r="AQ565" s="2962"/>
      <c r="AR565" s="2962"/>
      <c r="AS565" s="2962"/>
      <c r="AT565" s="2972"/>
      <c r="AU565" s="2973"/>
      <c r="AV565" s="1120">
        <f t="shared" si="330"/>
        <v>0</v>
      </c>
      <c r="AW565" s="1120">
        <f t="shared" si="331"/>
        <v>0</v>
      </c>
      <c r="AX565" s="1120">
        <f t="shared" si="332"/>
        <v>0</v>
      </c>
      <c r="AY565" s="2987">
        <f t="shared" si="333"/>
        <v>0</v>
      </c>
      <c r="AZ565" s="2942">
        <f t="shared" si="334"/>
        <v>0</v>
      </c>
      <c r="BA565" s="2942">
        <f t="shared" si="335"/>
        <v>0</v>
      </c>
      <c r="BB565" s="2942">
        <f t="shared" si="336"/>
        <v>0</v>
      </c>
      <c r="BC565" s="2942">
        <f t="shared" si="337"/>
        <v>0</v>
      </c>
      <c r="BD565" s="2942">
        <f t="shared" si="338"/>
        <v>0</v>
      </c>
      <c r="BE565" s="2942">
        <f t="shared" si="339"/>
        <v>0</v>
      </c>
      <c r="BF565" s="2942">
        <f t="shared" si="340"/>
        <v>0</v>
      </c>
      <c r="BG565" s="2942">
        <f t="shared" si="341"/>
        <v>0</v>
      </c>
      <c r="BH565" s="2942">
        <f t="shared" si="342"/>
        <v>0</v>
      </c>
      <c r="BI565" s="2942">
        <f t="shared" si="343"/>
        <v>0</v>
      </c>
      <c r="BJ565" s="2942">
        <f t="shared" si="344"/>
        <v>0</v>
      </c>
      <c r="BK565" s="2942">
        <f t="shared" si="345"/>
        <v>0</v>
      </c>
      <c r="BL565" s="2942">
        <f t="shared" si="346"/>
        <v>0</v>
      </c>
      <c r="BM565" s="2942">
        <f t="shared" si="347"/>
        <v>0</v>
      </c>
      <c r="BN565" s="2942">
        <f t="shared" si="348"/>
        <v>0</v>
      </c>
      <c r="BO565" s="2942">
        <f t="shared" si="349"/>
        <v>0</v>
      </c>
      <c r="BP565" s="2942">
        <f t="shared" si="350"/>
        <v>0</v>
      </c>
      <c r="BQ565" s="2942">
        <f t="shared" si="351"/>
        <v>0</v>
      </c>
      <c r="BR565" s="2942">
        <f t="shared" si="352"/>
        <v>0</v>
      </c>
      <c r="BS565" s="2942">
        <f t="shared" si="353"/>
        <v>0</v>
      </c>
      <c r="BT565" s="2994">
        <f t="shared" si="354"/>
        <v>0</v>
      </c>
    </row>
    <row r="566" spans="1:72">
      <c r="A566" s="2939"/>
      <c r="B566" s="2940"/>
      <c r="C566" s="2940"/>
      <c r="D566" s="2941"/>
      <c r="E566" s="2942">
        <f t="shared" si="326"/>
        <v>0</v>
      </c>
      <c r="F566" s="2943"/>
      <c r="G566" s="2944">
        <f t="shared" si="327"/>
        <v>0</v>
      </c>
      <c r="H566" s="2945">
        <f t="shared" si="328"/>
        <v>0</v>
      </c>
      <c r="I566" s="2952"/>
      <c r="J566" s="2952"/>
      <c r="K566" s="2952"/>
      <c r="L566" s="2952"/>
      <c r="M566" s="2952"/>
      <c r="N566" s="2952"/>
      <c r="O566" s="2952"/>
      <c r="P566" s="2952"/>
      <c r="Q566" s="2952"/>
      <c r="R566" s="2952"/>
      <c r="S566" s="2952"/>
      <c r="T566" s="2952"/>
      <c r="U566" s="2952"/>
      <c r="V566" s="2952"/>
      <c r="W566" s="2952"/>
      <c r="X566" s="2952"/>
      <c r="Y566" s="2952"/>
      <c r="Z566" s="2952"/>
      <c r="AA566" s="2952"/>
      <c r="AB566" s="2952"/>
      <c r="AC566" s="2942">
        <f t="shared" si="329"/>
        <v>0</v>
      </c>
      <c r="AD566" s="2962"/>
      <c r="AE566" s="2962"/>
      <c r="AF566" s="2962"/>
      <c r="AG566" s="2962"/>
      <c r="AH566" s="2962"/>
      <c r="AI566" s="2962"/>
      <c r="AJ566" s="2962"/>
      <c r="AK566" s="2962"/>
      <c r="AL566" s="2962"/>
      <c r="AM566" s="2962"/>
      <c r="AN566" s="2962"/>
      <c r="AO566" s="2962"/>
      <c r="AP566" s="2962"/>
      <c r="AQ566" s="2962"/>
      <c r="AR566" s="2962"/>
      <c r="AS566" s="2962"/>
      <c r="AT566" s="2972"/>
      <c r="AU566" s="2973"/>
      <c r="AV566" s="1120">
        <f t="shared" si="330"/>
        <v>0</v>
      </c>
      <c r="AW566" s="1120">
        <f t="shared" si="331"/>
        <v>0</v>
      </c>
      <c r="AX566" s="1120">
        <f t="shared" si="332"/>
        <v>0</v>
      </c>
      <c r="AY566" s="2987">
        <f t="shared" si="333"/>
        <v>0</v>
      </c>
      <c r="AZ566" s="2942">
        <f t="shared" si="334"/>
        <v>0</v>
      </c>
      <c r="BA566" s="2942">
        <f t="shared" si="335"/>
        <v>0</v>
      </c>
      <c r="BB566" s="2942">
        <f t="shared" si="336"/>
        <v>0</v>
      </c>
      <c r="BC566" s="2942">
        <f t="shared" si="337"/>
        <v>0</v>
      </c>
      <c r="BD566" s="2942">
        <f t="shared" si="338"/>
        <v>0</v>
      </c>
      <c r="BE566" s="2942">
        <f t="shared" si="339"/>
        <v>0</v>
      </c>
      <c r="BF566" s="2942">
        <f t="shared" si="340"/>
        <v>0</v>
      </c>
      <c r="BG566" s="2942">
        <f t="shared" si="341"/>
        <v>0</v>
      </c>
      <c r="BH566" s="2942">
        <f t="shared" si="342"/>
        <v>0</v>
      </c>
      <c r="BI566" s="2942">
        <f t="shared" si="343"/>
        <v>0</v>
      </c>
      <c r="BJ566" s="2942">
        <f t="shared" si="344"/>
        <v>0</v>
      </c>
      <c r="BK566" s="2942">
        <f t="shared" si="345"/>
        <v>0</v>
      </c>
      <c r="BL566" s="2942">
        <f t="shared" si="346"/>
        <v>0</v>
      </c>
      <c r="BM566" s="2942">
        <f t="shared" si="347"/>
        <v>0</v>
      </c>
      <c r="BN566" s="2942">
        <f t="shared" si="348"/>
        <v>0</v>
      </c>
      <c r="BO566" s="2942">
        <f t="shared" si="349"/>
        <v>0</v>
      </c>
      <c r="BP566" s="2942">
        <f t="shared" si="350"/>
        <v>0</v>
      </c>
      <c r="BQ566" s="2942">
        <f t="shared" si="351"/>
        <v>0</v>
      </c>
      <c r="BR566" s="2942">
        <f t="shared" si="352"/>
        <v>0</v>
      </c>
      <c r="BS566" s="2942">
        <f t="shared" si="353"/>
        <v>0</v>
      </c>
      <c r="BT566" s="2994">
        <f t="shared" si="354"/>
        <v>0</v>
      </c>
    </row>
    <row r="567" spans="1:72">
      <c r="A567" s="2939"/>
      <c r="B567" s="2940"/>
      <c r="C567" s="2940"/>
      <c r="D567" s="2941"/>
      <c r="E567" s="2942">
        <f t="shared" si="326"/>
        <v>0</v>
      </c>
      <c r="F567" s="2943"/>
      <c r="G567" s="2944">
        <f t="shared" si="327"/>
        <v>0</v>
      </c>
      <c r="H567" s="2945">
        <f t="shared" si="328"/>
        <v>0</v>
      </c>
      <c r="I567" s="2952"/>
      <c r="J567" s="2952"/>
      <c r="K567" s="2952"/>
      <c r="L567" s="2952"/>
      <c r="M567" s="2952"/>
      <c r="N567" s="2952"/>
      <c r="O567" s="2952"/>
      <c r="P567" s="2952"/>
      <c r="Q567" s="2952"/>
      <c r="R567" s="2952"/>
      <c r="S567" s="2952"/>
      <c r="T567" s="2952"/>
      <c r="U567" s="2952"/>
      <c r="V567" s="2952"/>
      <c r="W567" s="2952"/>
      <c r="X567" s="2952"/>
      <c r="Y567" s="2952"/>
      <c r="Z567" s="2952"/>
      <c r="AA567" s="2952"/>
      <c r="AB567" s="2952"/>
      <c r="AC567" s="2942">
        <f t="shared" si="329"/>
        <v>0</v>
      </c>
      <c r="AD567" s="2962"/>
      <c r="AE567" s="2962"/>
      <c r="AF567" s="2962"/>
      <c r="AG567" s="2962"/>
      <c r="AH567" s="2962"/>
      <c r="AI567" s="2962"/>
      <c r="AJ567" s="2962"/>
      <c r="AK567" s="2962"/>
      <c r="AL567" s="2962"/>
      <c r="AM567" s="2962"/>
      <c r="AN567" s="2962"/>
      <c r="AO567" s="2962"/>
      <c r="AP567" s="2962"/>
      <c r="AQ567" s="2962"/>
      <c r="AR567" s="2962"/>
      <c r="AS567" s="2962"/>
      <c r="AT567" s="2972"/>
      <c r="AU567" s="2973"/>
      <c r="AV567" s="1120">
        <f t="shared" si="330"/>
        <v>0</v>
      </c>
      <c r="AW567" s="1120">
        <f t="shared" si="331"/>
        <v>0</v>
      </c>
      <c r="AX567" s="1120">
        <f t="shared" si="332"/>
        <v>0</v>
      </c>
      <c r="AY567" s="2987">
        <f t="shared" si="333"/>
        <v>0</v>
      </c>
      <c r="AZ567" s="2942">
        <f t="shared" si="334"/>
        <v>0</v>
      </c>
      <c r="BA567" s="2942">
        <f t="shared" si="335"/>
        <v>0</v>
      </c>
      <c r="BB567" s="2942">
        <f t="shared" si="336"/>
        <v>0</v>
      </c>
      <c r="BC567" s="2942">
        <f t="shared" si="337"/>
        <v>0</v>
      </c>
      <c r="BD567" s="2942">
        <f t="shared" si="338"/>
        <v>0</v>
      </c>
      <c r="BE567" s="2942">
        <f t="shared" si="339"/>
        <v>0</v>
      </c>
      <c r="BF567" s="2942">
        <f t="shared" si="340"/>
        <v>0</v>
      </c>
      <c r="BG567" s="2942">
        <f t="shared" si="341"/>
        <v>0</v>
      </c>
      <c r="BH567" s="2942">
        <f t="shared" si="342"/>
        <v>0</v>
      </c>
      <c r="BI567" s="2942">
        <f t="shared" si="343"/>
        <v>0</v>
      </c>
      <c r="BJ567" s="2942">
        <f t="shared" si="344"/>
        <v>0</v>
      </c>
      <c r="BK567" s="2942">
        <f t="shared" si="345"/>
        <v>0</v>
      </c>
      <c r="BL567" s="2942">
        <f t="shared" si="346"/>
        <v>0</v>
      </c>
      <c r="BM567" s="2942">
        <f t="shared" si="347"/>
        <v>0</v>
      </c>
      <c r="BN567" s="2942">
        <f t="shared" si="348"/>
        <v>0</v>
      </c>
      <c r="BO567" s="2942">
        <f t="shared" si="349"/>
        <v>0</v>
      </c>
      <c r="BP567" s="2942">
        <f t="shared" si="350"/>
        <v>0</v>
      </c>
      <c r="BQ567" s="2942">
        <f t="shared" si="351"/>
        <v>0</v>
      </c>
      <c r="BR567" s="2942">
        <f t="shared" si="352"/>
        <v>0</v>
      </c>
      <c r="BS567" s="2942">
        <f t="shared" si="353"/>
        <v>0</v>
      </c>
      <c r="BT567" s="2994">
        <f t="shared" si="354"/>
        <v>0</v>
      </c>
    </row>
    <row r="568" spans="1:72">
      <c r="A568" s="2939"/>
      <c r="B568" s="2940"/>
      <c r="C568" s="2940"/>
      <c r="D568" s="2941"/>
      <c r="E568" s="2942">
        <f t="shared" si="326"/>
        <v>0</v>
      </c>
      <c r="F568" s="2943"/>
      <c r="G568" s="2944">
        <f t="shared" si="327"/>
        <v>0</v>
      </c>
      <c r="H568" s="2945">
        <f t="shared" si="328"/>
        <v>0</v>
      </c>
      <c r="I568" s="2952"/>
      <c r="J568" s="2952"/>
      <c r="K568" s="2952"/>
      <c r="L568" s="2952"/>
      <c r="M568" s="2952"/>
      <c r="N568" s="2952"/>
      <c r="O568" s="2952"/>
      <c r="P568" s="2952"/>
      <c r="Q568" s="2952"/>
      <c r="R568" s="2952"/>
      <c r="S568" s="2952"/>
      <c r="T568" s="2952"/>
      <c r="U568" s="2952"/>
      <c r="V568" s="2952"/>
      <c r="W568" s="2952"/>
      <c r="X568" s="2952"/>
      <c r="Y568" s="2952"/>
      <c r="Z568" s="2952"/>
      <c r="AA568" s="2952"/>
      <c r="AB568" s="2952"/>
      <c r="AC568" s="2942">
        <f t="shared" si="329"/>
        <v>0</v>
      </c>
      <c r="AD568" s="2962"/>
      <c r="AE568" s="2962"/>
      <c r="AF568" s="2962"/>
      <c r="AG568" s="2962"/>
      <c r="AH568" s="2962"/>
      <c r="AI568" s="2962"/>
      <c r="AJ568" s="2962"/>
      <c r="AK568" s="2962"/>
      <c r="AL568" s="2962"/>
      <c r="AM568" s="2962"/>
      <c r="AN568" s="2962"/>
      <c r="AO568" s="2962"/>
      <c r="AP568" s="2962"/>
      <c r="AQ568" s="2962"/>
      <c r="AR568" s="2962"/>
      <c r="AS568" s="2962"/>
      <c r="AT568" s="2972"/>
      <c r="AU568" s="2973"/>
      <c r="AV568" s="1120">
        <f t="shared" si="330"/>
        <v>0</v>
      </c>
      <c r="AW568" s="1120">
        <f t="shared" si="331"/>
        <v>0</v>
      </c>
      <c r="AX568" s="1120">
        <f t="shared" si="332"/>
        <v>0</v>
      </c>
      <c r="AY568" s="2987">
        <f t="shared" si="333"/>
        <v>0</v>
      </c>
      <c r="AZ568" s="2942">
        <f t="shared" si="334"/>
        <v>0</v>
      </c>
      <c r="BA568" s="2942">
        <f t="shared" si="335"/>
        <v>0</v>
      </c>
      <c r="BB568" s="2942">
        <f t="shared" si="336"/>
        <v>0</v>
      </c>
      <c r="BC568" s="2942">
        <f t="shared" si="337"/>
        <v>0</v>
      </c>
      <c r="BD568" s="2942">
        <f t="shared" si="338"/>
        <v>0</v>
      </c>
      <c r="BE568" s="2942">
        <f t="shared" si="339"/>
        <v>0</v>
      </c>
      <c r="BF568" s="2942">
        <f t="shared" si="340"/>
        <v>0</v>
      </c>
      <c r="BG568" s="2942">
        <f t="shared" si="341"/>
        <v>0</v>
      </c>
      <c r="BH568" s="2942">
        <f t="shared" si="342"/>
        <v>0</v>
      </c>
      <c r="BI568" s="2942">
        <f t="shared" si="343"/>
        <v>0</v>
      </c>
      <c r="BJ568" s="2942">
        <f t="shared" si="344"/>
        <v>0</v>
      </c>
      <c r="BK568" s="2942">
        <f t="shared" si="345"/>
        <v>0</v>
      </c>
      <c r="BL568" s="2942">
        <f t="shared" si="346"/>
        <v>0</v>
      </c>
      <c r="BM568" s="2942">
        <f t="shared" si="347"/>
        <v>0</v>
      </c>
      <c r="BN568" s="2942">
        <f t="shared" si="348"/>
        <v>0</v>
      </c>
      <c r="BO568" s="2942">
        <f t="shared" si="349"/>
        <v>0</v>
      </c>
      <c r="BP568" s="2942">
        <f t="shared" si="350"/>
        <v>0</v>
      </c>
      <c r="BQ568" s="2942">
        <f t="shared" si="351"/>
        <v>0</v>
      </c>
      <c r="BR568" s="2942">
        <f t="shared" si="352"/>
        <v>0</v>
      </c>
      <c r="BS568" s="2942">
        <f t="shared" si="353"/>
        <v>0</v>
      </c>
      <c r="BT568" s="2994">
        <f t="shared" si="354"/>
        <v>0</v>
      </c>
    </row>
    <row r="569" spans="1:72">
      <c r="A569" s="2939"/>
      <c r="B569" s="2940"/>
      <c r="C569" s="2940"/>
      <c r="D569" s="2941"/>
      <c r="E569" s="2942">
        <f t="shared" si="326"/>
        <v>0</v>
      </c>
      <c r="F569" s="2943"/>
      <c r="G569" s="2944">
        <f t="shared" si="327"/>
        <v>0</v>
      </c>
      <c r="H569" s="2945">
        <f t="shared" si="328"/>
        <v>0</v>
      </c>
      <c r="I569" s="2952"/>
      <c r="J569" s="2952"/>
      <c r="K569" s="2952"/>
      <c r="L569" s="2952"/>
      <c r="M569" s="2952"/>
      <c r="N569" s="2952"/>
      <c r="O569" s="2952"/>
      <c r="P569" s="2952"/>
      <c r="Q569" s="2952"/>
      <c r="R569" s="2952"/>
      <c r="S569" s="2952"/>
      <c r="T569" s="2952"/>
      <c r="U569" s="2952"/>
      <c r="V569" s="2952"/>
      <c r="W569" s="2952"/>
      <c r="X569" s="2952"/>
      <c r="Y569" s="2952"/>
      <c r="Z569" s="2952"/>
      <c r="AA569" s="2952"/>
      <c r="AB569" s="2952"/>
      <c r="AC569" s="2942">
        <f t="shared" si="329"/>
        <v>0</v>
      </c>
      <c r="AD569" s="2962"/>
      <c r="AE569" s="2962"/>
      <c r="AF569" s="2962"/>
      <c r="AG569" s="2962"/>
      <c r="AH569" s="2962"/>
      <c r="AI569" s="2962"/>
      <c r="AJ569" s="2962"/>
      <c r="AK569" s="2962"/>
      <c r="AL569" s="2962"/>
      <c r="AM569" s="2962"/>
      <c r="AN569" s="2962"/>
      <c r="AO569" s="2962"/>
      <c r="AP569" s="2962"/>
      <c r="AQ569" s="2962"/>
      <c r="AR569" s="2962"/>
      <c r="AS569" s="2962"/>
      <c r="AT569" s="2972"/>
      <c r="AU569" s="2973"/>
      <c r="AV569" s="1120">
        <f t="shared" si="330"/>
        <v>0</v>
      </c>
      <c r="AW569" s="1120">
        <f t="shared" si="331"/>
        <v>0</v>
      </c>
      <c r="AX569" s="1120">
        <f t="shared" si="332"/>
        <v>0</v>
      </c>
      <c r="AY569" s="2987">
        <f t="shared" si="333"/>
        <v>0</v>
      </c>
      <c r="AZ569" s="2942">
        <f t="shared" si="334"/>
        <v>0</v>
      </c>
      <c r="BA569" s="2942">
        <f t="shared" si="335"/>
        <v>0</v>
      </c>
      <c r="BB569" s="2942">
        <f t="shared" si="336"/>
        <v>0</v>
      </c>
      <c r="BC569" s="2942">
        <f t="shared" si="337"/>
        <v>0</v>
      </c>
      <c r="BD569" s="2942">
        <f t="shared" si="338"/>
        <v>0</v>
      </c>
      <c r="BE569" s="2942">
        <f t="shared" si="339"/>
        <v>0</v>
      </c>
      <c r="BF569" s="2942">
        <f t="shared" si="340"/>
        <v>0</v>
      </c>
      <c r="BG569" s="2942">
        <f t="shared" si="341"/>
        <v>0</v>
      </c>
      <c r="BH569" s="2942">
        <f t="shared" si="342"/>
        <v>0</v>
      </c>
      <c r="BI569" s="2942">
        <f t="shared" si="343"/>
        <v>0</v>
      </c>
      <c r="BJ569" s="2942">
        <f t="shared" si="344"/>
        <v>0</v>
      </c>
      <c r="BK569" s="2942">
        <f t="shared" si="345"/>
        <v>0</v>
      </c>
      <c r="BL569" s="2942">
        <f t="shared" si="346"/>
        <v>0</v>
      </c>
      <c r="BM569" s="2942">
        <f t="shared" si="347"/>
        <v>0</v>
      </c>
      <c r="BN569" s="2942">
        <f t="shared" si="348"/>
        <v>0</v>
      </c>
      <c r="BO569" s="2942">
        <f t="shared" si="349"/>
        <v>0</v>
      </c>
      <c r="BP569" s="2942">
        <f t="shared" si="350"/>
        <v>0</v>
      </c>
      <c r="BQ569" s="2942">
        <f t="shared" si="351"/>
        <v>0</v>
      </c>
      <c r="BR569" s="2942">
        <f t="shared" si="352"/>
        <v>0</v>
      </c>
      <c r="BS569" s="2942">
        <f t="shared" si="353"/>
        <v>0</v>
      </c>
      <c r="BT569" s="2994">
        <f t="shared" si="354"/>
        <v>0</v>
      </c>
    </row>
    <row r="570" spans="1:72">
      <c r="A570" s="2939"/>
      <c r="B570" s="2940"/>
      <c r="C570" s="2940"/>
      <c r="D570" s="2941"/>
      <c r="E570" s="2942">
        <f t="shared" si="326"/>
        <v>0</v>
      </c>
      <c r="F570" s="2943"/>
      <c r="G570" s="2944">
        <f t="shared" si="327"/>
        <v>0</v>
      </c>
      <c r="H570" s="2945">
        <f t="shared" si="328"/>
        <v>0</v>
      </c>
      <c r="I570" s="2952"/>
      <c r="J570" s="2952"/>
      <c r="K570" s="2952"/>
      <c r="L570" s="2952"/>
      <c r="M570" s="2952"/>
      <c r="N570" s="2952"/>
      <c r="O570" s="2952"/>
      <c r="P570" s="2952"/>
      <c r="Q570" s="2952"/>
      <c r="R570" s="2952"/>
      <c r="S570" s="2952"/>
      <c r="T570" s="2952"/>
      <c r="U570" s="2952"/>
      <c r="V570" s="2952"/>
      <c r="W570" s="2952"/>
      <c r="X570" s="2952"/>
      <c r="Y570" s="2952"/>
      <c r="Z570" s="2952"/>
      <c r="AA570" s="2952"/>
      <c r="AB570" s="2952"/>
      <c r="AC570" s="2942">
        <f t="shared" si="329"/>
        <v>0</v>
      </c>
      <c r="AD570" s="2962"/>
      <c r="AE570" s="2962"/>
      <c r="AF570" s="2962"/>
      <c r="AG570" s="2962"/>
      <c r="AH570" s="2962"/>
      <c r="AI570" s="2962"/>
      <c r="AJ570" s="2962"/>
      <c r="AK570" s="2962"/>
      <c r="AL570" s="2962"/>
      <c r="AM570" s="2962"/>
      <c r="AN570" s="2962"/>
      <c r="AO570" s="2962"/>
      <c r="AP570" s="2962"/>
      <c r="AQ570" s="2962"/>
      <c r="AR570" s="2962"/>
      <c r="AS570" s="2962"/>
      <c r="AT570" s="2972"/>
      <c r="AU570" s="2973"/>
      <c r="AV570" s="1120">
        <f t="shared" si="330"/>
        <v>0</v>
      </c>
      <c r="AW570" s="1120">
        <f t="shared" si="331"/>
        <v>0</v>
      </c>
      <c r="AX570" s="1120">
        <f t="shared" si="332"/>
        <v>0</v>
      </c>
      <c r="AY570" s="2987">
        <f t="shared" si="333"/>
        <v>0</v>
      </c>
      <c r="AZ570" s="2942">
        <f t="shared" si="334"/>
        <v>0</v>
      </c>
      <c r="BA570" s="2942">
        <f t="shared" si="335"/>
        <v>0</v>
      </c>
      <c r="BB570" s="2942">
        <f t="shared" si="336"/>
        <v>0</v>
      </c>
      <c r="BC570" s="2942">
        <f t="shared" si="337"/>
        <v>0</v>
      </c>
      <c r="BD570" s="2942">
        <f t="shared" si="338"/>
        <v>0</v>
      </c>
      <c r="BE570" s="2942">
        <f t="shared" si="339"/>
        <v>0</v>
      </c>
      <c r="BF570" s="2942">
        <f t="shared" si="340"/>
        <v>0</v>
      </c>
      <c r="BG570" s="2942">
        <f t="shared" si="341"/>
        <v>0</v>
      </c>
      <c r="BH570" s="2942">
        <f t="shared" si="342"/>
        <v>0</v>
      </c>
      <c r="BI570" s="2942">
        <f t="shared" si="343"/>
        <v>0</v>
      </c>
      <c r="BJ570" s="2942">
        <f t="shared" si="344"/>
        <v>0</v>
      </c>
      <c r="BK570" s="2942">
        <f t="shared" si="345"/>
        <v>0</v>
      </c>
      <c r="BL570" s="2942">
        <f t="shared" si="346"/>
        <v>0</v>
      </c>
      <c r="BM570" s="2942">
        <f t="shared" si="347"/>
        <v>0</v>
      </c>
      <c r="BN570" s="2942">
        <f t="shared" si="348"/>
        <v>0</v>
      </c>
      <c r="BO570" s="2942">
        <f t="shared" si="349"/>
        <v>0</v>
      </c>
      <c r="BP570" s="2942">
        <f t="shared" si="350"/>
        <v>0</v>
      </c>
      <c r="BQ570" s="2942">
        <f t="shared" si="351"/>
        <v>0</v>
      </c>
      <c r="BR570" s="2942">
        <f t="shared" si="352"/>
        <v>0</v>
      </c>
      <c r="BS570" s="2942">
        <f t="shared" si="353"/>
        <v>0</v>
      </c>
      <c r="BT570" s="2994">
        <f t="shared" si="354"/>
        <v>0</v>
      </c>
    </row>
    <row r="571" spans="1:72">
      <c r="A571" s="2939"/>
      <c r="B571" s="2940"/>
      <c r="C571" s="2940"/>
      <c r="D571" s="2941"/>
      <c r="E571" s="2942">
        <f t="shared" si="326"/>
        <v>0</v>
      </c>
      <c r="F571" s="2943"/>
      <c r="G571" s="2944">
        <f t="shared" si="327"/>
        <v>0</v>
      </c>
      <c r="H571" s="2945">
        <f t="shared" si="328"/>
        <v>0</v>
      </c>
      <c r="I571" s="2952"/>
      <c r="J571" s="2952"/>
      <c r="K571" s="2952"/>
      <c r="L571" s="2952"/>
      <c r="M571" s="2952"/>
      <c r="N571" s="2952"/>
      <c r="O571" s="2952"/>
      <c r="P571" s="2952"/>
      <c r="Q571" s="2952"/>
      <c r="R571" s="2952"/>
      <c r="S571" s="2952"/>
      <c r="T571" s="2952"/>
      <c r="U571" s="2952"/>
      <c r="V571" s="2952"/>
      <c r="W571" s="2952"/>
      <c r="X571" s="2952"/>
      <c r="Y571" s="2952"/>
      <c r="Z571" s="2952"/>
      <c r="AA571" s="2952"/>
      <c r="AB571" s="2952"/>
      <c r="AC571" s="2942">
        <f t="shared" si="329"/>
        <v>0</v>
      </c>
      <c r="AD571" s="2962"/>
      <c r="AE571" s="2962"/>
      <c r="AF571" s="2962"/>
      <c r="AG571" s="2962"/>
      <c r="AH571" s="2962"/>
      <c r="AI571" s="2962"/>
      <c r="AJ571" s="2962"/>
      <c r="AK571" s="2962"/>
      <c r="AL571" s="2962"/>
      <c r="AM571" s="2962"/>
      <c r="AN571" s="2962"/>
      <c r="AO571" s="2962"/>
      <c r="AP571" s="2962"/>
      <c r="AQ571" s="2962"/>
      <c r="AR571" s="2962"/>
      <c r="AS571" s="2962"/>
      <c r="AT571" s="2972"/>
      <c r="AU571" s="2973"/>
      <c r="AV571" s="1120">
        <f t="shared" si="330"/>
        <v>0</v>
      </c>
      <c r="AW571" s="1120">
        <f t="shared" si="331"/>
        <v>0</v>
      </c>
      <c r="AX571" s="1120">
        <f t="shared" si="332"/>
        <v>0</v>
      </c>
      <c r="AY571" s="2987">
        <f t="shared" si="333"/>
        <v>0</v>
      </c>
      <c r="AZ571" s="2942">
        <f t="shared" si="334"/>
        <v>0</v>
      </c>
      <c r="BA571" s="2942">
        <f t="shared" si="335"/>
        <v>0</v>
      </c>
      <c r="BB571" s="2942">
        <f t="shared" si="336"/>
        <v>0</v>
      </c>
      <c r="BC571" s="2942">
        <f t="shared" si="337"/>
        <v>0</v>
      </c>
      <c r="BD571" s="2942">
        <f t="shared" si="338"/>
        <v>0</v>
      </c>
      <c r="BE571" s="2942">
        <f t="shared" si="339"/>
        <v>0</v>
      </c>
      <c r="BF571" s="2942">
        <f t="shared" si="340"/>
        <v>0</v>
      </c>
      <c r="BG571" s="2942">
        <f t="shared" si="341"/>
        <v>0</v>
      </c>
      <c r="BH571" s="2942">
        <f t="shared" si="342"/>
        <v>0</v>
      </c>
      <c r="BI571" s="2942">
        <f t="shared" si="343"/>
        <v>0</v>
      </c>
      <c r="BJ571" s="2942">
        <f t="shared" si="344"/>
        <v>0</v>
      </c>
      <c r="BK571" s="2942">
        <f t="shared" si="345"/>
        <v>0</v>
      </c>
      <c r="BL571" s="2942">
        <f t="shared" si="346"/>
        <v>0</v>
      </c>
      <c r="BM571" s="2942">
        <f t="shared" si="347"/>
        <v>0</v>
      </c>
      <c r="BN571" s="2942">
        <f t="shared" si="348"/>
        <v>0</v>
      </c>
      <c r="BO571" s="2942">
        <f t="shared" si="349"/>
        <v>0</v>
      </c>
      <c r="BP571" s="2942">
        <f t="shared" si="350"/>
        <v>0</v>
      </c>
      <c r="BQ571" s="2942">
        <f t="shared" si="351"/>
        <v>0</v>
      </c>
      <c r="BR571" s="2942">
        <f t="shared" si="352"/>
        <v>0</v>
      </c>
      <c r="BS571" s="2942">
        <f t="shared" si="353"/>
        <v>0</v>
      </c>
      <c r="BT571" s="2994">
        <f t="shared" si="354"/>
        <v>0</v>
      </c>
    </row>
    <row r="572" spans="1:72">
      <c r="A572" s="2939"/>
      <c r="B572" s="2940"/>
      <c r="C572" s="2940"/>
      <c r="D572" s="2941"/>
      <c r="E572" s="2942">
        <f t="shared" si="326"/>
        <v>0</v>
      </c>
      <c r="F572" s="2943"/>
      <c r="G572" s="2944">
        <f t="shared" si="327"/>
        <v>0</v>
      </c>
      <c r="H572" s="2945">
        <f t="shared" si="328"/>
        <v>0</v>
      </c>
      <c r="I572" s="2952"/>
      <c r="J572" s="2952"/>
      <c r="K572" s="2952"/>
      <c r="L572" s="2952"/>
      <c r="M572" s="2952"/>
      <c r="N572" s="2952"/>
      <c r="O572" s="2952"/>
      <c r="P572" s="2952"/>
      <c r="Q572" s="2952"/>
      <c r="R572" s="2952"/>
      <c r="S572" s="2952"/>
      <c r="T572" s="2952"/>
      <c r="U572" s="2952"/>
      <c r="V572" s="2952"/>
      <c r="W572" s="2952"/>
      <c r="X572" s="2952"/>
      <c r="Y572" s="2952"/>
      <c r="Z572" s="2952"/>
      <c r="AA572" s="2952"/>
      <c r="AB572" s="2952"/>
      <c r="AC572" s="2942">
        <f t="shared" si="329"/>
        <v>0</v>
      </c>
      <c r="AD572" s="2962"/>
      <c r="AE572" s="2962"/>
      <c r="AF572" s="2962"/>
      <c r="AG572" s="2962"/>
      <c r="AH572" s="2962"/>
      <c r="AI572" s="2962"/>
      <c r="AJ572" s="2962"/>
      <c r="AK572" s="2962"/>
      <c r="AL572" s="2962"/>
      <c r="AM572" s="2962"/>
      <c r="AN572" s="2962"/>
      <c r="AO572" s="2962"/>
      <c r="AP572" s="2962"/>
      <c r="AQ572" s="2962"/>
      <c r="AR572" s="2962"/>
      <c r="AS572" s="2962"/>
      <c r="AT572" s="2972"/>
      <c r="AU572" s="2973"/>
      <c r="AV572" s="1120">
        <f t="shared" si="330"/>
        <v>0</v>
      </c>
      <c r="AW572" s="1120">
        <f t="shared" si="331"/>
        <v>0</v>
      </c>
      <c r="AX572" s="1120">
        <f t="shared" si="332"/>
        <v>0</v>
      </c>
      <c r="AY572" s="2987">
        <f t="shared" si="333"/>
        <v>0</v>
      </c>
      <c r="AZ572" s="2942">
        <f t="shared" si="334"/>
        <v>0</v>
      </c>
      <c r="BA572" s="2942">
        <f t="shared" si="335"/>
        <v>0</v>
      </c>
      <c r="BB572" s="2942">
        <f t="shared" si="336"/>
        <v>0</v>
      </c>
      <c r="BC572" s="2942">
        <f t="shared" si="337"/>
        <v>0</v>
      </c>
      <c r="BD572" s="2942">
        <f t="shared" si="338"/>
        <v>0</v>
      </c>
      <c r="BE572" s="2942">
        <f t="shared" si="339"/>
        <v>0</v>
      </c>
      <c r="BF572" s="2942">
        <f t="shared" si="340"/>
        <v>0</v>
      </c>
      <c r="BG572" s="2942">
        <f t="shared" si="341"/>
        <v>0</v>
      </c>
      <c r="BH572" s="2942">
        <f t="shared" si="342"/>
        <v>0</v>
      </c>
      <c r="BI572" s="2942">
        <f t="shared" si="343"/>
        <v>0</v>
      </c>
      <c r="BJ572" s="2942">
        <f t="shared" si="344"/>
        <v>0</v>
      </c>
      <c r="BK572" s="2942">
        <f t="shared" si="345"/>
        <v>0</v>
      </c>
      <c r="BL572" s="2942">
        <f t="shared" si="346"/>
        <v>0</v>
      </c>
      <c r="BM572" s="2942">
        <f t="shared" si="347"/>
        <v>0</v>
      </c>
      <c r="BN572" s="2942">
        <f t="shared" si="348"/>
        <v>0</v>
      </c>
      <c r="BO572" s="2942">
        <f t="shared" si="349"/>
        <v>0</v>
      </c>
      <c r="BP572" s="2942">
        <f t="shared" si="350"/>
        <v>0</v>
      </c>
      <c r="BQ572" s="2942">
        <f t="shared" si="351"/>
        <v>0</v>
      </c>
      <c r="BR572" s="2942">
        <f t="shared" si="352"/>
        <v>0</v>
      </c>
      <c r="BS572" s="2942">
        <f t="shared" si="353"/>
        <v>0</v>
      </c>
      <c r="BT572" s="2994">
        <f t="shared" si="354"/>
        <v>0</v>
      </c>
    </row>
    <row r="573" spans="1:72">
      <c r="A573" s="2939"/>
      <c r="B573" s="2940"/>
      <c r="C573" s="2940"/>
      <c r="D573" s="2941"/>
      <c r="E573" s="2942">
        <f t="shared" si="326"/>
        <v>0</v>
      </c>
      <c r="F573" s="2943"/>
      <c r="G573" s="2944">
        <f t="shared" si="327"/>
        <v>0</v>
      </c>
      <c r="H573" s="2945">
        <f t="shared" si="328"/>
        <v>0</v>
      </c>
      <c r="I573" s="2952"/>
      <c r="J573" s="2952"/>
      <c r="K573" s="2952"/>
      <c r="L573" s="2952"/>
      <c r="M573" s="2952"/>
      <c r="N573" s="2952"/>
      <c r="O573" s="2952"/>
      <c r="P573" s="2952"/>
      <c r="Q573" s="2952"/>
      <c r="R573" s="2952"/>
      <c r="S573" s="2952"/>
      <c r="T573" s="2952"/>
      <c r="U573" s="2952"/>
      <c r="V573" s="2952"/>
      <c r="W573" s="2952"/>
      <c r="X573" s="2952"/>
      <c r="Y573" s="2952"/>
      <c r="Z573" s="2952"/>
      <c r="AA573" s="2952"/>
      <c r="AB573" s="2952"/>
      <c r="AC573" s="2942">
        <f t="shared" si="329"/>
        <v>0</v>
      </c>
      <c r="AD573" s="2962"/>
      <c r="AE573" s="2962"/>
      <c r="AF573" s="2962"/>
      <c r="AG573" s="2962"/>
      <c r="AH573" s="2962"/>
      <c r="AI573" s="2962"/>
      <c r="AJ573" s="2962"/>
      <c r="AK573" s="2962"/>
      <c r="AL573" s="2962"/>
      <c r="AM573" s="2962"/>
      <c r="AN573" s="2962"/>
      <c r="AO573" s="2962"/>
      <c r="AP573" s="2962"/>
      <c r="AQ573" s="2962"/>
      <c r="AR573" s="2962"/>
      <c r="AS573" s="2962"/>
      <c r="AT573" s="2972"/>
      <c r="AU573" s="2973"/>
      <c r="AV573" s="1120">
        <f t="shared" si="330"/>
        <v>0</v>
      </c>
      <c r="AW573" s="1120">
        <f t="shared" si="331"/>
        <v>0</v>
      </c>
      <c r="AX573" s="1120">
        <f t="shared" si="332"/>
        <v>0</v>
      </c>
      <c r="AY573" s="2987">
        <f t="shared" si="333"/>
        <v>0</v>
      </c>
      <c r="AZ573" s="2942">
        <f t="shared" si="334"/>
        <v>0</v>
      </c>
      <c r="BA573" s="2942">
        <f t="shared" si="335"/>
        <v>0</v>
      </c>
      <c r="BB573" s="2942">
        <f t="shared" si="336"/>
        <v>0</v>
      </c>
      <c r="BC573" s="2942">
        <f t="shared" si="337"/>
        <v>0</v>
      </c>
      <c r="BD573" s="2942">
        <f t="shared" si="338"/>
        <v>0</v>
      </c>
      <c r="BE573" s="2942">
        <f t="shared" si="339"/>
        <v>0</v>
      </c>
      <c r="BF573" s="2942">
        <f t="shared" si="340"/>
        <v>0</v>
      </c>
      <c r="BG573" s="2942">
        <f t="shared" si="341"/>
        <v>0</v>
      </c>
      <c r="BH573" s="2942">
        <f t="shared" si="342"/>
        <v>0</v>
      </c>
      <c r="BI573" s="2942">
        <f t="shared" si="343"/>
        <v>0</v>
      </c>
      <c r="BJ573" s="2942">
        <f t="shared" si="344"/>
        <v>0</v>
      </c>
      <c r="BK573" s="2942">
        <f t="shared" si="345"/>
        <v>0</v>
      </c>
      <c r="BL573" s="2942">
        <f t="shared" si="346"/>
        <v>0</v>
      </c>
      <c r="BM573" s="2942">
        <f t="shared" si="347"/>
        <v>0</v>
      </c>
      <c r="BN573" s="2942">
        <f t="shared" si="348"/>
        <v>0</v>
      </c>
      <c r="BO573" s="2942">
        <f t="shared" si="349"/>
        <v>0</v>
      </c>
      <c r="BP573" s="2942">
        <f t="shared" si="350"/>
        <v>0</v>
      </c>
      <c r="BQ573" s="2942">
        <f t="shared" si="351"/>
        <v>0</v>
      </c>
      <c r="BR573" s="2942">
        <f t="shared" si="352"/>
        <v>0</v>
      </c>
      <c r="BS573" s="2942">
        <f t="shared" si="353"/>
        <v>0</v>
      </c>
      <c r="BT573" s="2994">
        <f t="shared" si="354"/>
        <v>0</v>
      </c>
    </row>
    <row r="574" spans="1:72">
      <c r="A574" s="2939"/>
      <c r="B574" s="2940"/>
      <c r="C574" s="2940"/>
      <c r="D574" s="2941"/>
      <c r="E574" s="2942">
        <f t="shared" si="326"/>
        <v>0</v>
      </c>
      <c r="F574" s="2943"/>
      <c r="G574" s="2944">
        <f t="shared" si="327"/>
        <v>0</v>
      </c>
      <c r="H574" s="2945">
        <f t="shared" si="328"/>
        <v>0</v>
      </c>
      <c r="I574" s="2952"/>
      <c r="J574" s="2952"/>
      <c r="K574" s="2952"/>
      <c r="L574" s="2952"/>
      <c r="M574" s="2952"/>
      <c r="N574" s="2952"/>
      <c r="O574" s="2952"/>
      <c r="P574" s="2952"/>
      <c r="Q574" s="2952"/>
      <c r="R574" s="2952"/>
      <c r="S574" s="2952"/>
      <c r="T574" s="2952"/>
      <c r="U574" s="2952"/>
      <c r="V574" s="2952"/>
      <c r="W574" s="2952"/>
      <c r="X574" s="2952"/>
      <c r="Y574" s="2952"/>
      <c r="Z574" s="2952"/>
      <c r="AA574" s="2952"/>
      <c r="AB574" s="2952"/>
      <c r="AC574" s="2942">
        <f t="shared" si="329"/>
        <v>0</v>
      </c>
      <c r="AD574" s="2962"/>
      <c r="AE574" s="2962"/>
      <c r="AF574" s="2962"/>
      <c r="AG574" s="2962"/>
      <c r="AH574" s="2962"/>
      <c r="AI574" s="2962"/>
      <c r="AJ574" s="2962"/>
      <c r="AK574" s="2962"/>
      <c r="AL574" s="2962"/>
      <c r="AM574" s="2962"/>
      <c r="AN574" s="2962"/>
      <c r="AO574" s="2962"/>
      <c r="AP574" s="2962"/>
      <c r="AQ574" s="2962"/>
      <c r="AR574" s="2962"/>
      <c r="AS574" s="2962"/>
      <c r="AT574" s="2972"/>
      <c r="AU574" s="2973"/>
      <c r="AV574" s="1120">
        <f t="shared" si="330"/>
        <v>0</v>
      </c>
      <c r="AW574" s="1120">
        <f t="shared" si="331"/>
        <v>0</v>
      </c>
      <c r="AX574" s="1120">
        <f t="shared" si="332"/>
        <v>0</v>
      </c>
      <c r="AY574" s="2987">
        <f t="shared" si="333"/>
        <v>0</v>
      </c>
      <c r="AZ574" s="2942">
        <f t="shared" si="334"/>
        <v>0</v>
      </c>
      <c r="BA574" s="2942">
        <f t="shared" si="335"/>
        <v>0</v>
      </c>
      <c r="BB574" s="2942">
        <f t="shared" si="336"/>
        <v>0</v>
      </c>
      <c r="BC574" s="2942">
        <f t="shared" si="337"/>
        <v>0</v>
      </c>
      <c r="BD574" s="2942">
        <f t="shared" si="338"/>
        <v>0</v>
      </c>
      <c r="BE574" s="2942">
        <f t="shared" si="339"/>
        <v>0</v>
      </c>
      <c r="BF574" s="2942">
        <f t="shared" si="340"/>
        <v>0</v>
      </c>
      <c r="BG574" s="2942">
        <f t="shared" si="341"/>
        <v>0</v>
      </c>
      <c r="BH574" s="2942">
        <f t="shared" si="342"/>
        <v>0</v>
      </c>
      <c r="BI574" s="2942">
        <f t="shared" si="343"/>
        <v>0</v>
      </c>
      <c r="BJ574" s="2942">
        <f t="shared" si="344"/>
        <v>0</v>
      </c>
      <c r="BK574" s="2942">
        <f t="shared" si="345"/>
        <v>0</v>
      </c>
      <c r="BL574" s="2942">
        <f t="shared" si="346"/>
        <v>0</v>
      </c>
      <c r="BM574" s="2942">
        <f t="shared" si="347"/>
        <v>0</v>
      </c>
      <c r="BN574" s="2942">
        <f t="shared" si="348"/>
        <v>0</v>
      </c>
      <c r="BO574" s="2942">
        <f t="shared" si="349"/>
        <v>0</v>
      </c>
      <c r="BP574" s="2942">
        <f t="shared" si="350"/>
        <v>0</v>
      </c>
      <c r="BQ574" s="2942">
        <f t="shared" si="351"/>
        <v>0</v>
      </c>
      <c r="BR574" s="2942">
        <f t="shared" si="352"/>
        <v>0</v>
      </c>
      <c r="BS574" s="2942">
        <f t="shared" si="353"/>
        <v>0</v>
      </c>
      <c r="BT574" s="2994">
        <f t="shared" si="354"/>
        <v>0</v>
      </c>
    </row>
    <row r="575" spans="1:72">
      <c r="A575" s="2939"/>
      <c r="B575" s="2940"/>
      <c r="C575" s="2940"/>
      <c r="D575" s="2941"/>
      <c r="E575" s="2942">
        <f t="shared" si="326"/>
        <v>0</v>
      </c>
      <c r="F575" s="2943"/>
      <c r="G575" s="2944">
        <f t="shared" si="327"/>
        <v>0</v>
      </c>
      <c r="H575" s="2945">
        <f t="shared" si="328"/>
        <v>0</v>
      </c>
      <c r="I575" s="2952"/>
      <c r="J575" s="2952"/>
      <c r="K575" s="2952"/>
      <c r="L575" s="2952"/>
      <c r="M575" s="2952"/>
      <c r="N575" s="2952"/>
      <c r="O575" s="2952"/>
      <c r="P575" s="2952"/>
      <c r="Q575" s="2952"/>
      <c r="R575" s="2952"/>
      <c r="S575" s="2952"/>
      <c r="T575" s="2952"/>
      <c r="U575" s="2952"/>
      <c r="V575" s="2952"/>
      <c r="W575" s="2952"/>
      <c r="X575" s="2952"/>
      <c r="Y575" s="2952"/>
      <c r="Z575" s="2952"/>
      <c r="AA575" s="2952"/>
      <c r="AB575" s="2952"/>
      <c r="AC575" s="2942">
        <f t="shared" si="329"/>
        <v>0</v>
      </c>
      <c r="AD575" s="2962"/>
      <c r="AE575" s="2962"/>
      <c r="AF575" s="2962"/>
      <c r="AG575" s="2962"/>
      <c r="AH575" s="2962"/>
      <c r="AI575" s="2962"/>
      <c r="AJ575" s="2962"/>
      <c r="AK575" s="2962"/>
      <c r="AL575" s="2962"/>
      <c r="AM575" s="2962"/>
      <c r="AN575" s="2962"/>
      <c r="AO575" s="2962"/>
      <c r="AP575" s="2962"/>
      <c r="AQ575" s="2962"/>
      <c r="AR575" s="2962"/>
      <c r="AS575" s="2962"/>
      <c r="AT575" s="2972"/>
      <c r="AU575" s="2973"/>
      <c r="AV575" s="1120">
        <f t="shared" si="330"/>
        <v>0</v>
      </c>
      <c r="AW575" s="1120">
        <f t="shared" si="331"/>
        <v>0</v>
      </c>
      <c r="AX575" s="1120">
        <f t="shared" si="332"/>
        <v>0</v>
      </c>
      <c r="AY575" s="2987">
        <f t="shared" si="333"/>
        <v>0</v>
      </c>
      <c r="AZ575" s="2942">
        <f t="shared" si="334"/>
        <v>0</v>
      </c>
      <c r="BA575" s="2942">
        <f t="shared" si="335"/>
        <v>0</v>
      </c>
      <c r="BB575" s="2942">
        <f t="shared" si="336"/>
        <v>0</v>
      </c>
      <c r="BC575" s="2942">
        <f t="shared" si="337"/>
        <v>0</v>
      </c>
      <c r="BD575" s="2942">
        <f t="shared" si="338"/>
        <v>0</v>
      </c>
      <c r="BE575" s="2942">
        <f t="shared" si="339"/>
        <v>0</v>
      </c>
      <c r="BF575" s="2942">
        <f t="shared" si="340"/>
        <v>0</v>
      </c>
      <c r="BG575" s="2942">
        <f t="shared" si="341"/>
        <v>0</v>
      </c>
      <c r="BH575" s="2942">
        <f t="shared" si="342"/>
        <v>0</v>
      </c>
      <c r="BI575" s="2942">
        <f t="shared" si="343"/>
        <v>0</v>
      </c>
      <c r="BJ575" s="2942">
        <f t="shared" si="344"/>
        <v>0</v>
      </c>
      <c r="BK575" s="2942">
        <f t="shared" si="345"/>
        <v>0</v>
      </c>
      <c r="BL575" s="2942">
        <f t="shared" si="346"/>
        <v>0</v>
      </c>
      <c r="BM575" s="2942">
        <f t="shared" si="347"/>
        <v>0</v>
      </c>
      <c r="BN575" s="2942">
        <f t="shared" si="348"/>
        <v>0</v>
      </c>
      <c r="BO575" s="2942">
        <f t="shared" si="349"/>
        <v>0</v>
      </c>
      <c r="BP575" s="2942">
        <f t="shared" si="350"/>
        <v>0</v>
      </c>
      <c r="BQ575" s="2942">
        <f t="shared" si="351"/>
        <v>0</v>
      </c>
      <c r="BR575" s="2942">
        <f t="shared" si="352"/>
        <v>0</v>
      </c>
      <c r="BS575" s="2942">
        <f t="shared" si="353"/>
        <v>0</v>
      </c>
      <c r="BT575" s="2994">
        <f t="shared" si="354"/>
        <v>0</v>
      </c>
    </row>
    <row r="576" spans="1:72">
      <c r="A576" s="2939"/>
      <c r="B576" s="2940"/>
      <c r="C576" s="2940"/>
      <c r="D576" s="2941"/>
      <c r="E576" s="2942">
        <f t="shared" si="326"/>
        <v>0</v>
      </c>
      <c r="F576" s="2943"/>
      <c r="G576" s="2944">
        <f t="shared" si="327"/>
        <v>0</v>
      </c>
      <c r="H576" s="2945">
        <f t="shared" si="328"/>
        <v>0</v>
      </c>
      <c r="I576" s="2952"/>
      <c r="J576" s="2952"/>
      <c r="K576" s="2952"/>
      <c r="L576" s="2952"/>
      <c r="M576" s="2952"/>
      <c r="N576" s="2952"/>
      <c r="O576" s="2952"/>
      <c r="P576" s="2952"/>
      <c r="Q576" s="2952"/>
      <c r="R576" s="2952"/>
      <c r="S576" s="2952"/>
      <c r="T576" s="2952"/>
      <c r="U576" s="2952"/>
      <c r="V576" s="2952"/>
      <c r="W576" s="2952"/>
      <c r="X576" s="2952"/>
      <c r="Y576" s="2952"/>
      <c r="Z576" s="2952"/>
      <c r="AA576" s="2952"/>
      <c r="AB576" s="2952"/>
      <c r="AC576" s="2942">
        <f t="shared" si="329"/>
        <v>0</v>
      </c>
      <c r="AD576" s="2962"/>
      <c r="AE576" s="2962"/>
      <c r="AF576" s="2962"/>
      <c r="AG576" s="2962"/>
      <c r="AH576" s="2962"/>
      <c r="AI576" s="2962"/>
      <c r="AJ576" s="2962"/>
      <c r="AK576" s="2962"/>
      <c r="AL576" s="2962"/>
      <c r="AM576" s="2962"/>
      <c r="AN576" s="2962"/>
      <c r="AO576" s="2962"/>
      <c r="AP576" s="2962"/>
      <c r="AQ576" s="2962"/>
      <c r="AR576" s="2962"/>
      <c r="AS576" s="2962"/>
      <c r="AT576" s="2972"/>
      <c r="AU576" s="2973"/>
      <c r="AV576" s="1120">
        <f t="shared" si="330"/>
        <v>0</v>
      </c>
      <c r="AW576" s="1120">
        <f t="shared" si="331"/>
        <v>0</v>
      </c>
      <c r="AX576" s="1120">
        <f t="shared" si="332"/>
        <v>0</v>
      </c>
      <c r="AY576" s="2987">
        <f t="shared" si="333"/>
        <v>0</v>
      </c>
      <c r="AZ576" s="2942">
        <f t="shared" si="334"/>
        <v>0</v>
      </c>
      <c r="BA576" s="2942">
        <f t="shared" si="335"/>
        <v>0</v>
      </c>
      <c r="BB576" s="2942">
        <f t="shared" si="336"/>
        <v>0</v>
      </c>
      <c r="BC576" s="2942">
        <f t="shared" si="337"/>
        <v>0</v>
      </c>
      <c r="BD576" s="2942">
        <f t="shared" si="338"/>
        <v>0</v>
      </c>
      <c r="BE576" s="2942">
        <f t="shared" si="339"/>
        <v>0</v>
      </c>
      <c r="BF576" s="2942">
        <f t="shared" si="340"/>
        <v>0</v>
      </c>
      <c r="BG576" s="2942">
        <f t="shared" si="341"/>
        <v>0</v>
      </c>
      <c r="BH576" s="2942">
        <f t="shared" si="342"/>
        <v>0</v>
      </c>
      <c r="BI576" s="2942">
        <f t="shared" si="343"/>
        <v>0</v>
      </c>
      <c r="BJ576" s="2942">
        <f t="shared" si="344"/>
        <v>0</v>
      </c>
      <c r="BK576" s="2942">
        <f t="shared" si="345"/>
        <v>0</v>
      </c>
      <c r="BL576" s="2942">
        <f t="shared" si="346"/>
        <v>0</v>
      </c>
      <c r="BM576" s="2942">
        <f t="shared" si="347"/>
        <v>0</v>
      </c>
      <c r="BN576" s="2942">
        <f t="shared" si="348"/>
        <v>0</v>
      </c>
      <c r="BO576" s="2942">
        <f t="shared" si="349"/>
        <v>0</v>
      </c>
      <c r="BP576" s="2942">
        <f t="shared" si="350"/>
        <v>0</v>
      </c>
      <c r="BQ576" s="2942">
        <f t="shared" si="351"/>
        <v>0</v>
      </c>
      <c r="BR576" s="2942">
        <f t="shared" si="352"/>
        <v>0</v>
      </c>
      <c r="BS576" s="2942">
        <f t="shared" si="353"/>
        <v>0</v>
      </c>
      <c r="BT576" s="2994">
        <f t="shared" si="354"/>
        <v>0</v>
      </c>
    </row>
    <row r="577" spans="1:72">
      <c r="A577" s="2939"/>
      <c r="B577" s="2940"/>
      <c r="C577" s="2940"/>
      <c r="D577" s="2941"/>
      <c r="E577" s="2942">
        <f t="shared" si="326"/>
        <v>0</v>
      </c>
      <c r="F577" s="2943"/>
      <c r="G577" s="2944">
        <f t="shared" si="327"/>
        <v>0</v>
      </c>
      <c r="H577" s="2945">
        <f t="shared" si="328"/>
        <v>0</v>
      </c>
      <c r="I577" s="2952"/>
      <c r="J577" s="2952"/>
      <c r="K577" s="2952"/>
      <c r="L577" s="2952"/>
      <c r="M577" s="2952"/>
      <c r="N577" s="2952"/>
      <c r="O577" s="2952"/>
      <c r="P577" s="2952"/>
      <c r="Q577" s="2952"/>
      <c r="R577" s="2952"/>
      <c r="S577" s="2952"/>
      <c r="T577" s="2952"/>
      <c r="U577" s="2952"/>
      <c r="V577" s="2952"/>
      <c r="W577" s="2952"/>
      <c r="X577" s="2952"/>
      <c r="Y577" s="2952"/>
      <c r="Z577" s="2952"/>
      <c r="AA577" s="2952"/>
      <c r="AB577" s="2952"/>
      <c r="AC577" s="2942">
        <f t="shared" si="329"/>
        <v>0</v>
      </c>
      <c r="AD577" s="2962"/>
      <c r="AE577" s="2962"/>
      <c r="AF577" s="2962"/>
      <c r="AG577" s="2962"/>
      <c r="AH577" s="2962"/>
      <c r="AI577" s="2962"/>
      <c r="AJ577" s="2962"/>
      <c r="AK577" s="2962"/>
      <c r="AL577" s="2962"/>
      <c r="AM577" s="2962"/>
      <c r="AN577" s="2962"/>
      <c r="AO577" s="2962"/>
      <c r="AP577" s="2962"/>
      <c r="AQ577" s="2962"/>
      <c r="AR577" s="2962"/>
      <c r="AS577" s="2962"/>
      <c r="AT577" s="2972"/>
      <c r="AU577" s="2973"/>
      <c r="AV577" s="1120">
        <f t="shared" si="330"/>
        <v>0</v>
      </c>
      <c r="AW577" s="1120">
        <f t="shared" si="331"/>
        <v>0</v>
      </c>
      <c r="AX577" s="1120">
        <f t="shared" si="332"/>
        <v>0</v>
      </c>
      <c r="AY577" s="2987">
        <f t="shared" si="333"/>
        <v>0</v>
      </c>
      <c r="AZ577" s="2942">
        <f t="shared" si="334"/>
        <v>0</v>
      </c>
      <c r="BA577" s="2942">
        <f t="shared" si="335"/>
        <v>0</v>
      </c>
      <c r="BB577" s="2942">
        <f t="shared" si="336"/>
        <v>0</v>
      </c>
      <c r="BC577" s="2942">
        <f t="shared" si="337"/>
        <v>0</v>
      </c>
      <c r="BD577" s="2942">
        <f t="shared" si="338"/>
        <v>0</v>
      </c>
      <c r="BE577" s="2942">
        <f t="shared" si="339"/>
        <v>0</v>
      </c>
      <c r="BF577" s="2942">
        <f t="shared" si="340"/>
        <v>0</v>
      </c>
      <c r="BG577" s="2942">
        <f t="shared" si="341"/>
        <v>0</v>
      </c>
      <c r="BH577" s="2942">
        <f t="shared" si="342"/>
        <v>0</v>
      </c>
      <c r="BI577" s="2942">
        <f t="shared" si="343"/>
        <v>0</v>
      </c>
      <c r="BJ577" s="2942">
        <f t="shared" si="344"/>
        <v>0</v>
      </c>
      <c r="BK577" s="2942">
        <f t="shared" si="345"/>
        <v>0</v>
      </c>
      <c r="BL577" s="2942">
        <f t="shared" si="346"/>
        <v>0</v>
      </c>
      <c r="BM577" s="2942">
        <f t="shared" si="347"/>
        <v>0</v>
      </c>
      <c r="BN577" s="2942">
        <f t="shared" si="348"/>
        <v>0</v>
      </c>
      <c r="BO577" s="2942">
        <f t="shared" si="349"/>
        <v>0</v>
      </c>
      <c r="BP577" s="2942">
        <f t="shared" si="350"/>
        <v>0</v>
      </c>
      <c r="BQ577" s="2942">
        <f t="shared" si="351"/>
        <v>0</v>
      </c>
      <c r="BR577" s="2942">
        <f t="shared" si="352"/>
        <v>0</v>
      </c>
      <c r="BS577" s="2942">
        <f t="shared" si="353"/>
        <v>0</v>
      </c>
      <c r="BT577" s="2994">
        <f t="shared" si="354"/>
        <v>0</v>
      </c>
    </row>
    <row r="578" spans="1:72">
      <c r="A578" s="2939"/>
      <c r="B578" s="2940"/>
      <c r="C578" s="2940"/>
      <c r="D578" s="2941"/>
      <c r="E578" s="2942">
        <f t="shared" si="326"/>
        <v>0</v>
      </c>
      <c r="F578" s="2943"/>
      <c r="G578" s="2944">
        <f t="shared" si="327"/>
        <v>0</v>
      </c>
      <c r="H578" s="2945">
        <f t="shared" si="328"/>
        <v>0</v>
      </c>
      <c r="I578" s="2952"/>
      <c r="J578" s="2952"/>
      <c r="K578" s="2952"/>
      <c r="L578" s="2952"/>
      <c r="M578" s="2952"/>
      <c r="N578" s="2952"/>
      <c r="O578" s="2952"/>
      <c r="P578" s="2952"/>
      <c r="Q578" s="2952"/>
      <c r="R578" s="2952"/>
      <c r="S578" s="2952"/>
      <c r="T578" s="2952"/>
      <c r="U578" s="2952"/>
      <c r="V578" s="2952"/>
      <c r="W578" s="2952"/>
      <c r="X578" s="2952"/>
      <c r="Y578" s="2952"/>
      <c r="Z578" s="2952"/>
      <c r="AA578" s="2952"/>
      <c r="AB578" s="2952"/>
      <c r="AC578" s="2942">
        <f t="shared" si="329"/>
        <v>0</v>
      </c>
      <c r="AD578" s="2962"/>
      <c r="AE578" s="2962"/>
      <c r="AF578" s="2962"/>
      <c r="AG578" s="2962"/>
      <c r="AH578" s="2962"/>
      <c r="AI578" s="2962"/>
      <c r="AJ578" s="2962"/>
      <c r="AK578" s="2962"/>
      <c r="AL578" s="2962"/>
      <c r="AM578" s="2962"/>
      <c r="AN578" s="2962"/>
      <c r="AO578" s="2962"/>
      <c r="AP578" s="2962"/>
      <c r="AQ578" s="2962"/>
      <c r="AR578" s="2962"/>
      <c r="AS578" s="2962"/>
      <c r="AT578" s="2972"/>
      <c r="AU578" s="2973"/>
      <c r="AV578" s="1120">
        <f t="shared" si="330"/>
        <v>0</v>
      </c>
      <c r="AW578" s="1120">
        <f t="shared" si="331"/>
        <v>0</v>
      </c>
      <c r="AX578" s="1120">
        <f t="shared" si="332"/>
        <v>0</v>
      </c>
      <c r="AY578" s="2987">
        <f t="shared" si="333"/>
        <v>0</v>
      </c>
      <c r="AZ578" s="2942">
        <f t="shared" si="334"/>
        <v>0</v>
      </c>
      <c r="BA578" s="2942">
        <f t="shared" si="335"/>
        <v>0</v>
      </c>
      <c r="BB578" s="2942">
        <f t="shared" si="336"/>
        <v>0</v>
      </c>
      <c r="BC578" s="2942">
        <f t="shared" si="337"/>
        <v>0</v>
      </c>
      <c r="BD578" s="2942">
        <f t="shared" si="338"/>
        <v>0</v>
      </c>
      <c r="BE578" s="2942">
        <f t="shared" si="339"/>
        <v>0</v>
      </c>
      <c r="BF578" s="2942">
        <f t="shared" si="340"/>
        <v>0</v>
      </c>
      <c r="BG578" s="2942">
        <f t="shared" si="341"/>
        <v>0</v>
      </c>
      <c r="BH578" s="2942">
        <f t="shared" si="342"/>
        <v>0</v>
      </c>
      <c r="BI578" s="2942">
        <f t="shared" si="343"/>
        <v>0</v>
      </c>
      <c r="BJ578" s="2942">
        <f t="shared" si="344"/>
        <v>0</v>
      </c>
      <c r="BK578" s="2942">
        <f t="shared" si="345"/>
        <v>0</v>
      </c>
      <c r="BL578" s="2942">
        <f t="shared" si="346"/>
        <v>0</v>
      </c>
      <c r="BM578" s="2942">
        <f t="shared" si="347"/>
        <v>0</v>
      </c>
      <c r="BN578" s="2942">
        <f t="shared" si="348"/>
        <v>0</v>
      </c>
      <c r="BO578" s="2942">
        <f t="shared" si="349"/>
        <v>0</v>
      </c>
      <c r="BP578" s="2942">
        <f t="shared" si="350"/>
        <v>0</v>
      </c>
      <c r="BQ578" s="2942">
        <f t="shared" si="351"/>
        <v>0</v>
      </c>
      <c r="BR578" s="2942">
        <f t="shared" si="352"/>
        <v>0</v>
      </c>
      <c r="BS578" s="2942">
        <f t="shared" si="353"/>
        <v>0</v>
      </c>
      <c r="BT578" s="2994">
        <f t="shared" si="354"/>
        <v>0</v>
      </c>
    </row>
    <row r="579" spans="1:72">
      <c r="A579" s="2939"/>
      <c r="B579" s="2940"/>
      <c r="C579" s="2940"/>
      <c r="D579" s="2941"/>
      <c r="E579" s="2942">
        <f t="shared" si="326"/>
        <v>0</v>
      </c>
      <c r="F579" s="2943"/>
      <c r="G579" s="2944">
        <f t="shared" si="327"/>
        <v>0</v>
      </c>
      <c r="H579" s="2945">
        <f t="shared" si="328"/>
        <v>0</v>
      </c>
      <c r="I579" s="2952"/>
      <c r="J579" s="2952"/>
      <c r="K579" s="2952"/>
      <c r="L579" s="2952"/>
      <c r="M579" s="2952"/>
      <c r="N579" s="2952"/>
      <c r="O579" s="2952"/>
      <c r="P579" s="2952"/>
      <c r="Q579" s="2952"/>
      <c r="R579" s="2952"/>
      <c r="S579" s="2952"/>
      <c r="T579" s="2952"/>
      <c r="U579" s="2952"/>
      <c r="V579" s="2952"/>
      <c r="W579" s="2952"/>
      <c r="X579" s="2952"/>
      <c r="Y579" s="2952"/>
      <c r="Z579" s="2952"/>
      <c r="AA579" s="2952"/>
      <c r="AB579" s="2952"/>
      <c r="AC579" s="2942">
        <f t="shared" si="329"/>
        <v>0</v>
      </c>
      <c r="AD579" s="2962"/>
      <c r="AE579" s="2962"/>
      <c r="AF579" s="2962"/>
      <c r="AG579" s="2962"/>
      <c r="AH579" s="2962"/>
      <c r="AI579" s="2962"/>
      <c r="AJ579" s="2962"/>
      <c r="AK579" s="2962"/>
      <c r="AL579" s="2962"/>
      <c r="AM579" s="2962"/>
      <c r="AN579" s="2962"/>
      <c r="AO579" s="2962"/>
      <c r="AP579" s="2962"/>
      <c r="AQ579" s="2962"/>
      <c r="AR579" s="2962"/>
      <c r="AS579" s="2962"/>
      <c r="AT579" s="2972"/>
      <c r="AU579" s="2973"/>
      <c r="AV579" s="1120">
        <f t="shared" si="330"/>
        <v>0</v>
      </c>
      <c r="AW579" s="1120">
        <f t="shared" si="331"/>
        <v>0</v>
      </c>
      <c r="AX579" s="1120">
        <f t="shared" si="332"/>
        <v>0</v>
      </c>
      <c r="AY579" s="2987">
        <f t="shared" si="333"/>
        <v>0</v>
      </c>
      <c r="AZ579" s="2942">
        <f t="shared" si="334"/>
        <v>0</v>
      </c>
      <c r="BA579" s="2942">
        <f t="shared" si="335"/>
        <v>0</v>
      </c>
      <c r="BB579" s="2942">
        <f t="shared" si="336"/>
        <v>0</v>
      </c>
      <c r="BC579" s="2942">
        <f t="shared" si="337"/>
        <v>0</v>
      </c>
      <c r="BD579" s="2942">
        <f t="shared" si="338"/>
        <v>0</v>
      </c>
      <c r="BE579" s="2942">
        <f t="shared" si="339"/>
        <v>0</v>
      </c>
      <c r="BF579" s="2942">
        <f t="shared" si="340"/>
        <v>0</v>
      </c>
      <c r="BG579" s="2942">
        <f t="shared" si="341"/>
        <v>0</v>
      </c>
      <c r="BH579" s="2942">
        <f t="shared" si="342"/>
        <v>0</v>
      </c>
      <c r="BI579" s="2942">
        <f t="shared" si="343"/>
        <v>0</v>
      </c>
      <c r="BJ579" s="2942">
        <f t="shared" si="344"/>
        <v>0</v>
      </c>
      <c r="BK579" s="2942">
        <f t="shared" si="345"/>
        <v>0</v>
      </c>
      <c r="BL579" s="2942">
        <f t="shared" si="346"/>
        <v>0</v>
      </c>
      <c r="BM579" s="2942">
        <f t="shared" si="347"/>
        <v>0</v>
      </c>
      <c r="BN579" s="2942">
        <f t="shared" si="348"/>
        <v>0</v>
      </c>
      <c r="BO579" s="2942">
        <f t="shared" si="349"/>
        <v>0</v>
      </c>
      <c r="BP579" s="2942">
        <f t="shared" si="350"/>
        <v>0</v>
      </c>
      <c r="BQ579" s="2942">
        <f t="shared" si="351"/>
        <v>0</v>
      </c>
      <c r="BR579" s="2942">
        <f t="shared" si="352"/>
        <v>0</v>
      </c>
      <c r="BS579" s="2942">
        <f t="shared" si="353"/>
        <v>0</v>
      </c>
      <c r="BT579" s="2994">
        <f t="shared" si="354"/>
        <v>0</v>
      </c>
    </row>
    <row r="580" spans="1:72">
      <c r="A580" s="2939"/>
      <c r="B580" s="2940"/>
      <c r="C580" s="2940"/>
      <c r="D580" s="2941"/>
      <c r="E580" s="2942">
        <f t="shared" si="326"/>
        <v>0</v>
      </c>
      <c r="F580" s="2943"/>
      <c r="G580" s="2944">
        <f t="shared" si="327"/>
        <v>0</v>
      </c>
      <c r="H580" s="2945">
        <f t="shared" si="328"/>
        <v>0</v>
      </c>
      <c r="I580" s="2952"/>
      <c r="J580" s="2952"/>
      <c r="K580" s="2952"/>
      <c r="L580" s="2952"/>
      <c r="M580" s="2952"/>
      <c r="N580" s="2952"/>
      <c r="O580" s="2952"/>
      <c r="P580" s="2952"/>
      <c r="Q580" s="2952"/>
      <c r="R580" s="2952"/>
      <c r="S580" s="2952"/>
      <c r="T580" s="2952"/>
      <c r="U580" s="2952"/>
      <c r="V580" s="2952"/>
      <c r="W580" s="2952"/>
      <c r="X580" s="2952"/>
      <c r="Y580" s="2952"/>
      <c r="Z580" s="2952"/>
      <c r="AA580" s="2952"/>
      <c r="AB580" s="2952"/>
      <c r="AC580" s="2942">
        <f t="shared" si="329"/>
        <v>0</v>
      </c>
      <c r="AD580" s="2962"/>
      <c r="AE580" s="2962"/>
      <c r="AF580" s="2962"/>
      <c r="AG580" s="2962"/>
      <c r="AH580" s="2962"/>
      <c r="AI580" s="2962"/>
      <c r="AJ580" s="2962"/>
      <c r="AK580" s="2962"/>
      <c r="AL580" s="2962"/>
      <c r="AM580" s="2962"/>
      <c r="AN580" s="2962"/>
      <c r="AO580" s="2962"/>
      <c r="AP580" s="2962"/>
      <c r="AQ580" s="2962"/>
      <c r="AR580" s="2962"/>
      <c r="AS580" s="2962"/>
      <c r="AT580" s="2972"/>
      <c r="AU580" s="2973"/>
      <c r="AV580" s="1120">
        <f t="shared" si="330"/>
        <v>0</v>
      </c>
      <c r="AW580" s="1120">
        <f t="shared" si="331"/>
        <v>0</v>
      </c>
      <c r="AX580" s="1120">
        <f t="shared" si="332"/>
        <v>0</v>
      </c>
      <c r="AY580" s="2987">
        <f t="shared" si="333"/>
        <v>0</v>
      </c>
      <c r="AZ580" s="2942">
        <f t="shared" si="334"/>
        <v>0</v>
      </c>
      <c r="BA580" s="2942">
        <f t="shared" si="335"/>
        <v>0</v>
      </c>
      <c r="BB580" s="2942">
        <f t="shared" si="336"/>
        <v>0</v>
      </c>
      <c r="BC580" s="2942">
        <f t="shared" si="337"/>
        <v>0</v>
      </c>
      <c r="BD580" s="2942">
        <f t="shared" si="338"/>
        <v>0</v>
      </c>
      <c r="BE580" s="2942">
        <f t="shared" si="339"/>
        <v>0</v>
      </c>
      <c r="BF580" s="2942">
        <f t="shared" si="340"/>
        <v>0</v>
      </c>
      <c r="BG580" s="2942">
        <f t="shared" si="341"/>
        <v>0</v>
      </c>
      <c r="BH580" s="2942">
        <f t="shared" si="342"/>
        <v>0</v>
      </c>
      <c r="BI580" s="2942">
        <f t="shared" si="343"/>
        <v>0</v>
      </c>
      <c r="BJ580" s="2942">
        <f t="shared" si="344"/>
        <v>0</v>
      </c>
      <c r="BK580" s="2942">
        <f t="shared" si="345"/>
        <v>0</v>
      </c>
      <c r="BL580" s="2942">
        <f t="shared" si="346"/>
        <v>0</v>
      </c>
      <c r="BM580" s="2942">
        <f t="shared" si="347"/>
        <v>0</v>
      </c>
      <c r="BN580" s="2942">
        <f t="shared" si="348"/>
        <v>0</v>
      </c>
      <c r="BO580" s="2942">
        <f t="shared" si="349"/>
        <v>0</v>
      </c>
      <c r="BP580" s="2942">
        <f t="shared" si="350"/>
        <v>0</v>
      </c>
      <c r="BQ580" s="2942">
        <f t="shared" si="351"/>
        <v>0</v>
      </c>
      <c r="BR580" s="2942">
        <f t="shared" si="352"/>
        <v>0</v>
      </c>
      <c r="BS580" s="2942">
        <f t="shared" si="353"/>
        <v>0</v>
      </c>
      <c r="BT580" s="2994">
        <f t="shared" si="354"/>
        <v>0</v>
      </c>
    </row>
    <row r="581" spans="1:72">
      <c r="A581" s="2939"/>
      <c r="B581" s="2940"/>
      <c r="C581" s="2940"/>
      <c r="D581" s="2941"/>
      <c r="E581" s="2942">
        <f t="shared" si="326"/>
        <v>0</v>
      </c>
      <c r="F581" s="2943"/>
      <c r="G581" s="2944">
        <f t="shared" si="327"/>
        <v>0</v>
      </c>
      <c r="H581" s="2945">
        <f t="shared" si="328"/>
        <v>0</v>
      </c>
      <c r="I581" s="2952"/>
      <c r="J581" s="2952"/>
      <c r="K581" s="2952"/>
      <c r="L581" s="2952"/>
      <c r="M581" s="2952"/>
      <c r="N581" s="2952"/>
      <c r="O581" s="2952"/>
      <c r="P581" s="2952"/>
      <c r="Q581" s="2952"/>
      <c r="R581" s="2952"/>
      <c r="S581" s="2952"/>
      <c r="T581" s="2952"/>
      <c r="U581" s="2952"/>
      <c r="V581" s="2952"/>
      <c r="W581" s="2952"/>
      <c r="X581" s="2952"/>
      <c r="Y581" s="2952"/>
      <c r="Z581" s="2952"/>
      <c r="AA581" s="2952"/>
      <c r="AB581" s="2952"/>
      <c r="AC581" s="2942">
        <f t="shared" si="329"/>
        <v>0</v>
      </c>
      <c r="AD581" s="2962"/>
      <c r="AE581" s="2962"/>
      <c r="AF581" s="2962"/>
      <c r="AG581" s="2962"/>
      <c r="AH581" s="2962"/>
      <c r="AI581" s="2962"/>
      <c r="AJ581" s="2962"/>
      <c r="AK581" s="2962"/>
      <c r="AL581" s="2962"/>
      <c r="AM581" s="2962"/>
      <c r="AN581" s="2962"/>
      <c r="AO581" s="2962"/>
      <c r="AP581" s="2962"/>
      <c r="AQ581" s="2962"/>
      <c r="AR581" s="2962"/>
      <c r="AS581" s="2962"/>
      <c r="AT581" s="2972"/>
      <c r="AU581" s="2973"/>
      <c r="AV581" s="1120">
        <f t="shared" si="330"/>
        <v>0</v>
      </c>
      <c r="AW581" s="1120">
        <f t="shared" si="331"/>
        <v>0</v>
      </c>
      <c r="AX581" s="1120">
        <f t="shared" si="332"/>
        <v>0</v>
      </c>
      <c r="AY581" s="2987">
        <f t="shared" si="333"/>
        <v>0</v>
      </c>
      <c r="AZ581" s="2942">
        <f t="shared" si="334"/>
        <v>0</v>
      </c>
      <c r="BA581" s="2942">
        <f t="shared" si="335"/>
        <v>0</v>
      </c>
      <c r="BB581" s="2942">
        <f t="shared" si="336"/>
        <v>0</v>
      </c>
      <c r="BC581" s="2942">
        <f t="shared" si="337"/>
        <v>0</v>
      </c>
      <c r="BD581" s="2942">
        <f t="shared" si="338"/>
        <v>0</v>
      </c>
      <c r="BE581" s="2942">
        <f t="shared" si="339"/>
        <v>0</v>
      </c>
      <c r="BF581" s="2942">
        <f t="shared" si="340"/>
        <v>0</v>
      </c>
      <c r="BG581" s="2942">
        <f t="shared" si="341"/>
        <v>0</v>
      </c>
      <c r="BH581" s="2942">
        <f t="shared" si="342"/>
        <v>0</v>
      </c>
      <c r="BI581" s="2942">
        <f t="shared" si="343"/>
        <v>0</v>
      </c>
      <c r="BJ581" s="2942">
        <f t="shared" si="344"/>
        <v>0</v>
      </c>
      <c r="BK581" s="2942">
        <f t="shared" si="345"/>
        <v>0</v>
      </c>
      <c r="BL581" s="2942">
        <f t="shared" si="346"/>
        <v>0</v>
      </c>
      <c r="BM581" s="2942">
        <f t="shared" si="347"/>
        <v>0</v>
      </c>
      <c r="BN581" s="2942">
        <f t="shared" si="348"/>
        <v>0</v>
      </c>
      <c r="BO581" s="2942">
        <f t="shared" si="349"/>
        <v>0</v>
      </c>
      <c r="BP581" s="2942">
        <f t="shared" si="350"/>
        <v>0</v>
      </c>
      <c r="BQ581" s="2942">
        <f t="shared" si="351"/>
        <v>0</v>
      </c>
      <c r="BR581" s="2942">
        <f t="shared" si="352"/>
        <v>0</v>
      </c>
      <c r="BS581" s="2942">
        <f t="shared" si="353"/>
        <v>0</v>
      </c>
      <c r="BT581" s="2994">
        <f t="shared" si="354"/>
        <v>0</v>
      </c>
    </row>
    <row r="582" spans="1:72">
      <c r="A582" s="2939"/>
      <c r="B582" s="2940"/>
      <c r="C582" s="2940"/>
      <c r="D582" s="2941"/>
      <c r="E582" s="2942">
        <f t="shared" si="326"/>
        <v>0</v>
      </c>
      <c r="F582" s="2943"/>
      <c r="G582" s="2944">
        <f t="shared" si="327"/>
        <v>0</v>
      </c>
      <c r="H582" s="2945">
        <f t="shared" si="328"/>
        <v>0</v>
      </c>
      <c r="I582" s="2952"/>
      <c r="J582" s="2952"/>
      <c r="K582" s="2952"/>
      <c r="L582" s="2952"/>
      <c r="M582" s="2952"/>
      <c r="N582" s="2952"/>
      <c r="O582" s="2952"/>
      <c r="P582" s="2952"/>
      <c r="Q582" s="2952"/>
      <c r="R582" s="2952"/>
      <c r="S582" s="2952"/>
      <c r="T582" s="2952"/>
      <c r="U582" s="2952"/>
      <c r="V582" s="2952"/>
      <c r="W582" s="2952"/>
      <c r="X582" s="2952"/>
      <c r="Y582" s="2952"/>
      <c r="Z582" s="2952"/>
      <c r="AA582" s="2952"/>
      <c r="AB582" s="2952"/>
      <c r="AC582" s="2942">
        <f t="shared" si="329"/>
        <v>0</v>
      </c>
      <c r="AD582" s="2962"/>
      <c r="AE582" s="2962"/>
      <c r="AF582" s="2962"/>
      <c r="AG582" s="2962"/>
      <c r="AH582" s="2962"/>
      <c r="AI582" s="2962"/>
      <c r="AJ582" s="2962"/>
      <c r="AK582" s="2962"/>
      <c r="AL582" s="2962"/>
      <c r="AM582" s="2962"/>
      <c r="AN582" s="2962"/>
      <c r="AO582" s="2962"/>
      <c r="AP582" s="2962"/>
      <c r="AQ582" s="2962"/>
      <c r="AR582" s="2962"/>
      <c r="AS582" s="2962"/>
      <c r="AT582" s="2972"/>
      <c r="AU582" s="2973"/>
      <c r="AV582" s="1120">
        <f t="shared" si="330"/>
        <v>0</v>
      </c>
      <c r="AW582" s="1120">
        <f t="shared" si="331"/>
        <v>0</v>
      </c>
      <c r="AX582" s="1120">
        <f t="shared" si="332"/>
        <v>0</v>
      </c>
      <c r="AY582" s="2987">
        <f t="shared" si="333"/>
        <v>0</v>
      </c>
      <c r="AZ582" s="2942">
        <f t="shared" si="334"/>
        <v>0</v>
      </c>
      <c r="BA582" s="2942">
        <f t="shared" si="335"/>
        <v>0</v>
      </c>
      <c r="BB582" s="2942">
        <f t="shared" si="336"/>
        <v>0</v>
      </c>
      <c r="BC582" s="2942">
        <f t="shared" si="337"/>
        <v>0</v>
      </c>
      <c r="BD582" s="2942">
        <f t="shared" si="338"/>
        <v>0</v>
      </c>
      <c r="BE582" s="2942">
        <f t="shared" si="339"/>
        <v>0</v>
      </c>
      <c r="BF582" s="2942">
        <f t="shared" si="340"/>
        <v>0</v>
      </c>
      <c r="BG582" s="2942">
        <f t="shared" si="341"/>
        <v>0</v>
      </c>
      <c r="BH582" s="2942">
        <f t="shared" si="342"/>
        <v>0</v>
      </c>
      <c r="BI582" s="2942">
        <f t="shared" si="343"/>
        <v>0</v>
      </c>
      <c r="BJ582" s="2942">
        <f t="shared" si="344"/>
        <v>0</v>
      </c>
      <c r="BK582" s="2942">
        <f t="shared" si="345"/>
        <v>0</v>
      </c>
      <c r="BL582" s="2942">
        <f t="shared" si="346"/>
        <v>0</v>
      </c>
      <c r="BM582" s="2942">
        <f t="shared" si="347"/>
        <v>0</v>
      </c>
      <c r="BN582" s="2942">
        <f t="shared" si="348"/>
        <v>0</v>
      </c>
      <c r="BO582" s="2942">
        <f t="shared" si="349"/>
        <v>0</v>
      </c>
      <c r="BP582" s="2942">
        <f t="shared" si="350"/>
        <v>0</v>
      </c>
      <c r="BQ582" s="2942">
        <f t="shared" si="351"/>
        <v>0</v>
      </c>
      <c r="BR582" s="2942">
        <f t="shared" si="352"/>
        <v>0</v>
      </c>
      <c r="BS582" s="2942">
        <f t="shared" si="353"/>
        <v>0</v>
      </c>
      <c r="BT582" s="2994">
        <f t="shared" si="354"/>
        <v>0</v>
      </c>
    </row>
    <row r="583" spans="1:72">
      <c r="A583" s="2939"/>
      <c r="B583" s="2940"/>
      <c r="C583" s="2940"/>
      <c r="D583" s="2941"/>
      <c r="E583" s="2942">
        <f t="shared" si="326"/>
        <v>0</v>
      </c>
      <c r="F583" s="2943"/>
      <c r="G583" s="2944">
        <f t="shared" si="327"/>
        <v>0</v>
      </c>
      <c r="H583" s="2945">
        <f t="shared" si="328"/>
        <v>0</v>
      </c>
      <c r="I583" s="2952"/>
      <c r="J583" s="2952"/>
      <c r="K583" s="2952"/>
      <c r="L583" s="2952"/>
      <c r="M583" s="2952"/>
      <c r="N583" s="2952"/>
      <c r="O583" s="2952"/>
      <c r="P583" s="2952"/>
      <c r="Q583" s="2952"/>
      <c r="R583" s="2952"/>
      <c r="S583" s="2952"/>
      <c r="T583" s="2952"/>
      <c r="U583" s="2952"/>
      <c r="V583" s="2952"/>
      <c r="W583" s="2952"/>
      <c r="X583" s="2952"/>
      <c r="Y583" s="2952"/>
      <c r="Z583" s="2952"/>
      <c r="AA583" s="2952"/>
      <c r="AB583" s="2952"/>
      <c r="AC583" s="2942">
        <f t="shared" si="329"/>
        <v>0</v>
      </c>
      <c r="AD583" s="2962"/>
      <c r="AE583" s="2962"/>
      <c r="AF583" s="2962"/>
      <c r="AG583" s="2962"/>
      <c r="AH583" s="2962"/>
      <c r="AI583" s="2962"/>
      <c r="AJ583" s="2962"/>
      <c r="AK583" s="2962"/>
      <c r="AL583" s="2962"/>
      <c r="AM583" s="2962"/>
      <c r="AN583" s="2962"/>
      <c r="AO583" s="2962"/>
      <c r="AP583" s="2962"/>
      <c r="AQ583" s="2962"/>
      <c r="AR583" s="2962"/>
      <c r="AS583" s="2962"/>
      <c r="AT583" s="2972"/>
      <c r="AU583" s="2973"/>
      <c r="AV583" s="1120">
        <f t="shared" si="330"/>
        <v>0</v>
      </c>
      <c r="AW583" s="1120">
        <f t="shared" si="331"/>
        <v>0</v>
      </c>
      <c r="AX583" s="1120">
        <f t="shared" si="332"/>
        <v>0</v>
      </c>
      <c r="AY583" s="2987">
        <f t="shared" si="333"/>
        <v>0</v>
      </c>
      <c r="AZ583" s="2942">
        <f t="shared" si="334"/>
        <v>0</v>
      </c>
      <c r="BA583" s="2942">
        <f t="shared" si="335"/>
        <v>0</v>
      </c>
      <c r="BB583" s="2942">
        <f t="shared" si="336"/>
        <v>0</v>
      </c>
      <c r="BC583" s="2942">
        <f t="shared" si="337"/>
        <v>0</v>
      </c>
      <c r="BD583" s="2942">
        <f t="shared" si="338"/>
        <v>0</v>
      </c>
      <c r="BE583" s="2942">
        <f t="shared" si="339"/>
        <v>0</v>
      </c>
      <c r="BF583" s="2942">
        <f t="shared" si="340"/>
        <v>0</v>
      </c>
      <c r="BG583" s="2942">
        <f t="shared" si="341"/>
        <v>0</v>
      </c>
      <c r="BH583" s="2942">
        <f t="shared" si="342"/>
        <v>0</v>
      </c>
      <c r="BI583" s="2942">
        <f t="shared" si="343"/>
        <v>0</v>
      </c>
      <c r="BJ583" s="2942">
        <f t="shared" si="344"/>
        <v>0</v>
      </c>
      <c r="BK583" s="2942">
        <f t="shared" si="345"/>
        <v>0</v>
      </c>
      <c r="BL583" s="2942">
        <f t="shared" si="346"/>
        <v>0</v>
      </c>
      <c r="BM583" s="2942">
        <f t="shared" si="347"/>
        <v>0</v>
      </c>
      <c r="BN583" s="2942">
        <f t="shared" si="348"/>
        <v>0</v>
      </c>
      <c r="BO583" s="2942">
        <f t="shared" si="349"/>
        <v>0</v>
      </c>
      <c r="BP583" s="2942">
        <f t="shared" si="350"/>
        <v>0</v>
      </c>
      <c r="BQ583" s="2942">
        <f t="shared" si="351"/>
        <v>0</v>
      </c>
      <c r="BR583" s="2942">
        <f t="shared" si="352"/>
        <v>0</v>
      </c>
      <c r="BS583" s="2942">
        <f t="shared" si="353"/>
        <v>0</v>
      </c>
      <c r="BT583" s="2994">
        <f t="shared" si="354"/>
        <v>0</v>
      </c>
    </row>
    <row r="584" spans="1:72">
      <c r="A584" s="2939"/>
      <c r="B584" s="2940"/>
      <c r="C584" s="2940"/>
      <c r="D584" s="2941"/>
      <c r="E584" s="2942">
        <f t="shared" si="326"/>
        <v>0</v>
      </c>
      <c r="F584" s="2943"/>
      <c r="G584" s="2944">
        <f t="shared" si="327"/>
        <v>0</v>
      </c>
      <c r="H584" s="2945">
        <f t="shared" si="328"/>
        <v>0</v>
      </c>
      <c r="I584" s="2952"/>
      <c r="J584" s="2952"/>
      <c r="K584" s="2952"/>
      <c r="L584" s="2952"/>
      <c r="M584" s="2952"/>
      <c r="N584" s="2952"/>
      <c r="O584" s="2952"/>
      <c r="P584" s="2952"/>
      <c r="Q584" s="2952"/>
      <c r="R584" s="2952"/>
      <c r="S584" s="2952"/>
      <c r="T584" s="2952"/>
      <c r="U584" s="2952"/>
      <c r="V584" s="2952"/>
      <c r="W584" s="2952"/>
      <c r="X584" s="2952"/>
      <c r="Y584" s="2952"/>
      <c r="Z584" s="2952"/>
      <c r="AA584" s="2952"/>
      <c r="AB584" s="2952"/>
      <c r="AC584" s="2942">
        <f t="shared" si="329"/>
        <v>0</v>
      </c>
      <c r="AD584" s="2962"/>
      <c r="AE584" s="2962"/>
      <c r="AF584" s="2962"/>
      <c r="AG584" s="2962"/>
      <c r="AH584" s="2962"/>
      <c r="AI584" s="2962"/>
      <c r="AJ584" s="2962"/>
      <c r="AK584" s="2962"/>
      <c r="AL584" s="2962"/>
      <c r="AM584" s="2962"/>
      <c r="AN584" s="2962"/>
      <c r="AO584" s="2962"/>
      <c r="AP584" s="2962"/>
      <c r="AQ584" s="2962"/>
      <c r="AR584" s="2962"/>
      <c r="AS584" s="2962"/>
      <c r="AT584" s="2972"/>
      <c r="AU584" s="2973"/>
      <c r="AV584" s="1120">
        <f t="shared" si="330"/>
        <v>0</v>
      </c>
      <c r="AW584" s="1120">
        <f t="shared" si="331"/>
        <v>0</v>
      </c>
      <c r="AX584" s="1120">
        <f t="shared" si="332"/>
        <v>0</v>
      </c>
      <c r="AY584" s="2987">
        <f t="shared" si="333"/>
        <v>0</v>
      </c>
      <c r="AZ584" s="2942">
        <f t="shared" si="334"/>
        <v>0</v>
      </c>
      <c r="BA584" s="2942">
        <f t="shared" si="335"/>
        <v>0</v>
      </c>
      <c r="BB584" s="2942">
        <f t="shared" si="336"/>
        <v>0</v>
      </c>
      <c r="BC584" s="2942">
        <f t="shared" si="337"/>
        <v>0</v>
      </c>
      <c r="BD584" s="2942">
        <f t="shared" si="338"/>
        <v>0</v>
      </c>
      <c r="BE584" s="2942">
        <f t="shared" si="339"/>
        <v>0</v>
      </c>
      <c r="BF584" s="2942">
        <f t="shared" si="340"/>
        <v>0</v>
      </c>
      <c r="BG584" s="2942">
        <f t="shared" si="341"/>
        <v>0</v>
      </c>
      <c r="BH584" s="2942">
        <f t="shared" si="342"/>
        <v>0</v>
      </c>
      <c r="BI584" s="2942">
        <f t="shared" si="343"/>
        <v>0</v>
      </c>
      <c r="BJ584" s="2942">
        <f t="shared" si="344"/>
        <v>0</v>
      </c>
      <c r="BK584" s="2942">
        <f t="shared" si="345"/>
        <v>0</v>
      </c>
      <c r="BL584" s="2942">
        <f t="shared" si="346"/>
        <v>0</v>
      </c>
      <c r="BM584" s="2942">
        <f t="shared" si="347"/>
        <v>0</v>
      </c>
      <c r="BN584" s="2942">
        <f t="shared" si="348"/>
        <v>0</v>
      </c>
      <c r="BO584" s="2942">
        <f t="shared" si="349"/>
        <v>0</v>
      </c>
      <c r="BP584" s="2942">
        <f t="shared" si="350"/>
        <v>0</v>
      </c>
      <c r="BQ584" s="2942">
        <f t="shared" si="351"/>
        <v>0</v>
      </c>
      <c r="BR584" s="2942">
        <f t="shared" si="352"/>
        <v>0</v>
      </c>
      <c r="BS584" s="2942">
        <f t="shared" si="353"/>
        <v>0</v>
      </c>
      <c r="BT584" s="2994">
        <f t="shared" si="354"/>
        <v>0</v>
      </c>
    </row>
    <row r="585" spans="1:72">
      <c r="A585" s="2939"/>
      <c r="B585" s="2939"/>
      <c r="C585" s="2939"/>
      <c r="D585" s="2941"/>
      <c r="E585" s="2942">
        <f t="shared" si="326"/>
        <v>0</v>
      </c>
      <c r="F585" s="2995"/>
      <c r="G585" s="2944">
        <f t="shared" si="327"/>
        <v>0</v>
      </c>
      <c r="H585" s="2945">
        <f t="shared" si="328"/>
        <v>0</v>
      </c>
      <c r="I585" s="2996"/>
      <c r="J585" s="2996"/>
      <c r="K585" s="2952"/>
      <c r="L585" s="2952"/>
      <c r="M585" s="2952"/>
      <c r="N585" s="2952"/>
      <c r="O585" s="2952"/>
      <c r="P585" s="2952"/>
      <c r="Q585" s="2952"/>
      <c r="R585" s="2952"/>
      <c r="S585" s="2952"/>
      <c r="T585" s="2952"/>
      <c r="U585" s="2952"/>
      <c r="V585" s="2952"/>
      <c r="W585" s="2952"/>
      <c r="X585" s="2952"/>
      <c r="Y585" s="2952"/>
      <c r="Z585" s="2952"/>
      <c r="AA585" s="2952"/>
      <c r="AB585" s="2952"/>
      <c r="AC585" s="2942">
        <f t="shared" si="329"/>
        <v>0</v>
      </c>
      <c r="AD585" s="2962"/>
      <c r="AE585" s="2962"/>
      <c r="AF585" s="2962"/>
      <c r="AG585" s="2962"/>
      <c r="AH585" s="2962"/>
      <c r="AI585" s="2962"/>
      <c r="AJ585" s="2962"/>
      <c r="AK585" s="2962"/>
      <c r="AL585" s="2962"/>
      <c r="AM585" s="2962"/>
      <c r="AN585" s="2962"/>
      <c r="AO585" s="2962"/>
      <c r="AP585" s="2962"/>
      <c r="AQ585" s="2962"/>
      <c r="AR585" s="2962"/>
      <c r="AS585" s="2962"/>
      <c r="AT585" s="2962"/>
      <c r="AU585" s="2997"/>
      <c r="AV585" s="1120">
        <f t="shared" si="330"/>
        <v>0</v>
      </c>
      <c r="AW585" s="1120">
        <f t="shared" si="331"/>
        <v>0</v>
      </c>
      <c r="AX585" s="1120">
        <f t="shared" si="332"/>
        <v>0</v>
      </c>
      <c r="AY585" s="2987">
        <f t="shared" si="333"/>
        <v>0</v>
      </c>
      <c r="AZ585" s="2942">
        <f t="shared" si="334"/>
        <v>0</v>
      </c>
      <c r="BA585" s="2942">
        <f t="shared" si="335"/>
        <v>0</v>
      </c>
      <c r="BB585" s="2942">
        <f t="shared" si="336"/>
        <v>0</v>
      </c>
      <c r="BC585" s="2942">
        <f t="shared" si="337"/>
        <v>0</v>
      </c>
      <c r="BD585" s="2942">
        <f t="shared" si="338"/>
        <v>0</v>
      </c>
      <c r="BE585" s="2942">
        <f t="shared" si="339"/>
        <v>0</v>
      </c>
      <c r="BF585" s="2942">
        <f t="shared" si="340"/>
        <v>0</v>
      </c>
      <c r="BG585" s="2942">
        <f t="shared" si="341"/>
        <v>0</v>
      </c>
      <c r="BH585" s="2942">
        <f t="shared" si="342"/>
        <v>0</v>
      </c>
      <c r="BI585" s="2942">
        <f t="shared" si="343"/>
        <v>0</v>
      </c>
      <c r="BJ585" s="2942">
        <f t="shared" si="344"/>
        <v>0</v>
      </c>
      <c r="BK585" s="2942">
        <f t="shared" si="345"/>
        <v>0</v>
      </c>
      <c r="BL585" s="2942">
        <f t="shared" si="346"/>
        <v>0</v>
      </c>
      <c r="BM585" s="2942">
        <f t="shared" si="347"/>
        <v>0</v>
      </c>
      <c r="BN585" s="2942">
        <f t="shared" si="348"/>
        <v>0</v>
      </c>
      <c r="BO585" s="2942">
        <f t="shared" si="349"/>
        <v>0</v>
      </c>
      <c r="BP585" s="2942">
        <f t="shared" si="350"/>
        <v>0</v>
      </c>
      <c r="BQ585" s="2942">
        <f t="shared" si="351"/>
        <v>0</v>
      </c>
      <c r="BR585" s="2942">
        <f t="shared" si="352"/>
        <v>0</v>
      </c>
      <c r="BS585" s="2942">
        <f t="shared" si="353"/>
        <v>0</v>
      </c>
      <c r="BT585" s="2994">
        <f t="shared" si="354"/>
        <v>0</v>
      </c>
    </row>
    <row r="586" spans="1:72">
      <c r="A586" s="2939"/>
      <c r="B586" s="2939"/>
      <c r="C586" s="2939"/>
      <c r="D586" s="2941"/>
      <c r="E586" s="2942">
        <f t="shared" si="326"/>
        <v>0</v>
      </c>
      <c r="F586" s="2995"/>
      <c r="G586" s="2944">
        <f t="shared" si="327"/>
        <v>0</v>
      </c>
      <c r="H586" s="2945">
        <f t="shared" si="328"/>
        <v>0</v>
      </c>
      <c r="I586" s="2952"/>
      <c r="J586" s="2952"/>
      <c r="K586" s="2952"/>
      <c r="L586" s="2952"/>
      <c r="M586" s="2952"/>
      <c r="N586" s="2952"/>
      <c r="O586" s="2952"/>
      <c r="P586" s="2952"/>
      <c r="Q586" s="2952"/>
      <c r="R586" s="2952"/>
      <c r="S586" s="2952"/>
      <c r="T586" s="2952"/>
      <c r="U586" s="2952"/>
      <c r="V586" s="2952"/>
      <c r="W586" s="2952"/>
      <c r="X586" s="2952"/>
      <c r="Y586" s="2952"/>
      <c r="Z586" s="2952"/>
      <c r="AA586" s="2952"/>
      <c r="AB586" s="2952"/>
      <c r="AC586" s="2942">
        <f t="shared" si="329"/>
        <v>0</v>
      </c>
      <c r="AD586" s="2962"/>
      <c r="AE586" s="2962"/>
      <c r="AF586" s="2962"/>
      <c r="AG586" s="2962"/>
      <c r="AH586" s="2962"/>
      <c r="AI586" s="2962"/>
      <c r="AJ586" s="2962"/>
      <c r="AK586" s="2962"/>
      <c r="AL586" s="2962"/>
      <c r="AM586" s="2962"/>
      <c r="AN586" s="2962"/>
      <c r="AO586" s="2962"/>
      <c r="AP586" s="2962"/>
      <c r="AQ586" s="2962"/>
      <c r="AR586" s="2962"/>
      <c r="AS586" s="2962"/>
      <c r="AT586" s="2962"/>
      <c r="AU586" s="2997"/>
      <c r="AV586" s="1120">
        <f t="shared" si="330"/>
        <v>0</v>
      </c>
      <c r="AW586" s="1120">
        <f t="shared" si="331"/>
        <v>0</v>
      </c>
      <c r="AX586" s="1120">
        <f t="shared" si="332"/>
        <v>0</v>
      </c>
      <c r="AY586" s="2987">
        <f t="shared" si="333"/>
        <v>0</v>
      </c>
      <c r="AZ586" s="2942">
        <f t="shared" si="334"/>
        <v>0</v>
      </c>
      <c r="BA586" s="2942">
        <f t="shared" si="335"/>
        <v>0</v>
      </c>
      <c r="BB586" s="2942">
        <f t="shared" si="336"/>
        <v>0</v>
      </c>
      <c r="BC586" s="2942">
        <f t="shared" si="337"/>
        <v>0</v>
      </c>
      <c r="BD586" s="2942">
        <f t="shared" si="338"/>
        <v>0</v>
      </c>
      <c r="BE586" s="2942">
        <f t="shared" si="339"/>
        <v>0</v>
      </c>
      <c r="BF586" s="2942">
        <f t="shared" si="340"/>
        <v>0</v>
      </c>
      <c r="BG586" s="2942">
        <f t="shared" si="341"/>
        <v>0</v>
      </c>
      <c r="BH586" s="2942">
        <f t="shared" si="342"/>
        <v>0</v>
      </c>
      <c r="BI586" s="2942">
        <f t="shared" si="343"/>
        <v>0</v>
      </c>
      <c r="BJ586" s="2942">
        <f t="shared" si="344"/>
        <v>0</v>
      </c>
      <c r="BK586" s="2942">
        <f t="shared" si="345"/>
        <v>0</v>
      </c>
      <c r="BL586" s="2942">
        <f t="shared" si="346"/>
        <v>0</v>
      </c>
      <c r="BM586" s="2942">
        <f t="shared" si="347"/>
        <v>0</v>
      </c>
      <c r="BN586" s="2942">
        <f t="shared" si="348"/>
        <v>0</v>
      </c>
      <c r="BO586" s="2942">
        <f t="shared" si="349"/>
        <v>0</v>
      </c>
      <c r="BP586" s="2942">
        <f t="shared" si="350"/>
        <v>0</v>
      </c>
      <c r="BQ586" s="2942">
        <f t="shared" si="351"/>
        <v>0</v>
      </c>
      <c r="BR586" s="2942">
        <f t="shared" si="352"/>
        <v>0</v>
      </c>
      <c r="BS586" s="2942">
        <f t="shared" si="353"/>
        <v>0</v>
      </c>
      <c r="BT586" s="2994">
        <f t="shared" si="354"/>
        <v>0</v>
      </c>
    </row>
    <row r="587" spans="1:72">
      <c r="A587" s="2939"/>
      <c r="B587" s="2939"/>
      <c r="C587" s="2939"/>
      <c r="D587" s="2941"/>
      <c r="E587" s="2942">
        <f t="shared" si="326"/>
        <v>0</v>
      </c>
      <c r="F587" s="2995"/>
      <c r="G587" s="2944">
        <f t="shared" si="327"/>
        <v>0</v>
      </c>
      <c r="H587" s="2945">
        <f t="shared" si="328"/>
        <v>0</v>
      </c>
      <c r="I587" s="2952"/>
      <c r="J587" s="2952"/>
      <c r="K587" s="2952"/>
      <c r="L587" s="2952"/>
      <c r="M587" s="2952"/>
      <c r="N587" s="2952"/>
      <c r="O587" s="2952"/>
      <c r="P587" s="2952"/>
      <c r="Q587" s="2952"/>
      <c r="R587" s="2952"/>
      <c r="S587" s="2952"/>
      <c r="T587" s="2952"/>
      <c r="U587" s="2952"/>
      <c r="V587" s="2952"/>
      <c r="W587" s="2952"/>
      <c r="X587" s="2952"/>
      <c r="Y587" s="2952"/>
      <c r="Z587" s="2952"/>
      <c r="AA587" s="2952"/>
      <c r="AB587" s="2952"/>
      <c r="AC587" s="2942">
        <f t="shared" si="329"/>
        <v>0</v>
      </c>
      <c r="AD587" s="2962"/>
      <c r="AE587" s="2962"/>
      <c r="AF587" s="2962"/>
      <c r="AG587" s="2962"/>
      <c r="AH587" s="2962"/>
      <c r="AI587" s="2962"/>
      <c r="AJ587" s="2962"/>
      <c r="AK587" s="2962"/>
      <c r="AL587" s="2962"/>
      <c r="AM587" s="2962"/>
      <c r="AN587" s="2962"/>
      <c r="AO587" s="2962"/>
      <c r="AP587" s="2962"/>
      <c r="AQ587" s="2962"/>
      <c r="AR587" s="2962"/>
      <c r="AS587" s="2962"/>
      <c r="AT587" s="2962"/>
      <c r="AU587" s="2997"/>
      <c r="AV587" s="1120">
        <f t="shared" si="330"/>
        <v>0</v>
      </c>
      <c r="AW587" s="1120">
        <f t="shared" si="331"/>
        <v>0</v>
      </c>
      <c r="AX587" s="1120">
        <f t="shared" si="332"/>
        <v>0</v>
      </c>
      <c r="AY587" s="2987">
        <f t="shared" si="333"/>
        <v>0</v>
      </c>
      <c r="AZ587" s="2942">
        <f t="shared" si="334"/>
        <v>0</v>
      </c>
      <c r="BA587" s="2942">
        <f t="shared" si="335"/>
        <v>0</v>
      </c>
      <c r="BB587" s="2942">
        <f t="shared" si="336"/>
        <v>0</v>
      </c>
      <c r="BC587" s="2942">
        <f t="shared" si="337"/>
        <v>0</v>
      </c>
      <c r="BD587" s="2942">
        <f t="shared" si="338"/>
        <v>0</v>
      </c>
      <c r="BE587" s="2942">
        <f t="shared" si="339"/>
        <v>0</v>
      </c>
      <c r="BF587" s="2942">
        <f t="shared" si="340"/>
        <v>0</v>
      </c>
      <c r="BG587" s="2942">
        <f t="shared" si="341"/>
        <v>0</v>
      </c>
      <c r="BH587" s="2942">
        <f t="shared" si="342"/>
        <v>0</v>
      </c>
      <c r="BI587" s="2942">
        <f t="shared" si="343"/>
        <v>0</v>
      </c>
      <c r="BJ587" s="2942">
        <f t="shared" si="344"/>
        <v>0</v>
      </c>
      <c r="BK587" s="2942">
        <f t="shared" si="345"/>
        <v>0</v>
      </c>
      <c r="BL587" s="2942">
        <f t="shared" si="346"/>
        <v>0</v>
      </c>
      <c r="BM587" s="2942">
        <f t="shared" si="347"/>
        <v>0</v>
      </c>
      <c r="BN587" s="2942">
        <f t="shared" si="348"/>
        <v>0</v>
      </c>
      <c r="BO587" s="2942">
        <f t="shared" si="349"/>
        <v>0</v>
      </c>
      <c r="BP587" s="2942">
        <f t="shared" si="350"/>
        <v>0</v>
      </c>
      <c r="BQ587" s="2942">
        <f t="shared" si="351"/>
        <v>0</v>
      </c>
      <c r="BR587" s="2942">
        <f t="shared" si="352"/>
        <v>0</v>
      </c>
      <c r="BS587" s="2942">
        <f t="shared" si="353"/>
        <v>0</v>
      </c>
      <c r="BT587" s="2994">
        <f t="shared" si="354"/>
        <v>0</v>
      </c>
    </row>
    <row r="588" spans="1:72" s="2908" customFormat="1">
      <c r="A588" s="2998"/>
      <c r="B588" s="2998"/>
      <c r="C588" s="2998"/>
      <c r="D588" s="2998"/>
      <c r="E588" s="2999"/>
      <c r="F588" s="2999"/>
      <c r="G588" s="2998"/>
      <c r="H588" s="2999"/>
      <c r="I588" s="2999"/>
      <c r="J588" s="2999"/>
      <c r="K588" s="2999"/>
      <c r="L588" s="2999"/>
      <c r="M588" s="2999"/>
      <c r="N588" s="2999"/>
      <c r="O588" s="2999"/>
      <c r="P588" s="2999"/>
      <c r="Q588" s="2999"/>
      <c r="R588" s="2999"/>
      <c r="S588" s="2999"/>
      <c r="T588" s="2999"/>
      <c r="U588" s="2999"/>
      <c r="V588" s="2999"/>
      <c r="W588" s="2999"/>
      <c r="X588" s="2999"/>
      <c r="Y588" s="2999"/>
      <c r="Z588" s="2999"/>
      <c r="AA588" s="2999"/>
      <c r="AB588" s="2999"/>
      <c r="AC588" s="2999"/>
      <c r="AD588" s="2999"/>
      <c r="AE588" s="2999"/>
      <c r="AF588" s="2999"/>
      <c r="AG588" s="2999"/>
      <c r="AH588" s="2999"/>
      <c r="AI588" s="2999"/>
      <c r="AJ588" s="2999"/>
      <c r="AK588" s="2999"/>
      <c r="AL588" s="2999"/>
      <c r="AM588" s="2999"/>
      <c r="AN588" s="2999"/>
      <c r="AO588" s="2999"/>
      <c r="AP588" s="2999"/>
      <c r="AQ588" s="2999"/>
      <c r="AR588" s="2999"/>
      <c r="AS588" s="2999"/>
      <c r="AT588" s="2999"/>
      <c r="AU588" s="2998"/>
      <c r="AV588" s="2998"/>
      <c r="AW588" s="2998"/>
      <c r="AX588" s="2998"/>
    </row>
    <row r="589" spans="1:72" s="2909" customFormat="1">
      <c r="C589" s="3000"/>
      <c r="D589" s="3000"/>
    </row>
    <row r="590" spans="1:72" s="2909" customFormat="1">
      <c r="C590" s="3000"/>
      <c r="D590" s="3000"/>
    </row>
    <row r="593" spans="2:2">
      <c r="B593" s="3000"/>
    </row>
  </sheetData>
  <sheetProtection password="C66D" sheet="1" objects="1" scenarios="1" formatCells="0" formatColumns="0" formatRows="0"/>
  <phoneticPr fontId="228"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02" customWidth="1"/>
    <col min="2" max="2" width="10.625" style="2902" customWidth="1"/>
    <col min="3" max="3" width="15.75" style="2902" customWidth="1"/>
    <col min="4" max="7" width="9.5" style="2902" customWidth="1"/>
    <col min="8" max="13" width="9.125" style="2902" customWidth="1"/>
    <col min="14" max="16384" width="9" style="2902"/>
  </cols>
  <sheetData>
    <row r="1" spans="1:13" ht="14.25">
      <c r="A1" s="3353" t="s">
        <v>462</v>
      </c>
      <c r="B1" s="3353" t="s">
        <v>463</v>
      </c>
      <c r="C1" s="3353" t="s">
        <v>464</v>
      </c>
      <c r="D1" s="3352" t="s">
        <v>465</v>
      </c>
      <c r="E1" s="3352" t="s">
        <v>466</v>
      </c>
      <c r="F1" s="3352"/>
      <c r="G1" s="3352"/>
      <c r="H1" s="3352"/>
      <c r="I1" s="3352"/>
      <c r="J1" s="3352"/>
      <c r="K1" s="3352"/>
      <c r="L1" s="3352"/>
      <c r="M1" s="3352"/>
    </row>
    <row r="2" spans="1:13" ht="27" customHeight="1">
      <c r="A2" s="3353"/>
      <c r="B2" s="3353"/>
      <c r="C2" s="3353"/>
      <c r="D2" s="3352"/>
      <c r="E2" s="3352" t="s">
        <v>467</v>
      </c>
      <c r="F2" s="3352" t="s">
        <v>468</v>
      </c>
      <c r="G2" s="3352"/>
      <c r="H2" s="3352"/>
      <c r="I2" s="3352"/>
      <c r="J2" s="3352" t="s">
        <v>469</v>
      </c>
      <c r="K2" s="3352"/>
      <c r="L2" s="3352"/>
      <c r="M2" s="3352"/>
    </row>
    <row r="3" spans="1:13" ht="28.5">
      <c r="A3" s="3353"/>
      <c r="B3" s="3353"/>
      <c r="C3" s="3353"/>
      <c r="D3" s="3352"/>
      <c r="E3" s="3352"/>
      <c r="F3" s="2904" t="s">
        <v>470</v>
      </c>
      <c r="G3" s="2904" t="s">
        <v>471</v>
      </c>
      <c r="H3" s="2904" t="s">
        <v>472</v>
      </c>
      <c r="I3" s="2904" t="s">
        <v>473</v>
      </c>
      <c r="J3" s="2904" t="s">
        <v>470</v>
      </c>
      <c r="K3" s="2904" t="s">
        <v>474</v>
      </c>
      <c r="L3" s="2904" t="s">
        <v>475</v>
      </c>
      <c r="M3" s="2904" t="s">
        <v>476</v>
      </c>
    </row>
    <row r="4" spans="1:13" ht="42.75">
      <c r="A4" s="2904" t="s">
        <v>477</v>
      </c>
      <c r="B4" s="2904" t="s">
        <v>478</v>
      </c>
      <c r="C4" s="2904" t="s">
        <v>479</v>
      </c>
      <c r="D4" s="2903">
        <v>3807.94</v>
      </c>
      <c r="E4" s="2903">
        <v>20666.91</v>
      </c>
      <c r="F4" s="2903">
        <v>19673</v>
      </c>
      <c r="G4" s="2903">
        <v>0</v>
      </c>
      <c r="H4" s="2903">
        <v>19673</v>
      </c>
      <c r="I4" s="2903">
        <v>0</v>
      </c>
      <c r="J4" s="2903">
        <v>993.91</v>
      </c>
      <c r="K4" s="2903">
        <v>0</v>
      </c>
      <c r="L4" s="2903">
        <v>0</v>
      </c>
      <c r="M4" s="2903">
        <v>993.91</v>
      </c>
    </row>
    <row r="5" spans="1:13" ht="42.75">
      <c r="A5" s="2904" t="s">
        <v>477</v>
      </c>
      <c r="B5" s="2904" t="s">
        <v>480</v>
      </c>
      <c r="C5" s="2904" t="s">
        <v>481</v>
      </c>
      <c r="D5" s="2903">
        <v>3667.86</v>
      </c>
      <c r="E5" s="2903">
        <v>19906.61</v>
      </c>
      <c r="F5" s="2903">
        <v>18792.87</v>
      </c>
      <c r="G5" s="2903">
        <v>18792.87</v>
      </c>
      <c r="H5" s="2903">
        <v>0</v>
      </c>
      <c r="I5" s="2903">
        <v>0</v>
      </c>
      <c r="J5" s="2903">
        <v>1113.74</v>
      </c>
      <c r="K5" s="2903">
        <v>55.59</v>
      </c>
      <c r="L5" s="2903">
        <v>0</v>
      </c>
      <c r="M5" s="2903">
        <v>1058.1500000000001</v>
      </c>
    </row>
    <row r="6" spans="1:13" ht="42.75">
      <c r="A6" s="2904" t="s">
        <v>477</v>
      </c>
      <c r="B6" s="2904" t="s">
        <v>480</v>
      </c>
      <c r="C6" s="2904" t="s">
        <v>482</v>
      </c>
      <c r="D6" s="2903">
        <v>2067.52</v>
      </c>
      <c r="E6" s="2903">
        <v>11221.06</v>
      </c>
      <c r="F6" s="2903">
        <v>9934.1299999999992</v>
      </c>
      <c r="G6" s="2903">
        <v>9934.1299999999992</v>
      </c>
      <c r="H6" s="2903">
        <v>0</v>
      </c>
      <c r="I6" s="2903">
        <v>0</v>
      </c>
      <c r="J6" s="2903">
        <v>1286.93</v>
      </c>
      <c r="K6" s="2903">
        <v>0</v>
      </c>
      <c r="L6" s="2903">
        <v>0</v>
      </c>
      <c r="M6" s="2903">
        <v>1286.93</v>
      </c>
    </row>
    <row r="7" spans="1:13" ht="42.75">
      <c r="A7" s="2904" t="s">
        <v>477</v>
      </c>
      <c r="B7" s="2904" t="s">
        <v>480</v>
      </c>
      <c r="C7" s="2904" t="s">
        <v>483</v>
      </c>
      <c r="D7" s="2903">
        <v>8.18</v>
      </c>
      <c r="E7" s="2903">
        <v>44.41</v>
      </c>
      <c r="F7" s="2903">
        <v>0</v>
      </c>
      <c r="G7" s="2903">
        <v>0</v>
      </c>
      <c r="H7" s="2903">
        <v>0</v>
      </c>
      <c r="I7" s="2903">
        <v>0</v>
      </c>
      <c r="J7" s="2903">
        <v>44.41</v>
      </c>
      <c r="K7" s="2903">
        <v>44.41</v>
      </c>
      <c r="L7" s="2903">
        <v>0</v>
      </c>
      <c r="M7" s="2903">
        <v>0</v>
      </c>
    </row>
    <row r="8" spans="1:13" ht="42.75">
      <c r="A8" s="2904" t="s">
        <v>477</v>
      </c>
      <c r="B8" s="2904" t="s">
        <v>480</v>
      </c>
      <c r="C8" s="2904" t="s">
        <v>473</v>
      </c>
      <c r="D8" s="2903">
        <v>2455.5300000000002</v>
      </c>
      <c r="E8" s="2903">
        <v>13326.96</v>
      </c>
      <c r="F8" s="2903">
        <v>9231.0499999999993</v>
      </c>
      <c r="G8" s="2903">
        <v>0</v>
      </c>
      <c r="H8" s="2903">
        <v>0</v>
      </c>
      <c r="I8" s="2903">
        <v>9231.0499999999993</v>
      </c>
      <c r="J8" s="2903">
        <v>4095.91</v>
      </c>
      <c r="K8" s="2903">
        <v>0</v>
      </c>
      <c r="L8" s="2903">
        <v>3320.79</v>
      </c>
      <c r="M8" s="2903">
        <v>775.12</v>
      </c>
    </row>
    <row r="9" spans="1:13" ht="27" customHeight="1">
      <c r="A9" s="3352" t="s">
        <v>484</v>
      </c>
      <c r="B9" s="3352"/>
      <c r="C9" s="3352"/>
      <c r="D9" s="2903">
        <v>12007.03</v>
      </c>
      <c r="E9" s="2903">
        <v>65165.95</v>
      </c>
      <c r="F9" s="2903">
        <v>57631.05</v>
      </c>
      <c r="G9" s="2903">
        <v>28727</v>
      </c>
      <c r="H9" s="2903">
        <v>19673</v>
      </c>
      <c r="I9" s="2903">
        <v>9231.0499999999993</v>
      </c>
      <c r="J9" s="2903">
        <v>7534.9</v>
      </c>
      <c r="K9" s="2903">
        <v>100</v>
      </c>
      <c r="L9" s="2903">
        <v>3320.79</v>
      </c>
      <c r="M9" s="2903">
        <v>4114.1099999999997</v>
      </c>
    </row>
  </sheetData>
  <mergeCells count="9">
    <mergeCell ref="E1:M1"/>
    <mergeCell ref="F2:I2"/>
    <mergeCell ref="J2:M2"/>
    <mergeCell ref="A9:C9"/>
    <mergeCell ref="A1:A3"/>
    <mergeCell ref="B1:B3"/>
    <mergeCell ref="C1:C3"/>
    <mergeCell ref="D1:D3"/>
    <mergeCell ref="E2:E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zoomScale="70" zoomScaleNormal="100" workbookViewId="0">
      <selection activeCell="M43" sqref="M43"/>
    </sheetView>
  </sheetViews>
  <sheetFormatPr defaultColWidth="9.25" defaultRowHeight="14.25"/>
  <cols>
    <col min="1" max="1" width="12.125" style="2816" customWidth="1"/>
    <col min="2" max="2" width="10.25" style="2816" customWidth="1"/>
    <col min="3" max="3" width="18.5" style="2816" customWidth="1"/>
    <col min="4" max="4" width="11.625" style="2816" customWidth="1"/>
    <col min="5" max="5" width="13.375" style="2816" customWidth="1"/>
    <col min="6" max="8" width="11.5" style="2816" customWidth="1"/>
    <col min="9" max="9" width="11.125" style="2816" customWidth="1"/>
    <col min="10" max="10" width="3.125" style="2817" customWidth="1"/>
    <col min="11" max="16" width="10" style="2816" customWidth="1"/>
    <col min="17" max="17" width="2.625" style="2816" customWidth="1"/>
    <col min="18" max="18" width="9.375" style="2816" customWidth="1"/>
    <col min="19" max="19" width="10.5" style="2816" customWidth="1"/>
    <col min="20" max="16384" width="9.25" style="2816"/>
  </cols>
  <sheetData>
    <row r="1" spans="1:16" ht="18.75">
      <c r="A1" s="2247" t="s">
        <v>485</v>
      </c>
      <c r="B1" s="2321"/>
      <c r="C1" s="2321"/>
      <c r="D1" s="2321"/>
      <c r="E1" s="2321"/>
      <c r="F1" s="2321"/>
      <c r="G1" s="2321"/>
      <c r="H1" s="2321"/>
      <c r="I1" s="2321"/>
      <c r="J1" s="2321"/>
      <c r="K1" s="2321"/>
      <c r="L1" s="2321"/>
      <c r="M1" s="2321"/>
      <c r="N1" s="2321"/>
      <c r="O1" s="2321"/>
      <c r="P1" s="2321"/>
    </row>
    <row r="2" spans="1:16" ht="15">
      <c r="A2" s="3363" t="s">
        <v>486</v>
      </c>
      <c r="B2" s="3363"/>
      <c r="C2" s="3363"/>
      <c r="D2" s="2160" t="s">
        <v>487</v>
      </c>
      <c r="E2" s="2818" t="s">
        <v>488</v>
      </c>
      <c r="F2" s="2819"/>
      <c r="G2" s="2820"/>
      <c r="H2" s="2821"/>
      <c r="I2" s="2473" t="s">
        <v>489</v>
      </c>
      <c r="J2" s="2819"/>
      <c r="K2" s="2819"/>
      <c r="L2" s="2819"/>
      <c r="M2" s="2819"/>
      <c r="N2" s="1246"/>
      <c r="O2" s="2819"/>
      <c r="P2" s="2819"/>
    </row>
    <row r="3" spans="1:16" ht="15">
      <c r="A3" s="3364" t="s">
        <v>490</v>
      </c>
      <c r="B3" s="3364"/>
      <c r="C3" s="3364"/>
      <c r="D3" s="2822">
        <f>'数据-基础表'!AY6</f>
        <v>5788.26</v>
      </c>
      <c r="E3" s="2822">
        <f>'数据-基础表'!AZ5</f>
        <v>16578.28</v>
      </c>
      <c r="F3" s="2819"/>
      <c r="G3" s="2823"/>
      <c r="H3" s="2273" t="s">
        <v>491</v>
      </c>
      <c r="I3" s="2883">
        <f>ROUND('数据-基础表'!B3/'数据-基础表'!A3,2)</f>
        <v>2.86</v>
      </c>
      <c r="J3" s="2819"/>
      <c r="K3" s="2819"/>
      <c r="L3" s="2819"/>
      <c r="M3" s="2819"/>
      <c r="N3" s="1246"/>
      <c r="O3" s="2819"/>
      <c r="P3" s="2819"/>
    </row>
    <row r="4" spans="1:16" ht="15">
      <c r="A4" s="3365"/>
      <c r="B4" s="3366"/>
      <c r="C4" s="3367"/>
      <c r="D4" s="2824" t="s">
        <v>487</v>
      </c>
      <c r="E4" s="2825" t="s">
        <v>488</v>
      </c>
      <c r="F4" s="2819"/>
      <c r="G4" s="2826" t="s">
        <v>492</v>
      </c>
      <c r="H4" s="2273" t="s">
        <v>493</v>
      </c>
      <c r="I4" s="2883">
        <f>ROUND(SUMIF('数据-基础表'!I9:AS9,"地上",'数据-基础表'!I5:AS5)/'数据-基础表'!A3,2)</f>
        <v>0</v>
      </c>
      <c r="J4" s="2819"/>
      <c r="K4" s="2819"/>
      <c r="L4" s="2819"/>
      <c r="M4" s="2819"/>
      <c r="N4" s="1246"/>
      <c r="O4" s="2819"/>
      <c r="P4" s="2819"/>
    </row>
    <row r="5" spans="1:16">
      <c r="A5" s="2827" t="s">
        <v>494</v>
      </c>
      <c r="B5" s="3368" t="s">
        <v>495</v>
      </c>
      <c r="C5" s="3368"/>
      <c r="D5" s="2828">
        <f>ROUND($D$3*E5/$E$3,2)</f>
        <v>0</v>
      </c>
      <c r="E5" s="2829">
        <f>SUMIF('数据-基础表'!$11:$11,"住宅",'数据-基础表'!$5:$5)</f>
        <v>0</v>
      </c>
      <c r="F5" s="2819"/>
      <c r="G5" s="2823"/>
      <c r="H5" s="2273" t="s">
        <v>491</v>
      </c>
      <c r="I5" s="2883">
        <f>ROUND(E31/D31,2)</f>
        <v>2.86</v>
      </c>
      <c r="J5" s="2819"/>
      <c r="K5" s="2819"/>
      <c r="L5" s="2819"/>
      <c r="M5" s="2819"/>
      <c r="N5" s="2819"/>
      <c r="O5" s="2819"/>
      <c r="P5" s="2819"/>
    </row>
    <row r="6" spans="1:16">
      <c r="A6" s="2830"/>
      <c r="B6" s="3368" t="s">
        <v>496</v>
      </c>
      <c r="C6" s="3368"/>
      <c r="D6" s="2828">
        <f>ROUND($D$3*E6/$E$3,2)</f>
        <v>5788.26</v>
      </c>
      <c r="E6" s="2829">
        <f>E3-E5</f>
        <v>16578.28</v>
      </c>
      <c r="F6" s="2819"/>
      <c r="G6" s="2831" t="s">
        <v>497</v>
      </c>
      <c r="H6" s="2832" t="s">
        <v>493</v>
      </c>
      <c r="I6" s="2884">
        <f>ROUND(F31/D31,2)</f>
        <v>0</v>
      </c>
      <c r="J6" s="2819"/>
      <c r="K6" s="2819"/>
      <c r="L6" s="2819"/>
      <c r="M6" s="2819"/>
      <c r="N6" s="2819"/>
      <c r="O6" s="2819"/>
      <c r="P6" s="2819"/>
    </row>
    <row r="7" spans="1:16" ht="15">
      <c r="A7" s="3354"/>
      <c r="B7" s="3355"/>
      <c r="C7" s="3356"/>
      <c r="D7" s="2824" t="s">
        <v>487</v>
      </c>
      <c r="E7" s="2833" t="s">
        <v>498</v>
      </c>
      <c r="F7" s="2819"/>
      <c r="G7" s="2834" t="s">
        <v>499</v>
      </c>
      <c r="H7" s="2835"/>
      <c r="I7" s="2885"/>
      <c r="J7" s="2819"/>
      <c r="K7" s="2819"/>
      <c r="L7" s="2819"/>
      <c r="M7" s="2819"/>
      <c r="N7" s="2819"/>
      <c r="O7" s="2819"/>
      <c r="P7" s="2819"/>
    </row>
    <row r="8" spans="1:16">
      <c r="A8" s="2827" t="s">
        <v>500</v>
      </c>
      <c r="B8" s="2836" t="s">
        <v>501</v>
      </c>
      <c r="C8" s="2828" t="s">
        <v>502</v>
      </c>
      <c r="D8" s="2828">
        <f t="shared" ref="D8:D15" si="0">ROUND($D$3*E8/$E$3,2)</f>
        <v>0</v>
      </c>
      <c r="E8" s="2837">
        <f>SUMIF('数据-基础表'!BB10:BK10,"地上",'数据-基础表'!BB5:BK5)</f>
        <v>0</v>
      </c>
      <c r="F8" s="2819"/>
      <c r="G8" s="2838"/>
      <c r="H8" s="2838"/>
      <c r="I8" s="2819"/>
      <c r="J8" s="2819"/>
      <c r="K8" s="2819"/>
      <c r="L8" s="2819"/>
      <c r="M8" s="2819"/>
      <c r="N8" s="2819"/>
      <c r="O8" s="2819"/>
      <c r="P8" s="2819"/>
    </row>
    <row r="9" spans="1:16">
      <c r="A9" s="2839"/>
      <c r="B9" s="2840"/>
      <c r="C9" s="2828" t="s">
        <v>503</v>
      </c>
      <c r="D9" s="2828">
        <f t="shared" si="0"/>
        <v>0</v>
      </c>
      <c r="E9" s="2841">
        <v>0</v>
      </c>
      <c r="F9" s="2819"/>
      <c r="G9" s="2838"/>
      <c r="H9" s="2838"/>
      <c r="I9" s="2819"/>
      <c r="J9" s="2819"/>
      <c r="K9" s="2819"/>
      <c r="L9" s="2819"/>
      <c r="M9" s="2819"/>
      <c r="N9" s="2819"/>
      <c r="O9" s="2819"/>
      <c r="P9" s="2819"/>
    </row>
    <row r="10" spans="1:16">
      <c r="A10" s="2839"/>
      <c r="B10" s="2840"/>
      <c r="C10" s="2828" t="s">
        <v>504</v>
      </c>
      <c r="D10" s="2828">
        <f t="shared" si="0"/>
        <v>3670.93</v>
      </c>
      <c r="E10" s="2837">
        <f>SUMPRODUCT(('数据-基础表'!BB10:BK10="地下")*('数据-基础表'!BB11:BK11="商业")*('数据-基础表'!BB5:BK5))</f>
        <v>10513.99</v>
      </c>
      <c r="F10" s="2819"/>
      <c r="G10" s="2838"/>
      <c r="H10" s="2838"/>
      <c r="I10" s="2819"/>
      <c r="J10" s="2819"/>
      <c r="K10" s="2819"/>
      <c r="L10" s="2819"/>
      <c r="M10" s="2819"/>
      <c r="N10" s="2819"/>
      <c r="O10" s="2819"/>
      <c r="P10" s="2819"/>
    </row>
    <row r="11" spans="1:16">
      <c r="A11" s="2839"/>
      <c r="B11" s="2840"/>
      <c r="C11" s="2828" t="s">
        <v>505</v>
      </c>
      <c r="D11" s="2828">
        <f t="shared" si="0"/>
        <v>0</v>
      </c>
      <c r="E11" s="2837">
        <f>SUMPRODUCT(('数据-基础表'!BB10:BK10="地下")*('数据-基础表'!BB11:BK11="办公")*('数据-基础表'!BB5:BK5))+'数据-基础表'!BP5</f>
        <v>0</v>
      </c>
      <c r="F11" s="2819"/>
      <c r="G11" s="2838"/>
      <c r="H11" s="2838"/>
      <c r="I11" s="2819"/>
      <c r="J11" s="2819"/>
      <c r="K11" s="2819"/>
      <c r="L11" s="2819"/>
      <c r="M11" s="2819"/>
      <c r="N11" s="2819"/>
      <c r="O11" s="2819"/>
      <c r="P11" s="2819"/>
    </row>
    <row r="12" spans="1:16">
      <c r="A12" s="2839"/>
      <c r="B12" s="2840"/>
      <c r="C12" s="2828" t="s">
        <v>506</v>
      </c>
      <c r="D12" s="2828">
        <f t="shared" si="0"/>
        <v>0</v>
      </c>
      <c r="E12" s="2837">
        <f>SUMPRODUCT(('数据-基础表'!BB10:BK10="地下")*('数据-基础表'!BB11:BK11="仓储")*('数据-基础表'!BB5:BK5))</f>
        <v>0</v>
      </c>
      <c r="F12" s="2819"/>
      <c r="G12" s="2838"/>
      <c r="H12" s="2838"/>
      <c r="I12" s="2819"/>
      <c r="J12" s="2819"/>
      <c r="K12" s="2819"/>
      <c r="L12" s="2819"/>
      <c r="M12" s="2819"/>
      <c r="N12" s="2819"/>
      <c r="O12" s="2819"/>
      <c r="P12" s="2819"/>
    </row>
    <row r="13" spans="1:16">
      <c r="A13" s="2839"/>
      <c r="B13" s="2840"/>
      <c r="C13" s="2828" t="s">
        <v>507</v>
      </c>
      <c r="D13" s="2828">
        <f t="shared" si="0"/>
        <v>0</v>
      </c>
      <c r="E13" s="2837">
        <f>SUMPRODUCT(('数据-基础表'!BB10:BK10="地下")*('数据-基础表'!BB11:BK11="车库")*('数据-基础表'!BB5:BK5))</f>
        <v>0</v>
      </c>
      <c r="F13" s="2819"/>
      <c r="G13" s="2838"/>
      <c r="H13" s="2838"/>
      <c r="I13" s="2819"/>
      <c r="J13" s="2819"/>
      <c r="K13" s="2819"/>
      <c r="L13" s="2819"/>
      <c r="M13" s="2819"/>
      <c r="N13" s="2819"/>
      <c r="O13" s="2819"/>
      <c r="P13" s="2819"/>
    </row>
    <row r="14" spans="1:16">
      <c r="A14" s="2839"/>
      <c r="B14" s="2840"/>
      <c r="C14" s="2828" t="s">
        <v>508</v>
      </c>
      <c r="D14" s="2828">
        <f t="shared" si="0"/>
        <v>2117.33</v>
      </c>
      <c r="E14" s="2837">
        <f>SUMPRODUCT(('数据-基础表'!BB10:BK10="地下")*('数据-基础表'!BB11:BK11="车库—商业")*('数据-基础表'!BB5:BK5))</f>
        <v>6064.29</v>
      </c>
      <c r="F14" s="2819"/>
      <c r="G14" s="2838"/>
      <c r="H14" s="2838"/>
      <c r="I14" s="2819"/>
      <c r="J14" s="2819"/>
      <c r="K14" s="2819"/>
      <c r="L14" s="2819"/>
      <c r="M14" s="2819"/>
      <c r="N14" s="2819"/>
      <c r="O14" s="2819"/>
      <c r="P14" s="2819"/>
    </row>
    <row r="15" spans="1:16">
      <c r="A15" s="2839"/>
      <c r="B15" s="2840"/>
      <c r="C15" s="2828" t="s">
        <v>509</v>
      </c>
      <c r="D15" s="2828">
        <f t="shared" si="0"/>
        <v>0</v>
      </c>
      <c r="E15" s="2837">
        <f>SUMPRODUCT(('数据-基础表'!BB10:BK10="地下")*('数据-基础表'!BB11:BK11="车库—办公")*('数据-基础表'!BB5:BK5))</f>
        <v>0</v>
      </c>
      <c r="F15" s="2819"/>
      <c r="G15" s="2838"/>
      <c r="H15" s="2838"/>
      <c r="I15" s="2819"/>
      <c r="J15" s="2819"/>
      <c r="K15" s="2819"/>
      <c r="L15" s="2819"/>
      <c r="M15" s="2819"/>
      <c r="N15" s="2819"/>
      <c r="O15" s="2819"/>
      <c r="P15" s="2819"/>
    </row>
    <row r="16" spans="1:16" ht="15">
      <c r="A16" s="2830"/>
      <c r="B16" s="2840"/>
      <c r="C16" s="2836" t="s">
        <v>510</v>
      </c>
      <c r="D16" s="2836">
        <f>SUM(D8:D15)</f>
        <v>5788.26</v>
      </c>
      <c r="E16" s="2842">
        <f>SUM(E8:E15)</f>
        <v>16578.28</v>
      </c>
      <c r="F16" s="2819"/>
      <c r="G16" s="2838"/>
      <c r="H16" s="2843" t="s">
        <v>511</v>
      </c>
      <c r="I16" s="2886"/>
      <c r="J16" s="2321"/>
      <c r="K16" s="3357" t="s">
        <v>511</v>
      </c>
      <c r="L16" s="3358"/>
      <c r="M16" s="3358"/>
      <c r="N16" s="3358"/>
      <c r="O16" s="3358"/>
      <c r="P16" s="3359"/>
    </row>
    <row r="17" spans="1:19" ht="15">
      <c r="A17" s="2778" t="s">
        <v>512</v>
      </c>
      <c r="B17" s="2844" t="s">
        <v>513</v>
      </c>
      <c r="C17" s="2777" t="s">
        <v>514</v>
      </c>
      <c r="D17" s="2845" t="s">
        <v>487</v>
      </c>
      <c r="E17" s="2846" t="s">
        <v>488</v>
      </c>
      <c r="F17" s="2847"/>
      <c r="G17" s="2848"/>
      <c r="H17" s="2849" t="s">
        <v>515</v>
      </c>
      <c r="I17" s="2887" t="s">
        <v>516</v>
      </c>
      <c r="J17" s="2321"/>
      <c r="K17" s="3360" t="s">
        <v>517</v>
      </c>
      <c r="L17" s="3361"/>
      <c r="M17" s="3362"/>
      <c r="N17" s="3360" t="s">
        <v>518</v>
      </c>
      <c r="O17" s="3361"/>
      <c r="P17" s="3362"/>
      <c r="R17" s="2900" t="s">
        <v>519</v>
      </c>
      <c r="S17" s="2262"/>
    </row>
    <row r="18" spans="1:19" ht="15">
      <c r="A18" s="2839"/>
      <c r="B18" s="2850"/>
      <c r="C18" s="2851"/>
      <c r="D18" s="2852"/>
      <c r="E18" s="2853" t="s">
        <v>520</v>
      </c>
      <c r="F18" s="2854" t="s">
        <v>493</v>
      </c>
      <c r="G18" s="2855" t="s">
        <v>521</v>
      </c>
      <c r="H18" s="2783" t="s">
        <v>522</v>
      </c>
      <c r="I18" s="2888" t="s">
        <v>523</v>
      </c>
      <c r="J18" s="2321"/>
      <c r="K18" s="2783" t="s">
        <v>524</v>
      </c>
      <c r="L18" s="2486" t="s">
        <v>525</v>
      </c>
      <c r="M18" s="2883" t="s">
        <v>526</v>
      </c>
      <c r="N18" s="2783" t="s">
        <v>524</v>
      </c>
      <c r="O18" s="2486" t="s">
        <v>525</v>
      </c>
      <c r="P18" s="2883" t="s">
        <v>526</v>
      </c>
      <c r="R18" s="2273" t="s">
        <v>522</v>
      </c>
      <c r="S18" s="2273" t="s">
        <v>523</v>
      </c>
    </row>
    <row r="19" spans="1:19">
      <c r="A19" s="2856"/>
      <c r="B19" s="2836" t="s">
        <v>527</v>
      </c>
      <c r="C19" s="2857" t="s">
        <v>528</v>
      </c>
      <c r="D19" s="2828">
        <f>ROUND($D$3*E19/$E$3,2)</f>
        <v>3670.93</v>
      </c>
      <c r="E19" s="2858">
        <f t="shared" ref="E19:E26" si="1">SUM(F19:G19)</f>
        <v>10513.99</v>
      </c>
      <c r="F19" s="2859"/>
      <c r="G19" s="2860">
        <f>'数据-基础表'!I13+'数据-基础表'!I14</f>
        <v>10513.99</v>
      </c>
      <c r="H19" s="2767">
        <f>ROUND($D$3*I19/$E$3,2)</f>
        <v>0</v>
      </c>
      <c r="I19" s="2837">
        <f t="shared" ref="I19:I26" si="2">IF($I$17="自定义",P19,M19)</f>
        <v>0</v>
      </c>
      <c r="J19" s="2321"/>
      <c r="K19" s="2889">
        <f t="shared" ref="K19:K26" si="3">ROUND(E$28*E19/E$27,2)</f>
        <v>0</v>
      </c>
      <c r="L19" s="2273">
        <f t="shared" ref="L19:L26" si="4">ROUND(IF(COUNTIF(C19,"*住宅*")&gt;0,E$29*E19/E$32,0),2)</f>
        <v>0</v>
      </c>
      <c r="M19" s="2890">
        <f>K19+L19</f>
        <v>0</v>
      </c>
      <c r="N19" s="2891"/>
      <c r="O19" s="2892"/>
      <c r="P19" s="2890">
        <f>N19+O19</f>
        <v>0</v>
      </c>
      <c r="R19" s="2273">
        <f t="shared" ref="R19:S26" si="5">D19+H19</f>
        <v>3670.93</v>
      </c>
      <c r="S19" s="2901">
        <f t="shared" si="5"/>
        <v>10513.99</v>
      </c>
    </row>
    <row r="20" spans="1:19">
      <c r="A20" s="2861"/>
      <c r="B20" s="2836" t="s">
        <v>527</v>
      </c>
      <c r="C20" s="2857" t="s">
        <v>473</v>
      </c>
      <c r="D20" s="2828">
        <f t="shared" ref="D20:D26" si="6">ROUND($D$3*E20/$E$3,2)</f>
        <v>2117.33</v>
      </c>
      <c r="E20" s="2858">
        <f t="shared" si="1"/>
        <v>6064.29</v>
      </c>
      <c r="F20" s="2859"/>
      <c r="G20" s="2860">
        <f>'数据-基础表'!K13</f>
        <v>6064.29</v>
      </c>
      <c r="H20" s="2767">
        <f t="shared" ref="H20:H26" si="7">ROUND($D$3*I20/$E$3,2)</f>
        <v>0</v>
      </c>
      <c r="I20" s="2837">
        <f t="shared" si="2"/>
        <v>0</v>
      </c>
      <c r="J20" s="2321"/>
      <c r="K20" s="2889">
        <f t="shared" si="3"/>
        <v>0</v>
      </c>
      <c r="L20" s="2273">
        <f t="shared" si="4"/>
        <v>0</v>
      </c>
      <c r="M20" s="2890">
        <f t="shared" ref="M20:M26" si="8">K20+L20</f>
        <v>0</v>
      </c>
      <c r="N20" s="2891"/>
      <c r="O20" s="2892"/>
      <c r="P20" s="2890">
        <f t="shared" ref="P20:P26" si="9">N20+O20</f>
        <v>0</v>
      </c>
      <c r="R20" s="2273">
        <f t="shared" si="5"/>
        <v>2117.33</v>
      </c>
      <c r="S20" s="2901">
        <f t="shared" si="5"/>
        <v>6064.29</v>
      </c>
    </row>
    <row r="21" spans="1:19">
      <c r="A21" s="2861"/>
      <c r="B21" s="2836" t="s">
        <v>527</v>
      </c>
      <c r="C21" s="2862"/>
      <c r="D21" s="2828">
        <f t="shared" si="6"/>
        <v>0</v>
      </c>
      <c r="E21" s="2858">
        <f t="shared" si="1"/>
        <v>0</v>
      </c>
      <c r="F21" s="2859"/>
      <c r="G21" s="2860"/>
      <c r="H21" s="2767">
        <f t="shared" si="7"/>
        <v>0</v>
      </c>
      <c r="I21" s="2837">
        <f t="shared" si="2"/>
        <v>0</v>
      </c>
      <c r="J21" s="2321"/>
      <c r="K21" s="2889">
        <f t="shared" si="3"/>
        <v>0</v>
      </c>
      <c r="L21" s="2273">
        <f t="shared" si="4"/>
        <v>0</v>
      </c>
      <c r="M21" s="2890">
        <f t="shared" si="8"/>
        <v>0</v>
      </c>
      <c r="N21" s="2891"/>
      <c r="O21" s="2892"/>
      <c r="P21" s="2890">
        <f t="shared" si="9"/>
        <v>0</v>
      </c>
      <c r="R21" s="2273">
        <f t="shared" si="5"/>
        <v>0</v>
      </c>
      <c r="S21" s="2901">
        <f t="shared" si="5"/>
        <v>0</v>
      </c>
    </row>
    <row r="22" spans="1:19">
      <c r="A22" s="2861"/>
      <c r="B22" s="2836" t="s">
        <v>527</v>
      </c>
      <c r="C22" s="2863"/>
      <c r="D22" s="2828">
        <f t="shared" si="6"/>
        <v>0</v>
      </c>
      <c r="E22" s="2858">
        <f t="shared" si="1"/>
        <v>0</v>
      </c>
      <c r="F22" s="2864"/>
      <c r="G22" s="2865"/>
      <c r="H22" s="2767">
        <f t="shared" si="7"/>
        <v>0</v>
      </c>
      <c r="I22" s="2837">
        <f t="shared" si="2"/>
        <v>0</v>
      </c>
      <c r="J22" s="2321"/>
      <c r="K22" s="2889">
        <f t="shared" si="3"/>
        <v>0</v>
      </c>
      <c r="L22" s="2273">
        <f t="shared" si="4"/>
        <v>0</v>
      </c>
      <c r="M22" s="2890">
        <f t="shared" si="8"/>
        <v>0</v>
      </c>
      <c r="N22" s="2891"/>
      <c r="O22" s="2892"/>
      <c r="P22" s="2890">
        <f t="shared" si="9"/>
        <v>0</v>
      </c>
      <c r="R22" s="2273">
        <f t="shared" si="5"/>
        <v>0</v>
      </c>
      <c r="S22" s="2901">
        <f t="shared" si="5"/>
        <v>0</v>
      </c>
    </row>
    <row r="23" spans="1:19">
      <c r="A23" s="2861"/>
      <c r="B23" s="2836" t="s">
        <v>527</v>
      </c>
      <c r="C23" s="2863"/>
      <c r="D23" s="2828">
        <f t="shared" si="6"/>
        <v>0</v>
      </c>
      <c r="E23" s="2858">
        <f t="shared" si="1"/>
        <v>0</v>
      </c>
      <c r="F23" s="2864"/>
      <c r="G23" s="2865"/>
      <c r="H23" s="2767">
        <f t="shared" si="7"/>
        <v>0</v>
      </c>
      <c r="I23" s="2837">
        <f t="shared" si="2"/>
        <v>0</v>
      </c>
      <c r="J23" s="2321"/>
      <c r="K23" s="2889">
        <f t="shared" si="3"/>
        <v>0</v>
      </c>
      <c r="L23" s="2273">
        <f t="shared" si="4"/>
        <v>0</v>
      </c>
      <c r="M23" s="2890">
        <f t="shared" si="8"/>
        <v>0</v>
      </c>
      <c r="N23" s="2891"/>
      <c r="O23" s="2892"/>
      <c r="P23" s="2890">
        <f t="shared" si="9"/>
        <v>0</v>
      </c>
      <c r="R23" s="2273">
        <f t="shared" si="5"/>
        <v>0</v>
      </c>
      <c r="S23" s="2901">
        <f t="shared" si="5"/>
        <v>0</v>
      </c>
    </row>
    <row r="24" spans="1:19">
      <c r="A24" s="2861"/>
      <c r="B24" s="2836" t="s">
        <v>527</v>
      </c>
      <c r="C24" s="2863"/>
      <c r="D24" s="2828">
        <f t="shared" si="6"/>
        <v>0</v>
      </c>
      <c r="E24" s="2858">
        <f t="shared" si="1"/>
        <v>0</v>
      </c>
      <c r="F24" s="2864"/>
      <c r="G24" s="2865"/>
      <c r="H24" s="2767">
        <f t="shared" si="7"/>
        <v>0</v>
      </c>
      <c r="I24" s="2837">
        <f t="shared" si="2"/>
        <v>0</v>
      </c>
      <c r="J24" s="2321"/>
      <c r="K24" s="2889">
        <f t="shared" si="3"/>
        <v>0</v>
      </c>
      <c r="L24" s="2273">
        <f t="shared" si="4"/>
        <v>0</v>
      </c>
      <c r="M24" s="2890">
        <f t="shared" si="8"/>
        <v>0</v>
      </c>
      <c r="N24" s="2891"/>
      <c r="O24" s="2892"/>
      <c r="P24" s="2890">
        <f t="shared" si="9"/>
        <v>0</v>
      </c>
      <c r="R24" s="2273">
        <f t="shared" si="5"/>
        <v>0</v>
      </c>
      <c r="S24" s="2901">
        <f t="shared" si="5"/>
        <v>0</v>
      </c>
    </row>
    <row r="25" spans="1:19">
      <c r="A25" s="2861"/>
      <c r="B25" s="2836" t="s">
        <v>527</v>
      </c>
      <c r="C25" s="2863"/>
      <c r="D25" s="2828">
        <f t="shared" si="6"/>
        <v>0</v>
      </c>
      <c r="E25" s="2858">
        <f t="shared" si="1"/>
        <v>0</v>
      </c>
      <c r="F25" s="2864"/>
      <c r="G25" s="2865"/>
      <c r="H25" s="2827">
        <f t="shared" si="7"/>
        <v>0</v>
      </c>
      <c r="I25" s="2837">
        <f t="shared" si="2"/>
        <v>0</v>
      </c>
      <c r="J25" s="2321"/>
      <c r="K25" s="2889">
        <f t="shared" si="3"/>
        <v>0</v>
      </c>
      <c r="L25" s="2273">
        <f t="shared" si="4"/>
        <v>0</v>
      </c>
      <c r="M25" s="2890">
        <f t="shared" si="8"/>
        <v>0</v>
      </c>
      <c r="N25" s="2891"/>
      <c r="O25" s="2892"/>
      <c r="P25" s="2890">
        <f t="shared" si="9"/>
        <v>0</v>
      </c>
      <c r="R25" s="2273">
        <f t="shared" si="5"/>
        <v>0</v>
      </c>
      <c r="S25" s="2901">
        <f t="shared" si="5"/>
        <v>0</v>
      </c>
    </row>
    <row r="26" spans="1:19">
      <c r="A26" s="2861"/>
      <c r="B26" s="2836" t="s">
        <v>527</v>
      </c>
      <c r="C26" s="2866"/>
      <c r="D26" s="2828">
        <f t="shared" si="6"/>
        <v>0</v>
      </c>
      <c r="E26" s="2858">
        <f t="shared" si="1"/>
        <v>0</v>
      </c>
      <c r="F26" s="2864"/>
      <c r="G26" s="2865"/>
      <c r="H26" s="2827">
        <f t="shared" si="7"/>
        <v>0</v>
      </c>
      <c r="I26" s="2837">
        <f t="shared" si="2"/>
        <v>0</v>
      </c>
      <c r="J26" s="2321"/>
      <c r="K26" s="2823">
        <f t="shared" si="3"/>
        <v>0</v>
      </c>
      <c r="L26" s="2832">
        <f t="shared" si="4"/>
        <v>0</v>
      </c>
      <c r="M26" s="2873">
        <f t="shared" si="8"/>
        <v>0</v>
      </c>
      <c r="N26" s="2893"/>
      <c r="O26" s="2894"/>
      <c r="P26" s="2873">
        <f t="shared" si="9"/>
        <v>0</v>
      </c>
      <c r="R26" s="2273">
        <f t="shared" si="5"/>
        <v>0</v>
      </c>
      <c r="S26" s="2901">
        <f t="shared" si="5"/>
        <v>0</v>
      </c>
    </row>
    <row r="27" spans="1:19" ht="15">
      <c r="A27" s="2861"/>
      <c r="B27" s="2828"/>
      <c r="C27" s="2476" t="s">
        <v>529</v>
      </c>
      <c r="D27" s="2867">
        <f>SUM(D19:D26)</f>
        <v>5788.26</v>
      </c>
      <c r="E27" s="2868">
        <f>IF(SUM(E19:E26)='数据-基础表'!BA5,SUM(E19:E26),IF(F27="地上面积有误","面积有误","地下面积有误"))</f>
        <v>16578.28</v>
      </c>
      <c r="F27" s="2867">
        <f>IF(SUM(F19:F26)=E8,SUM(F19:F26),"地上面积有误")</f>
        <v>0</v>
      </c>
      <c r="G27" s="2869">
        <f>SUM(G19:G26)</f>
        <v>16578.28</v>
      </c>
      <c r="H27" s="2870">
        <f>SUM(H19:H26)</f>
        <v>0</v>
      </c>
      <c r="I27" s="2895">
        <f>SUM(I19:I26)</f>
        <v>0</v>
      </c>
      <c r="J27" s="2321"/>
      <c r="K27" s="2896">
        <f>SUM(K19:K26)</f>
        <v>0</v>
      </c>
      <c r="L27" s="2897">
        <f>SUM(L19:L26)</f>
        <v>0</v>
      </c>
      <c r="M27" s="2898">
        <f>SUM(M19:M26)</f>
        <v>0</v>
      </c>
      <c r="N27" s="2896">
        <f t="shared" ref="N27:P27" si="10">SUM(N19:N26)</f>
        <v>0</v>
      </c>
      <c r="O27" s="2897">
        <f t="shared" si="10"/>
        <v>0</v>
      </c>
      <c r="P27" s="2899">
        <f t="shared" si="10"/>
        <v>0</v>
      </c>
      <c r="R27" s="2810">
        <f>IF(SUM(R19:R26)=$D$3,SUM(R19:R26),SUM(R19:R26)&amp;"误差"&amp;ROUND(SUM(R19:R26)-$D$3,2))</f>
        <v>5788.26</v>
      </c>
      <c r="S27" s="2273">
        <f>IF(SUM(S19:S26)=$E$3,SUM(S19:S26),SUM(S19:S26)&amp;"误差"&amp;ROUND(SUM(S19:S26)-E3,2))</f>
        <v>16578.28</v>
      </c>
    </row>
    <row r="28" spans="1:19">
      <c r="A28" s="2861"/>
      <c r="B28" s="2836" t="s">
        <v>530</v>
      </c>
      <c r="C28" s="2787" t="s">
        <v>531</v>
      </c>
      <c r="D28" s="2828">
        <f>ROUND($D$3*E28/$E$3,2)</f>
        <v>0</v>
      </c>
      <c r="E28" s="2858">
        <f>SUM(F28:G28)</f>
        <v>0</v>
      </c>
      <c r="F28" s="2262">
        <f>'数据-基础表'!BQ5+'数据-基础表'!BS5</f>
        <v>0</v>
      </c>
      <c r="G28" s="2871">
        <f>'数据-基础表'!BR5+'数据-基础表'!BT5</f>
        <v>0</v>
      </c>
      <c r="H28" s="2819"/>
      <c r="I28" s="2819"/>
      <c r="J28" s="2819"/>
      <c r="K28" s="2819"/>
      <c r="L28" s="2819"/>
      <c r="M28" s="2819"/>
      <c r="N28" s="2819"/>
      <c r="O28" s="2819"/>
      <c r="P28" s="2819"/>
    </row>
    <row r="29" spans="1:19">
      <c r="A29" s="2861"/>
      <c r="B29" s="2836" t="s">
        <v>530</v>
      </c>
      <c r="C29" s="2319" t="s">
        <v>532</v>
      </c>
      <c r="D29" s="2828">
        <f>ROUND($D$3*E29/$E$3,2)</f>
        <v>0</v>
      </c>
      <c r="E29" s="2858">
        <f>SUM(F29:G29)</f>
        <v>0</v>
      </c>
      <c r="F29" s="2872">
        <f>'数据-基础表'!BM5+'数据-基础表'!BO5</f>
        <v>0</v>
      </c>
      <c r="G29" s="2873">
        <f>'数据-基础表'!BN5+'数据-基础表'!BP5</f>
        <v>0</v>
      </c>
      <c r="H29" s="2819"/>
      <c r="I29" s="2819"/>
      <c r="J29" s="2819"/>
      <c r="K29" s="2819"/>
      <c r="L29" s="2819"/>
      <c r="M29" s="2819"/>
      <c r="N29" s="2819"/>
      <c r="O29" s="2819"/>
      <c r="P29" s="2819"/>
    </row>
    <row r="30" spans="1:19" ht="15">
      <c r="A30" s="2861"/>
      <c r="B30" s="2836"/>
      <c r="C30" s="2874" t="s">
        <v>529</v>
      </c>
      <c r="D30" s="2867">
        <f>SUM(D28:D29)</f>
        <v>0</v>
      </c>
      <c r="E30" s="2867">
        <f>SUM(E28:E29)</f>
        <v>0</v>
      </c>
      <c r="F30" s="2867">
        <f>SUM(F28:F29)</f>
        <v>0</v>
      </c>
      <c r="G30" s="2869">
        <f>SUM(G28:G29)</f>
        <v>0</v>
      </c>
      <c r="H30" s="2819"/>
      <c r="I30" s="2819"/>
      <c r="J30" s="2819"/>
      <c r="K30" s="2819"/>
      <c r="L30" s="2819"/>
      <c r="M30" s="2819"/>
      <c r="N30" s="2819"/>
      <c r="O30" s="2819"/>
      <c r="P30" s="2819"/>
    </row>
    <row r="31" spans="1:19" ht="15">
      <c r="A31" s="2875"/>
      <c r="B31" s="2876"/>
      <c r="C31" s="2203" t="s">
        <v>533</v>
      </c>
      <c r="D31" s="2877">
        <f>D27+D30</f>
        <v>5788.26</v>
      </c>
      <c r="E31" s="2877">
        <f>E27+E30</f>
        <v>16578.28</v>
      </c>
      <c r="F31" s="2878">
        <f>F27+F30</f>
        <v>0</v>
      </c>
      <c r="G31" s="2879">
        <f>G27+G30</f>
        <v>16578.28</v>
      </c>
      <c r="H31" s="2819"/>
      <c r="I31" s="2819"/>
      <c r="J31" s="2819"/>
      <c r="K31" s="2819"/>
      <c r="L31" s="2819"/>
      <c r="M31" s="2819"/>
      <c r="N31" s="2819"/>
      <c r="O31" s="2819"/>
      <c r="P31" s="2819"/>
    </row>
    <row r="32" spans="1:19">
      <c r="A32" s="2880"/>
      <c r="B32" s="2880" t="s">
        <v>534</v>
      </c>
      <c r="C32" s="2880"/>
      <c r="D32" s="2880"/>
      <c r="E32" s="2881">
        <f>SUMIF(C19:C26,"*住宅*",E19:E26)</f>
        <v>0</v>
      </c>
      <c r="F32" s="2880"/>
      <c r="G32" s="2880"/>
      <c r="H32" s="2819"/>
      <c r="I32" s="2819"/>
      <c r="J32" s="2819"/>
      <c r="K32" s="2819"/>
      <c r="L32" s="2819"/>
      <c r="M32" s="2819"/>
      <c r="N32" s="2819"/>
      <c r="O32" s="2819"/>
      <c r="P32" s="2819"/>
    </row>
    <row r="33" spans="4:11">
      <c r="D33" s="2882"/>
    </row>
    <row r="38" spans="4:11">
      <c r="D38" s="2816" t="s">
        <v>3439</v>
      </c>
      <c r="E38" s="2816">
        <f>'数据-基础表'!I13</f>
        <v>4894.96</v>
      </c>
      <c r="F38" s="2816">
        <f>广源二期!H193</f>
        <v>12938038.549999997</v>
      </c>
      <c r="G38" s="2816">
        <f>F38/365/E38</f>
        <v>7.2414648861081803</v>
      </c>
      <c r="I38" s="2816">
        <v>25000</v>
      </c>
      <c r="K38" s="2816">
        <f>I38*E38/10000</f>
        <v>12237.4</v>
      </c>
    </row>
    <row r="39" spans="4:11">
      <c r="D39" s="2816" t="s">
        <v>3440</v>
      </c>
      <c r="E39" s="2816">
        <f>'数据-基础表'!I14</f>
        <v>5619.03</v>
      </c>
      <c r="F39" s="2816">
        <f>广源二期!H236/0.3</f>
        <v>13149185.833333334</v>
      </c>
      <c r="G39" s="2816">
        <f t="shared" ref="G39:G41" si="11">F39/365/E39</f>
        <v>6.4112785777379147</v>
      </c>
      <c r="I39" s="2816">
        <v>18000</v>
      </c>
      <c r="K39" s="2816">
        <f t="shared" ref="K39:K40" si="12">I39*E39/10000</f>
        <v>10114.254000000001</v>
      </c>
    </row>
    <row r="40" spans="4:11">
      <c r="D40" s="2816" t="s">
        <v>3441</v>
      </c>
      <c r="E40" s="2816">
        <f>'数据-基础表'!K13</f>
        <v>6064.29</v>
      </c>
      <c r="F40" s="2816">
        <f>广源二期!H251+广源二期!H260</f>
        <v>3839973.5</v>
      </c>
      <c r="G40" s="2816">
        <f t="shared" si="11"/>
        <v>1.7348239187878143</v>
      </c>
      <c r="I40" s="2816">
        <v>6000</v>
      </c>
      <c r="K40" s="2816">
        <f t="shared" si="12"/>
        <v>3638.5740000000001</v>
      </c>
    </row>
    <row r="41" spans="4:11">
      <c r="E41" s="2816">
        <f>E38+E39+E40</f>
        <v>16578.28</v>
      </c>
      <c r="F41" s="2816">
        <f>F38+F39+F40</f>
        <v>29927197.883333333</v>
      </c>
      <c r="G41" s="2816">
        <f t="shared" si="11"/>
        <v>4.94576777373989</v>
      </c>
      <c r="K41" s="2816">
        <f>K38+K39+K40</f>
        <v>25990.228000000003</v>
      </c>
    </row>
    <row r="42" spans="4:11">
      <c r="F42" s="2816">
        <f>F41/10000</f>
        <v>2992.7197883333333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H34" sqref="H34"/>
    </sheetView>
  </sheetViews>
  <sheetFormatPr defaultColWidth="13.75" defaultRowHeight="12.75"/>
  <cols>
    <col min="1" max="1" width="23.375" style="2618" customWidth="1"/>
    <col min="2" max="2" width="12" style="2619" customWidth="1"/>
    <col min="3" max="3" width="12.75" style="2619" customWidth="1"/>
    <col min="4" max="4" width="9.125" style="2620" customWidth="1"/>
    <col min="5" max="5" width="15" style="2619" customWidth="1"/>
    <col min="6" max="10" width="8.875" style="2619" customWidth="1"/>
    <col min="11" max="12" width="12.375" style="2621" customWidth="1"/>
    <col min="13" max="13" width="8.625" style="2619" customWidth="1"/>
    <col min="14" max="14" width="11.875" style="2619" customWidth="1"/>
    <col min="15" max="15" width="8.5" style="2619" customWidth="1"/>
    <col min="16" max="17" width="10.875" style="2619" customWidth="1"/>
    <col min="18" max="19" width="12.5" style="2619" customWidth="1"/>
    <col min="20" max="20" width="12.125" style="2619" customWidth="1"/>
    <col min="21" max="21" width="7.5" style="2619" customWidth="1"/>
    <col min="22" max="22" width="6.375" style="2619" customWidth="1"/>
    <col min="23" max="30" width="6.75" style="2619" customWidth="1"/>
    <col min="31" max="31" width="8" style="2619" customWidth="1"/>
    <col min="32" max="34" width="7.25" style="2619" customWidth="1"/>
    <col min="35" max="39" width="8" style="2619" customWidth="1"/>
    <col min="40" max="40" width="13.75" style="2617"/>
    <col min="41" max="41" width="11.625" style="2617" customWidth="1"/>
    <col min="42" max="42" width="9.75" style="2617" customWidth="1"/>
    <col min="43" max="67" width="13.75" style="2617"/>
    <col min="68" max="16384" width="13.75" style="2619"/>
  </cols>
  <sheetData>
    <row r="1" spans="1:67" ht="18.75">
      <c r="A1" s="2622" t="s">
        <v>535</v>
      </c>
      <c r="B1" s="2623"/>
      <c r="C1" s="1894"/>
      <c r="D1" s="2624"/>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143"/>
      <c r="AO1" s="2143"/>
      <c r="AP1" s="2143"/>
      <c r="AQ1" s="2143"/>
      <c r="AR1" s="2143"/>
    </row>
    <row r="2" spans="1:67" s="2614" customFormat="1" ht="15">
      <c r="A2" s="2625" t="s">
        <v>536</v>
      </c>
      <c r="B2" s="2626">
        <f>项目基本情况!D3</f>
        <v>44755</v>
      </c>
      <c r="C2" s="2627"/>
      <c r="D2" s="2628"/>
      <c r="E2" s="2627"/>
      <c r="F2" s="2627"/>
      <c r="G2" s="2627"/>
      <c r="H2" s="2627"/>
      <c r="I2" s="2627"/>
      <c r="J2" s="2627"/>
      <c r="K2" s="2725"/>
      <c r="L2" s="2725"/>
      <c r="M2" s="2627"/>
      <c r="N2" s="2627"/>
      <c r="O2" s="2627"/>
      <c r="P2" s="2627"/>
      <c r="Q2" s="2627"/>
      <c r="R2" s="2627"/>
      <c r="S2" s="2627"/>
      <c r="T2" s="2627"/>
      <c r="U2" s="2627"/>
      <c r="V2" s="2627"/>
      <c r="W2" s="2627"/>
      <c r="X2" s="2627"/>
      <c r="Y2" s="2627"/>
      <c r="Z2" s="2627"/>
      <c r="AA2" s="2627"/>
      <c r="AB2" s="2627"/>
      <c r="AC2" s="2627"/>
      <c r="AD2" s="2627"/>
      <c r="AE2" s="2627"/>
      <c r="AF2" s="2627"/>
      <c r="AG2" s="2627"/>
      <c r="AH2" s="2627"/>
      <c r="AI2" s="2627"/>
      <c r="AJ2" s="2627"/>
      <c r="AK2" s="2627"/>
      <c r="AL2" s="2627"/>
      <c r="AM2" s="2627"/>
      <c r="AN2" s="2660"/>
      <c r="AO2" s="2660"/>
      <c r="AP2" s="2660"/>
      <c r="AQ2" s="2660"/>
      <c r="AR2" s="2660"/>
      <c r="AS2" s="2545"/>
      <c r="AT2" s="2545"/>
      <c r="AU2" s="2545"/>
      <c r="AV2" s="2545"/>
      <c r="AW2" s="2545"/>
      <c r="AX2" s="2545"/>
      <c r="AY2" s="2545"/>
      <c r="AZ2" s="2545"/>
      <c r="BA2" s="2545"/>
      <c r="BB2" s="2545"/>
      <c r="BC2" s="2545"/>
      <c r="BD2" s="2545"/>
      <c r="BE2" s="2545"/>
      <c r="BF2" s="2545"/>
      <c r="BG2" s="2545"/>
      <c r="BH2" s="2545"/>
      <c r="BI2" s="2545"/>
      <c r="BJ2" s="2545"/>
      <c r="BK2" s="2545"/>
      <c r="BL2" s="2545"/>
      <c r="BM2" s="2545"/>
      <c r="BN2" s="2545"/>
      <c r="BO2" s="2545"/>
    </row>
    <row r="3" spans="1:67" s="2614" customFormat="1" ht="14.25">
      <c r="A3" s="2629"/>
      <c r="B3" s="2630"/>
      <c r="C3" s="2627"/>
      <c r="D3" s="2628"/>
      <c r="E3" s="2627"/>
      <c r="F3" s="2627"/>
      <c r="G3" s="2627"/>
      <c r="H3" s="2627"/>
      <c r="I3" s="2627"/>
      <c r="J3" s="2627"/>
      <c r="K3" s="2725"/>
      <c r="L3" s="2725"/>
      <c r="M3" s="2627"/>
      <c r="N3" s="2627"/>
      <c r="O3" s="2627"/>
      <c r="P3" s="2627"/>
      <c r="Q3" s="2627"/>
      <c r="R3" s="2627"/>
      <c r="S3" s="2627"/>
      <c r="T3" s="2627"/>
      <c r="U3" s="2627"/>
      <c r="V3" s="2627"/>
      <c r="W3" s="2627"/>
      <c r="X3" s="2627"/>
      <c r="Y3" s="2627"/>
      <c r="Z3" s="2627"/>
      <c r="AA3" s="2627"/>
      <c r="AB3" s="2627"/>
      <c r="AC3" s="2627"/>
      <c r="AD3" s="2627"/>
      <c r="AE3" s="2627"/>
      <c r="AF3" s="2627"/>
      <c r="AG3" s="2627"/>
      <c r="AH3" s="2627"/>
      <c r="AI3" s="2627"/>
      <c r="AJ3" s="2627"/>
      <c r="AK3" s="2627"/>
      <c r="AL3" s="2627"/>
      <c r="AM3" s="2627"/>
      <c r="AN3" s="2660"/>
      <c r="AO3" s="2660"/>
      <c r="AP3" s="2660"/>
      <c r="AQ3" s="2660"/>
      <c r="AR3" s="2660"/>
      <c r="AS3" s="2545"/>
      <c r="AT3" s="2545"/>
      <c r="AU3" s="2545"/>
      <c r="AV3" s="2545"/>
      <c r="AW3" s="2545"/>
      <c r="AX3" s="2545"/>
      <c r="AY3" s="2545"/>
      <c r="AZ3" s="2545"/>
      <c r="BA3" s="2545"/>
      <c r="BB3" s="2545"/>
      <c r="BC3" s="2545"/>
      <c r="BD3" s="2545"/>
      <c r="BE3" s="2545"/>
      <c r="BF3" s="2545"/>
      <c r="BG3" s="2545"/>
      <c r="BH3" s="2545"/>
      <c r="BI3" s="2545"/>
      <c r="BJ3" s="2545"/>
      <c r="BK3" s="2545"/>
      <c r="BL3" s="2545"/>
      <c r="BM3" s="2545"/>
      <c r="BN3" s="2545"/>
      <c r="BO3" s="2545"/>
    </row>
    <row r="4" spans="1:67" s="2614" customFormat="1" ht="14.25">
      <c r="A4" s="1365" t="s">
        <v>537</v>
      </c>
      <c r="B4" s="2280"/>
      <c r="C4" s="2631"/>
      <c r="D4" s="2632"/>
      <c r="E4" s="2631" t="s">
        <v>538</v>
      </c>
      <c r="F4" s="2631"/>
      <c r="G4" s="2631"/>
      <c r="H4" s="2631"/>
      <c r="I4" s="2631"/>
      <c r="J4" s="2726"/>
      <c r="K4" s="2727"/>
      <c r="L4" s="2728"/>
      <c r="M4" s="2631"/>
      <c r="N4" s="2631" t="s">
        <v>539</v>
      </c>
      <c r="O4" s="2631"/>
      <c r="P4" s="2631"/>
      <c r="Q4" s="2631"/>
      <c r="R4" s="2631"/>
      <c r="S4" s="2726"/>
      <c r="T4" s="2750" t="str">
        <f>'数据-汇总表'!I17</f>
        <v>按面积比例</v>
      </c>
      <c r="U4" s="2280" t="s">
        <v>540</v>
      </c>
      <c r="V4" s="2631"/>
      <c r="W4" s="2631"/>
      <c r="X4" s="2631"/>
      <c r="Y4" s="2726"/>
      <c r="Z4" s="2777" t="s">
        <v>541</v>
      </c>
      <c r="AA4" s="2777"/>
      <c r="AB4" s="2777"/>
      <c r="AC4" s="2777"/>
      <c r="AD4" s="2777"/>
      <c r="AE4" s="2778" t="s">
        <v>542</v>
      </c>
      <c r="AF4" s="2777"/>
      <c r="AG4" s="2791"/>
      <c r="AH4" s="2280"/>
      <c r="AI4" s="2631"/>
      <c r="AJ4" s="2631"/>
      <c r="AK4" s="2631"/>
      <c r="AL4" s="2631"/>
      <c r="AM4" s="2726"/>
      <c r="AN4" s="2660"/>
      <c r="AO4" s="2660"/>
      <c r="AP4" s="2660"/>
      <c r="AQ4" s="2660"/>
      <c r="AR4" s="2660"/>
      <c r="AS4" s="2545"/>
      <c r="AT4" s="2545"/>
      <c r="AU4" s="2545"/>
      <c r="AV4" s="2545"/>
      <c r="AW4" s="2545"/>
      <c r="AX4" s="2545"/>
      <c r="AY4" s="2545"/>
      <c r="AZ4" s="2545"/>
      <c r="BA4" s="2545"/>
      <c r="BB4" s="2545"/>
      <c r="BC4" s="2545"/>
      <c r="BD4" s="2545"/>
      <c r="BE4" s="2545"/>
      <c r="BF4" s="2545"/>
      <c r="BG4" s="2545"/>
      <c r="BH4" s="2545"/>
      <c r="BI4" s="2545"/>
      <c r="BJ4" s="2545"/>
      <c r="BK4" s="2545"/>
      <c r="BL4" s="2545"/>
      <c r="BM4" s="2545"/>
      <c r="BN4" s="2545"/>
      <c r="BO4" s="2545"/>
    </row>
    <row r="5" spans="1:67" s="2615" customFormat="1" ht="42">
      <c r="A5" s="2633" t="s">
        <v>514</v>
      </c>
      <c r="B5" s="2634" t="s">
        <v>513</v>
      </c>
      <c r="C5" s="2635" t="s">
        <v>543</v>
      </c>
      <c r="D5" s="2636" t="s">
        <v>544</v>
      </c>
      <c r="E5" s="2637" t="s">
        <v>545</v>
      </c>
      <c r="F5" s="2638" t="s">
        <v>546</v>
      </c>
      <c r="G5" s="2637" t="s">
        <v>547</v>
      </c>
      <c r="H5" s="2637" t="s">
        <v>548</v>
      </c>
      <c r="I5" s="2637" t="s">
        <v>549</v>
      </c>
      <c r="J5" s="2729" t="s">
        <v>550</v>
      </c>
      <c r="K5" s="2730" t="s">
        <v>523</v>
      </c>
      <c r="L5" s="2731" t="s">
        <v>551</v>
      </c>
      <c r="M5" s="2732" t="s">
        <v>552</v>
      </c>
      <c r="N5" s="2733" t="s">
        <v>553</v>
      </c>
      <c r="O5" s="2731" t="s">
        <v>554</v>
      </c>
      <c r="P5" s="2734" t="s">
        <v>555</v>
      </c>
      <c r="Q5" s="1253" t="s">
        <v>556</v>
      </c>
      <c r="R5" s="2751" t="s">
        <v>557</v>
      </c>
      <c r="S5" s="2752" t="s">
        <v>558</v>
      </c>
      <c r="T5" s="2753" t="s">
        <v>559</v>
      </c>
      <c r="U5" s="2754" t="s">
        <v>560</v>
      </c>
      <c r="V5" s="2637" t="s">
        <v>561</v>
      </c>
      <c r="W5" s="2637" t="s">
        <v>562</v>
      </c>
      <c r="X5" s="939"/>
      <c r="Y5" s="1382" t="s">
        <v>563</v>
      </c>
      <c r="Z5" s="2779" t="s">
        <v>560</v>
      </c>
      <c r="AA5" s="2637" t="s">
        <v>561</v>
      </c>
      <c r="AB5" s="2637" t="s">
        <v>562</v>
      </c>
      <c r="AC5" s="939"/>
      <c r="AD5" s="939" t="s">
        <v>563</v>
      </c>
      <c r="AE5" s="2754" t="s">
        <v>564</v>
      </c>
      <c r="AF5" s="2637" t="s">
        <v>565</v>
      </c>
      <c r="AG5" s="1382" t="s">
        <v>566</v>
      </c>
      <c r="AH5" s="2754" t="s">
        <v>567</v>
      </c>
      <c r="AI5" s="2779" t="s">
        <v>568</v>
      </c>
      <c r="AJ5" s="2779" t="s">
        <v>569</v>
      </c>
      <c r="AK5" s="2637" t="s">
        <v>570</v>
      </c>
      <c r="AL5" s="2637" t="s">
        <v>571</v>
      </c>
      <c r="AM5" s="1382" t="s">
        <v>572</v>
      </c>
      <c r="AN5" s="2792" t="s">
        <v>573</v>
      </c>
      <c r="AO5" s="2809" t="s">
        <v>574</v>
      </c>
      <c r="AP5" s="2810" t="s">
        <v>575</v>
      </c>
      <c r="AQ5" s="2811" t="s">
        <v>576</v>
      </c>
      <c r="AR5" s="2811" t="s">
        <v>577</v>
      </c>
      <c r="AS5" s="2546"/>
      <c r="AT5" s="2546"/>
      <c r="AU5" s="2546"/>
      <c r="AV5" s="2546"/>
      <c r="AW5" s="2546"/>
      <c r="AX5" s="2546"/>
      <c r="AY5" s="2546"/>
      <c r="AZ5" s="2546"/>
      <c r="BA5" s="2546"/>
      <c r="BB5" s="2546"/>
      <c r="BC5" s="2546"/>
      <c r="BD5" s="2546"/>
      <c r="BE5" s="2546"/>
      <c r="BF5" s="2546"/>
      <c r="BG5" s="2546"/>
      <c r="BH5" s="2546"/>
      <c r="BI5" s="2546"/>
      <c r="BJ5" s="2546"/>
      <c r="BK5" s="2546"/>
      <c r="BL5" s="2546"/>
      <c r="BM5" s="2546"/>
      <c r="BN5" s="2546"/>
      <c r="BO5" s="2546"/>
    </row>
    <row r="6" spans="1:67" s="2614" customFormat="1" ht="14.25">
      <c r="A6" s="2639" t="str">
        <f>'数据-汇总表'!C19</f>
        <v>地下商业</v>
      </c>
      <c r="B6" s="2640" t="str">
        <f>IF(A6=0,"","经营性")</f>
        <v>经营性</v>
      </c>
      <c r="C6" s="2641" t="s">
        <v>451</v>
      </c>
      <c r="D6" s="2642">
        <f>SUMIF(项目基本情况!D$12:I$12,C6,项目基本情况!D$14:I$14)</f>
        <v>40</v>
      </c>
      <c r="E6" s="2643">
        <f>IF(B6="","",SUMIF(项目基本情况!D$12:I$12,C6,项目基本情况!D$13:I$13))</f>
        <v>50901</v>
      </c>
      <c r="F6" s="2644">
        <f>SUMIF(项目基本情况!D$12:I$12,C6,项目基本情况!D$15:I$15)</f>
        <v>16.829999999999998</v>
      </c>
      <c r="G6" s="2645">
        <f>IF(ISERROR(ROUND(POWER(1+H6,D6-F6)*(POWER(1+H6,F6)-1)/(POWER(1+H6,D6)-1),3)),0,ROUND(POWER(1+H6,D6-F6)*(POWER(1+H6,F6)-1)/(POWER(1+H6,D6)-1),3))</f>
        <v>0.65300000000000002</v>
      </c>
      <c r="H6" s="2646">
        <v>0.05</v>
      </c>
      <c r="I6" s="2646">
        <v>5.5E-2</v>
      </c>
      <c r="J6" s="2647">
        <v>7.4999999999999997E-2</v>
      </c>
      <c r="K6" s="2735">
        <f>SUMIF('数据-汇总表'!C$19:C$33,A6,'数据-汇总表'!E$19:E$33)</f>
        <v>10513.99</v>
      </c>
      <c r="L6" s="2736">
        <v>3000</v>
      </c>
      <c r="M6" s="2737">
        <f t="shared" ref="M6:M14" si="0">ROUND(K6*L6/10000,0)</f>
        <v>3154</v>
      </c>
      <c r="N6" s="3275">
        <f>ROUND((N21+N22)/2,2)</f>
        <v>0.71</v>
      </c>
      <c r="O6" s="2737" t="str">
        <f>IF($N$5="成新度","——",ROUND(M6*N6,0))</f>
        <v>——</v>
      </c>
      <c r="P6" s="2739" t="str">
        <f>IF($N$5="成新度","——",M6-O6)</f>
        <v>——</v>
      </c>
      <c r="Q6" s="2755">
        <v>0.15</v>
      </c>
      <c r="R6" s="2756">
        <f ca="1">SUMIF('数据-汇总表'!C$19:C$33,A6,'数据-汇总表'!R$19:R$27)</f>
        <v>3670.93</v>
      </c>
      <c r="S6" s="2757">
        <f>IF('数据-汇总表'!$I$17="按面积比例",SUMIF('数据-汇总表'!C$19:C$33,A6,'数据-汇总表'!K$19:K$33),SUMIF('数据-汇总表'!C$19:C$33,A6,'数据-汇总表'!N$19:N$33))</f>
        <v>0</v>
      </c>
      <c r="T6" s="2758">
        <f>ROUND($L$14*S6/10000,0)</f>
        <v>0</v>
      </c>
      <c r="U6" s="3276">
        <v>8</v>
      </c>
      <c r="V6" s="2760">
        <v>2.5000000000000001E-2</v>
      </c>
      <c r="W6" s="2760">
        <v>0.15</v>
      </c>
      <c r="X6" s="2761"/>
      <c r="Y6" s="2780">
        <f>N6</f>
        <v>0.71</v>
      </c>
      <c r="Z6" s="2781"/>
      <c r="AA6" s="2647"/>
      <c r="AB6" s="2647"/>
      <c r="AC6" s="2761"/>
      <c r="AD6" s="2782"/>
      <c r="AE6" s="2783">
        <f ca="1">IF(AN6="",0,SUMIF(INDIRECT("'"&amp;AN6&amp;"'"&amp;"!E:E"),$AE$5,INDIRECT("'"&amp;AN6&amp;"'"&amp;"!F:F")))</f>
        <v>16.829999999999998</v>
      </c>
      <c r="AF6" s="2259"/>
      <c r="AG6" s="1556">
        <f>IF(AF6="",0,AE6-AF6)</f>
        <v>0</v>
      </c>
      <c r="AH6" s="2765"/>
      <c r="AI6" s="2793">
        <v>365</v>
      </c>
      <c r="AJ6" s="2794"/>
      <c r="AK6" s="2795">
        <v>0.01</v>
      </c>
      <c r="AL6" s="2796">
        <v>1.5E-3</v>
      </c>
      <c r="AM6" s="2797">
        <v>1.4999999999999999E-2</v>
      </c>
      <c r="AN6" s="2798" t="s">
        <v>578</v>
      </c>
      <c r="AO6" s="1131">
        <f ca="1">SUMIF(INDIRECT("'"&amp;AN6&amp;"'"&amp;"!A:A"),"总价",INDIRECT("'"&amp;AN6&amp;"'"&amp;"!B:B"))</f>
        <v>26654</v>
      </c>
      <c r="AP6" s="2812">
        <f>IF(C6="住宅",K6*L6,0)</f>
        <v>0</v>
      </c>
      <c r="AQ6" s="1131">
        <f>ROUND($L$14*$N$14*S6/10000,0)</f>
        <v>0</v>
      </c>
      <c r="AR6" s="1131">
        <f>ROUND($L$14*(1-$N$14)*S6/10000,0)</f>
        <v>0</v>
      </c>
      <c r="AS6" s="2545"/>
      <c r="AT6" s="2545"/>
      <c r="AU6" s="2545"/>
      <c r="AV6" s="2545"/>
      <c r="AW6" s="2545"/>
      <c r="AX6" s="2545"/>
      <c r="AY6" s="2545"/>
      <c r="AZ6" s="2545"/>
      <c r="BA6" s="2545"/>
      <c r="BB6" s="2545"/>
      <c r="BC6" s="2545"/>
      <c r="BD6" s="2545"/>
      <c r="BE6" s="2545"/>
      <c r="BF6" s="2545"/>
      <c r="BG6" s="2545"/>
      <c r="BH6" s="2545"/>
      <c r="BI6" s="2545"/>
      <c r="BJ6" s="2545"/>
      <c r="BK6" s="2545"/>
      <c r="BL6" s="2545"/>
      <c r="BM6" s="2545"/>
      <c r="BN6" s="2545"/>
      <c r="BO6" s="2545"/>
    </row>
    <row r="7" spans="1:67" s="2614" customFormat="1" ht="14.25">
      <c r="A7" s="2639" t="str">
        <f>'数据-汇总表'!C20</f>
        <v>地下车库</v>
      </c>
      <c r="B7" s="2640" t="str">
        <f t="shared" ref="B7:B13" si="1">IF(A7=0,"","经营性")</f>
        <v>经营性</v>
      </c>
      <c r="C7" s="2641" t="s">
        <v>579</v>
      </c>
      <c r="D7" s="2642">
        <f>SUMIF(项目基本情况!D$12:I$12,C7,项目基本情况!D$14:I$14)</f>
        <v>40</v>
      </c>
      <c r="E7" s="2643">
        <f>IF(B7="","",SUMIF(项目基本情况!D$12:I$12,C7,项目基本情况!D$13:I$13))</f>
        <v>50901</v>
      </c>
      <c r="F7" s="2644">
        <f>SUMIF(项目基本情况!D$12:I$12,C7,项目基本情况!D$15:I$15)</f>
        <v>16.829999999999998</v>
      </c>
      <c r="G7" s="2645">
        <f t="shared" ref="G7:G13" si="2">IF(ISERROR(ROUND(POWER(1+H7,D7-F7)*(POWER(1+H7,F7)-1)/(POWER(1+H7,D7)-1),3)),0,ROUND(POWER(1+H7,D7-F7)*(POWER(1+H7,F7)-1)/(POWER(1+H7,D7)-1),3))</f>
        <v>0.65300000000000002</v>
      </c>
      <c r="H7" s="2646">
        <f>H6</f>
        <v>0.05</v>
      </c>
      <c r="I7" s="2646">
        <f>I6</f>
        <v>5.5E-2</v>
      </c>
      <c r="J7" s="2647">
        <f>J6</f>
        <v>7.4999999999999997E-2</v>
      </c>
      <c r="K7" s="2735">
        <f>SUMIF('数据-汇总表'!C$19:C$33,A7,'数据-汇总表'!E$19:E$33)</f>
        <v>6064.29</v>
      </c>
      <c r="L7" s="2736">
        <v>3000</v>
      </c>
      <c r="M7" s="2737">
        <f t="shared" si="0"/>
        <v>1819</v>
      </c>
      <c r="N7" s="2738">
        <f>N6</f>
        <v>0.71</v>
      </c>
      <c r="O7" s="2737" t="str">
        <f t="shared" ref="O7:O14" si="3">IF($N$5="成新度","——",ROUND(M7*N7,0))</f>
        <v>——</v>
      </c>
      <c r="P7" s="2739" t="str">
        <f t="shared" ref="P7:P14" si="4">IF($N$5="成新度","——",M7-O7)</f>
        <v>——</v>
      </c>
      <c r="Q7" s="2755">
        <v>0.05</v>
      </c>
      <c r="R7" s="2756">
        <f ca="1">SUMIF('数据-汇总表'!C$19:C$33,A7,'数据-汇总表'!R$19:R$27)</f>
        <v>2117.33</v>
      </c>
      <c r="S7" s="2757">
        <f>IF('数据-汇总表'!$I$17="按面积比例",SUMIF('数据-汇总表'!C$19:C$33,A7,'数据-汇总表'!K$19:K$33),SUMIF('数据-汇总表'!C$19:C$33,A7,'数据-汇总表'!N$19:N$33))</f>
        <v>0</v>
      </c>
      <c r="T7" s="2758">
        <f t="shared" ref="T7:T13" si="5">ROUND($L$14*S7/10000,0)</f>
        <v>0</v>
      </c>
      <c r="U7" s="3278">
        <v>1800</v>
      </c>
      <c r="V7" s="2760">
        <v>2.5000000000000001E-2</v>
      </c>
      <c r="W7" s="2760">
        <v>0.15</v>
      </c>
      <c r="X7" s="2761"/>
      <c r="Y7" s="2780">
        <f>Y6</f>
        <v>0.71</v>
      </c>
      <c r="Z7" s="2781"/>
      <c r="AA7" s="2647"/>
      <c r="AB7" s="2647"/>
      <c r="AC7" s="2761"/>
      <c r="AD7" s="2782"/>
      <c r="AE7" s="2783">
        <f t="shared" ref="AE7:AE13" ca="1" si="6">IF(AN7="",0,SUMIF(INDIRECT("'"&amp;AN7&amp;"'"&amp;"!E:E"),$AE$5,INDIRECT("'"&amp;AN7&amp;"'"&amp;"!F:F")))</f>
        <v>16.829999999999998</v>
      </c>
      <c r="AF7" s="2259"/>
      <c r="AG7" s="1556">
        <f t="shared" ref="AG7:AG13" si="7">IF(AF7="",0,AE7-AF7)</f>
        <v>0</v>
      </c>
      <c r="AH7" s="3277">
        <v>217</v>
      </c>
      <c r="AI7" s="2793">
        <v>12</v>
      </c>
      <c r="AJ7" s="2794"/>
      <c r="AK7" s="2795">
        <v>0.01</v>
      </c>
      <c r="AL7" s="2796">
        <v>1.5E-3</v>
      </c>
      <c r="AM7" s="2797">
        <v>0.01</v>
      </c>
      <c r="AN7" s="2798" t="s">
        <v>266</v>
      </c>
      <c r="AO7" s="1131">
        <f t="shared" ref="AO7:AO13" ca="1" si="8">SUMIF(INDIRECT("'"&amp;AN7&amp;"'"&amp;"!A:A"),"总价",INDIRECT("'"&amp;AN7&amp;"'"&amp;"!B:B"))</f>
        <v>3806</v>
      </c>
      <c r="AP7" s="2812">
        <f t="shared" ref="AP7:AP13" si="9">IF(C7="住宅",K7*L7,0)</f>
        <v>0</v>
      </c>
      <c r="AQ7" s="1131">
        <f t="shared" ref="AQ7:AQ13" si="10">ROUND($L$14*$N$14*S7/10000,0)</f>
        <v>0</v>
      </c>
      <c r="AR7" s="1131">
        <f t="shared" ref="AR7:AR13" si="11">ROUND($L$14*(1-$N$14)*S7/10000,0)</f>
        <v>0</v>
      </c>
      <c r="AS7" s="2545"/>
      <c r="AT7" s="2545"/>
      <c r="AU7" s="2545"/>
      <c r="AV7" s="2545"/>
      <c r="AW7" s="2545"/>
      <c r="AX7" s="2545"/>
      <c r="AY7" s="2545"/>
      <c r="AZ7" s="2545"/>
      <c r="BA7" s="2545"/>
      <c r="BB7" s="2545"/>
      <c r="BC7" s="2545"/>
      <c r="BD7" s="2545"/>
      <c r="BE7" s="2545"/>
      <c r="BF7" s="2545"/>
      <c r="BG7" s="2545"/>
      <c r="BH7" s="2545"/>
      <c r="BI7" s="2545"/>
      <c r="BJ7" s="2545"/>
      <c r="BK7" s="2545"/>
      <c r="BL7" s="2545"/>
      <c r="BM7" s="2545"/>
      <c r="BN7" s="2545"/>
      <c r="BO7" s="2545"/>
    </row>
    <row r="8" spans="1:67" s="2614" customFormat="1" ht="14.25">
      <c r="A8" s="2639">
        <f>'数据-汇总表'!C21</f>
        <v>0</v>
      </c>
      <c r="B8" s="2640" t="str">
        <f t="shared" si="1"/>
        <v/>
      </c>
      <c r="C8" s="2641"/>
      <c r="D8" s="2642">
        <f>SUMIF(项目基本情况!D$12:I$12,C8,项目基本情况!D$14:I$14)</f>
        <v>0</v>
      </c>
      <c r="E8" s="2643" t="str">
        <f>IF(B8="","",SUMIF(项目基本情况!D$12:I$12,C8,项目基本情况!D$13:I$13))</f>
        <v/>
      </c>
      <c r="F8" s="2644">
        <f>SUMIF(项目基本情况!D$12:I$12,C8,项目基本情况!D$15:I$15)</f>
        <v>0</v>
      </c>
      <c r="G8" s="2645">
        <f t="shared" si="2"/>
        <v>0</v>
      </c>
      <c r="H8" s="2646"/>
      <c r="I8" s="2646"/>
      <c r="J8" s="2647"/>
      <c r="K8" s="2735">
        <f>SUMIF('数据-汇总表'!C$19:C$33,A8,'数据-汇总表'!E$19:E$33)</f>
        <v>0</v>
      </c>
      <c r="L8" s="2736"/>
      <c r="M8" s="2737">
        <f t="shared" si="0"/>
        <v>0</v>
      </c>
      <c r="N8" s="2738"/>
      <c r="O8" s="2737" t="str">
        <f t="shared" si="3"/>
        <v>——</v>
      </c>
      <c r="P8" s="2739" t="str">
        <f t="shared" si="4"/>
        <v>——</v>
      </c>
      <c r="Q8" s="2755"/>
      <c r="R8" s="2756">
        <f ca="1">SUMIF('数据-汇总表'!C$19:C$33,A8,'数据-汇总表'!R$19:R$27)</f>
        <v>0</v>
      </c>
      <c r="S8" s="2757">
        <f>IF('数据-汇总表'!$I$17="按面积比例",SUMIF('数据-汇总表'!C$19:C$33,A8,'数据-汇总表'!K$19:K$33),SUMIF('数据-汇总表'!C$19:C$33,A8,'数据-汇总表'!N$19:N$33))</f>
        <v>0</v>
      </c>
      <c r="T8" s="2758">
        <f t="shared" si="5"/>
        <v>0</v>
      </c>
      <c r="U8" s="2762"/>
      <c r="V8" s="2763"/>
      <c r="W8" s="2763"/>
      <c r="X8" s="2761"/>
      <c r="Y8" s="2784"/>
      <c r="Z8" s="2781"/>
      <c r="AA8" s="2647"/>
      <c r="AB8" s="2647"/>
      <c r="AC8" s="2761"/>
      <c r="AD8" s="2782"/>
      <c r="AE8" s="2783">
        <f t="shared" ca="1" si="6"/>
        <v>0</v>
      </c>
      <c r="AF8" s="2259"/>
      <c r="AG8" s="1556">
        <f t="shared" si="7"/>
        <v>0</v>
      </c>
      <c r="AH8" s="2799"/>
      <c r="AI8" s="2793"/>
      <c r="AJ8" s="2794"/>
      <c r="AK8" s="2800"/>
      <c r="AL8" s="2801"/>
      <c r="AM8" s="2802"/>
      <c r="AN8" s="2798"/>
      <c r="AO8" s="1131" t="e">
        <f t="shared" ca="1" si="8"/>
        <v>#REF!</v>
      </c>
      <c r="AP8" s="2812">
        <f t="shared" si="9"/>
        <v>0</v>
      </c>
      <c r="AQ8" s="1131">
        <f t="shared" si="10"/>
        <v>0</v>
      </c>
      <c r="AR8" s="1131">
        <f t="shared" si="11"/>
        <v>0</v>
      </c>
      <c r="AS8" s="2545"/>
      <c r="AT8" s="2545"/>
      <c r="AU8" s="2545"/>
      <c r="AV8" s="2545"/>
      <c r="AW8" s="2545"/>
      <c r="AX8" s="2545"/>
      <c r="AY8" s="2545"/>
      <c r="AZ8" s="2545"/>
      <c r="BA8" s="2545"/>
      <c r="BB8" s="2545"/>
      <c r="BC8" s="2545"/>
      <c r="BD8" s="2545"/>
      <c r="BE8" s="2545"/>
      <c r="BF8" s="2545"/>
      <c r="BG8" s="2545"/>
      <c r="BH8" s="2545"/>
      <c r="BI8" s="2545"/>
      <c r="BJ8" s="2545"/>
      <c r="BK8" s="2545"/>
      <c r="BL8" s="2545"/>
      <c r="BM8" s="2545"/>
      <c r="BN8" s="2545"/>
      <c r="BO8" s="2545"/>
    </row>
    <row r="9" spans="1:67" s="2614" customFormat="1" ht="14.25">
      <c r="A9" s="2639">
        <f>'数据-汇总表'!C22</f>
        <v>0</v>
      </c>
      <c r="B9" s="2640" t="str">
        <f t="shared" si="1"/>
        <v/>
      </c>
      <c r="C9" s="2641"/>
      <c r="D9" s="2642">
        <f>SUMIF(项目基本情况!D$12:I$12,C9,项目基本情况!D$14:I$14)</f>
        <v>0</v>
      </c>
      <c r="E9" s="2643" t="str">
        <f>IF(B9="","",SUMIF(项目基本情况!D$12:I$12,C9,项目基本情况!D$13:I$13))</f>
        <v/>
      </c>
      <c r="F9" s="2644">
        <f>SUMIF(项目基本情况!D$12:I$12,C9,项目基本情况!D$15:I$15)</f>
        <v>0</v>
      </c>
      <c r="G9" s="2645">
        <f t="shared" si="2"/>
        <v>0</v>
      </c>
      <c r="H9" s="2647"/>
      <c r="I9" s="2647"/>
      <c r="J9" s="2647"/>
      <c r="K9" s="2735">
        <f>SUMIF('数据-汇总表'!C$19:C$33,A9,'数据-汇总表'!E$19:E$33)</f>
        <v>0</v>
      </c>
      <c r="L9" s="2736"/>
      <c r="M9" s="2737">
        <f t="shared" si="0"/>
        <v>0</v>
      </c>
      <c r="N9" s="2738"/>
      <c r="O9" s="2737" t="str">
        <f t="shared" si="3"/>
        <v>——</v>
      </c>
      <c r="P9" s="2739" t="str">
        <f t="shared" si="4"/>
        <v>——</v>
      </c>
      <c r="Q9" s="2764"/>
      <c r="R9" s="2756">
        <f ca="1">SUMIF('数据-汇总表'!C$19:C$33,A9,'数据-汇总表'!R$19:R$27)</f>
        <v>0</v>
      </c>
      <c r="S9" s="2757">
        <f>IF('数据-汇总表'!$I$17="按面积比例",SUMIF('数据-汇总表'!C$19:C$33,A9,'数据-汇总表'!K$19:K$33),SUMIF('数据-汇总表'!C$19:C$33,A9,'数据-汇总表'!N$19:N$33))</f>
        <v>0</v>
      </c>
      <c r="T9" s="2758">
        <f t="shared" si="5"/>
        <v>0</v>
      </c>
      <c r="U9" s="2759"/>
      <c r="V9" s="2760"/>
      <c r="W9" s="2760"/>
      <c r="X9" s="2761"/>
      <c r="Y9" s="2780"/>
      <c r="Z9" s="2781"/>
      <c r="AA9" s="2647"/>
      <c r="AB9" s="2647"/>
      <c r="AC9" s="2761"/>
      <c r="AD9" s="2782"/>
      <c r="AE9" s="2783">
        <f t="shared" ca="1" si="6"/>
        <v>0</v>
      </c>
      <c r="AF9" s="2259"/>
      <c r="AG9" s="1556">
        <f t="shared" si="7"/>
        <v>0</v>
      </c>
      <c r="AH9" s="2765"/>
      <c r="AI9" s="2793"/>
      <c r="AJ9" s="2794"/>
      <c r="AK9" s="2795"/>
      <c r="AL9" s="2796"/>
      <c r="AM9" s="2797"/>
      <c r="AN9" s="2798"/>
      <c r="AO9" s="1131" t="e">
        <f t="shared" ca="1" si="8"/>
        <v>#REF!</v>
      </c>
      <c r="AP9" s="2812">
        <f t="shared" si="9"/>
        <v>0</v>
      </c>
      <c r="AQ9" s="1131">
        <f t="shared" si="10"/>
        <v>0</v>
      </c>
      <c r="AR9" s="1131">
        <f t="shared" si="11"/>
        <v>0</v>
      </c>
      <c r="AS9" s="2545"/>
      <c r="AT9" s="2545"/>
      <c r="AU9" s="2545"/>
      <c r="AV9" s="2545"/>
      <c r="AW9" s="2545"/>
      <c r="AX9" s="2545"/>
      <c r="AY9" s="2545"/>
      <c r="AZ9" s="2545"/>
      <c r="BA9" s="2545"/>
      <c r="BB9" s="2545"/>
      <c r="BC9" s="2545"/>
      <c r="BD9" s="2545"/>
      <c r="BE9" s="2545"/>
      <c r="BF9" s="2545"/>
      <c r="BG9" s="2545"/>
      <c r="BH9" s="2545"/>
      <c r="BI9" s="2545"/>
      <c r="BJ9" s="2545"/>
      <c r="BK9" s="2545"/>
      <c r="BL9" s="2545"/>
      <c r="BM9" s="2545"/>
      <c r="BN9" s="2545"/>
      <c r="BO9" s="2545"/>
    </row>
    <row r="10" spans="1:67" s="2614" customFormat="1" ht="14.25">
      <c r="A10" s="2639">
        <f>'数据-汇总表'!C23</f>
        <v>0</v>
      </c>
      <c r="B10" s="2640" t="str">
        <f t="shared" si="1"/>
        <v/>
      </c>
      <c r="C10" s="2641"/>
      <c r="D10" s="2642">
        <f>SUMIF(项目基本情况!D$12:I$12,C10,项目基本情况!D$14:I$14)</f>
        <v>0</v>
      </c>
      <c r="E10" s="2643" t="str">
        <f>IF(B10="","",SUMIF(项目基本情况!D$12:I$12,C10,项目基本情况!D$13:I$13))</f>
        <v/>
      </c>
      <c r="F10" s="2644">
        <f>SUMIF(项目基本情况!D$12:I$12,C10,项目基本情况!D$15:I$15)</f>
        <v>0</v>
      </c>
      <c r="G10" s="2645">
        <f t="shared" si="2"/>
        <v>0</v>
      </c>
      <c r="H10" s="2647"/>
      <c r="I10" s="2647"/>
      <c r="J10" s="2647"/>
      <c r="K10" s="2735">
        <f>SUMIF('数据-汇总表'!C$19:C$33,A10,'数据-汇总表'!E$19:E$33)</f>
        <v>0</v>
      </c>
      <c r="L10" s="2736"/>
      <c r="M10" s="2737">
        <f t="shared" si="0"/>
        <v>0</v>
      </c>
      <c r="N10" s="2738"/>
      <c r="O10" s="2737" t="str">
        <f t="shared" si="3"/>
        <v>——</v>
      </c>
      <c r="P10" s="2739" t="str">
        <f t="shared" si="4"/>
        <v>——</v>
      </c>
      <c r="Q10" s="2764"/>
      <c r="R10" s="2756">
        <f ca="1">SUMIF('数据-汇总表'!C$19:C$33,A10,'数据-汇总表'!R$19:R$27)</f>
        <v>0</v>
      </c>
      <c r="S10" s="2757">
        <f>IF('数据-汇总表'!$I$17="按面积比例",SUMIF('数据-汇总表'!C$19:C$33,A10,'数据-汇总表'!K$19:K$33),SUMIF('数据-汇总表'!C$19:C$33,A10,'数据-汇总表'!N$19:N$33))</f>
        <v>0</v>
      </c>
      <c r="T10" s="2758">
        <f t="shared" si="5"/>
        <v>0</v>
      </c>
      <c r="U10" s="2759"/>
      <c r="V10" s="2760"/>
      <c r="W10" s="2760"/>
      <c r="X10" s="2761"/>
      <c r="Y10" s="2780"/>
      <c r="Z10" s="2781"/>
      <c r="AA10" s="2647"/>
      <c r="AB10" s="2647"/>
      <c r="AC10" s="2761"/>
      <c r="AD10" s="2782"/>
      <c r="AE10" s="2783">
        <f t="shared" ca="1" si="6"/>
        <v>0</v>
      </c>
      <c r="AF10" s="2259"/>
      <c r="AG10" s="1556">
        <f t="shared" si="7"/>
        <v>0</v>
      </c>
      <c r="AH10" s="2765"/>
      <c r="AI10" s="2793"/>
      <c r="AJ10" s="2794"/>
      <c r="AK10" s="2795"/>
      <c r="AL10" s="2796"/>
      <c r="AM10" s="2797"/>
      <c r="AN10" s="2798"/>
      <c r="AO10" s="1131" t="e">
        <f t="shared" ca="1" si="8"/>
        <v>#REF!</v>
      </c>
      <c r="AP10" s="2812">
        <f t="shared" si="9"/>
        <v>0</v>
      </c>
      <c r="AQ10" s="1131">
        <f t="shared" si="10"/>
        <v>0</v>
      </c>
      <c r="AR10" s="1131">
        <f t="shared" si="11"/>
        <v>0</v>
      </c>
      <c r="AS10" s="2545"/>
      <c r="AT10" s="2545"/>
      <c r="AU10" s="2545"/>
      <c r="AV10" s="2545"/>
      <c r="AW10" s="2545"/>
      <c r="AX10" s="2545"/>
      <c r="AY10" s="2545"/>
      <c r="AZ10" s="2545"/>
      <c r="BA10" s="2545"/>
      <c r="BB10" s="2545"/>
      <c r="BC10" s="2545"/>
      <c r="BD10" s="2545"/>
      <c r="BE10" s="2545"/>
      <c r="BF10" s="2545"/>
      <c r="BG10" s="2545"/>
      <c r="BH10" s="2545"/>
      <c r="BI10" s="2545"/>
      <c r="BJ10" s="2545"/>
      <c r="BK10" s="2545"/>
      <c r="BL10" s="2545"/>
      <c r="BM10" s="2545"/>
      <c r="BN10" s="2545"/>
      <c r="BO10" s="2545"/>
    </row>
    <row r="11" spans="1:67" s="2614" customFormat="1" ht="14.25">
      <c r="A11" s="2639">
        <f>'数据-汇总表'!C24</f>
        <v>0</v>
      </c>
      <c r="B11" s="2640" t="str">
        <f t="shared" si="1"/>
        <v/>
      </c>
      <c r="C11" s="2641"/>
      <c r="D11" s="2642">
        <f>SUMIF(项目基本情况!D$12:I$12,C11,项目基本情况!D$14:I$14)</f>
        <v>0</v>
      </c>
      <c r="E11" s="2643" t="str">
        <f>IF(B11="","",SUMIF(项目基本情况!D$12:I$12,C11,项目基本情况!D$13:I$13))</f>
        <v/>
      </c>
      <c r="F11" s="2644">
        <f>SUMIF(项目基本情况!D$12:I$12,C11,项目基本情况!D$15:I$15)</f>
        <v>0</v>
      </c>
      <c r="G11" s="2645">
        <f t="shared" si="2"/>
        <v>0</v>
      </c>
      <c r="H11" s="2647"/>
      <c r="I11" s="2647"/>
      <c r="J11" s="2647"/>
      <c r="K11" s="2735">
        <f>SUMIF('数据-汇总表'!C$19:C$33,A11,'数据-汇总表'!E$19:E$33)</f>
        <v>0</v>
      </c>
      <c r="L11" s="2740"/>
      <c r="M11" s="2737">
        <f t="shared" si="0"/>
        <v>0</v>
      </c>
      <c r="N11" s="2741"/>
      <c r="O11" s="2737" t="str">
        <f t="shared" si="3"/>
        <v>——</v>
      </c>
      <c r="P11" s="2739" t="str">
        <f t="shared" si="4"/>
        <v>——</v>
      </c>
      <c r="Q11" s="2764"/>
      <c r="R11" s="2756">
        <f ca="1">SUMIF('数据-汇总表'!C$19:C$33,A11,'数据-汇总表'!R$19:R$27)</f>
        <v>0</v>
      </c>
      <c r="S11" s="2757">
        <f>IF('数据-汇总表'!$I$17="按面积比例",SUMIF('数据-汇总表'!C$19:C$33,A11,'数据-汇总表'!K$19:K$33),SUMIF('数据-汇总表'!C$19:C$33,A11,'数据-汇总表'!N$19:N$33))</f>
        <v>0</v>
      </c>
      <c r="T11" s="2758">
        <f t="shared" si="5"/>
        <v>0</v>
      </c>
      <c r="U11" s="2765"/>
      <c r="V11" s="2647"/>
      <c r="W11" s="2647"/>
      <c r="X11" s="2761"/>
      <c r="Y11" s="2780"/>
      <c r="Z11" s="2785"/>
      <c r="AA11" s="2647"/>
      <c r="AB11" s="2647"/>
      <c r="AC11" s="2761"/>
      <c r="AD11" s="2782"/>
      <c r="AE11" s="2783">
        <f t="shared" ca="1" si="6"/>
        <v>0</v>
      </c>
      <c r="AF11" s="2259"/>
      <c r="AG11" s="1556">
        <f t="shared" si="7"/>
        <v>0</v>
      </c>
      <c r="AH11" s="2765"/>
      <c r="AI11" s="2793"/>
      <c r="AJ11" s="2794"/>
      <c r="AK11" s="2803"/>
      <c r="AL11" s="2804"/>
      <c r="AM11" s="2805"/>
      <c r="AN11" s="2798"/>
      <c r="AO11" s="1131" t="e">
        <f t="shared" ca="1" si="8"/>
        <v>#REF!</v>
      </c>
      <c r="AP11" s="2812">
        <f t="shared" si="9"/>
        <v>0</v>
      </c>
      <c r="AQ11" s="1131">
        <f t="shared" si="10"/>
        <v>0</v>
      </c>
      <c r="AR11" s="1131">
        <f t="shared" si="11"/>
        <v>0</v>
      </c>
      <c r="AS11" s="2545"/>
      <c r="AT11" s="2545"/>
      <c r="AU11" s="2545"/>
      <c r="AV11" s="2545"/>
      <c r="AW11" s="2545"/>
      <c r="AX11" s="2545"/>
      <c r="AY11" s="2545"/>
      <c r="AZ11" s="2545"/>
      <c r="BA11" s="2545"/>
      <c r="BB11" s="2545"/>
      <c r="BC11" s="2545"/>
      <c r="BD11" s="2545"/>
      <c r="BE11" s="2545"/>
      <c r="BF11" s="2545"/>
      <c r="BG11" s="2545"/>
      <c r="BH11" s="2545"/>
      <c r="BI11" s="2545"/>
      <c r="BJ11" s="2545"/>
      <c r="BK11" s="2545"/>
      <c r="BL11" s="2545"/>
      <c r="BM11" s="2545"/>
      <c r="BN11" s="2545"/>
      <c r="BO11" s="2545"/>
    </row>
    <row r="12" spans="1:67" s="2614" customFormat="1" ht="14.25">
      <c r="A12" s="2639">
        <f>'数据-汇总表'!C25</f>
        <v>0</v>
      </c>
      <c r="B12" s="2640" t="str">
        <f t="shared" si="1"/>
        <v/>
      </c>
      <c r="C12" s="2641"/>
      <c r="D12" s="2642">
        <f>SUMIF(项目基本情况!D$12:I$12,C12,项目基本情况!D$14:I$14)</f>
        <v>0</v>
      </c>
      <c r="E12" s="2643" t="str">
        <f>IF(B12="","",SUMIF(项目基本情况!D$12:I$12,C12,项目基本情况!D$13:I$13))</f>
        <v/>
      </c>
      <c r="F12" s="2644">
        <f>SUMIF(项目基本情况!D$12:I$12,C12,项目基本情况!D$15:I$15)</f>
        <v>0</v>
      </c>
      <c r="G12" s="2645">
        <f t="shared" si="2"/>
        <v>0</v>
      </c>
      <c r="H12" s="2647"/>
      <c r="I12" s="2647"/>
      <c r="J12" s="2647"/>
      <c r="K12" s="2735">
        <f>SUMIF('数据-汇总表'!C$19:C$33,A12,'数据-汇总表'!E$19:E$33)</f>
        <v>0</v>
      </c>
      <c r="L12" s="2740"/>
      <c r="M12" s="2737">
        <f t="shared" si="0"/>
        <v>0</v>
      </c>
      <c r="N12" s="2741"/>
      <c r="O12" s="2737" t="str">
        <f t="shared" si="3"/>
        <v>——</v>
      </c>
      <c r="P12" s="2739" t="str">
        <f t="shared" si="4"/>
        <v>——</v>
      </c>
      <c r="Q12" s="2764"/>
      <c r="R12" s="2756">
        <f ca="1">SUMIF('数据-汇总表'!C$19:C$33,A12,'数据-汇总表'!R$19:R$27)</f>
        <v>0</v>
      </c>
      <c r="S12" s="2757">
        <f>IF('数据-汇总表'!$I$17="按面积比例",SUMIF('数据-汇总表'!C$19:C$33,A12,'数据-汇总表'!K$19:K$33),SUMIF('数据-汇总表'!C$19:C$33,A12,'数据-汇总表'!N$19:N$33))</f>
        <v>0</v>
      </c>
      <c r="T12" s="2758">
        <f t="shared" si="5"/>
        <v>0</v>
      </c>
      <c r="U12" s="2765"/>
      <c r="V12" s="2647"/>
      <c r="W12" s="2647"/>
      <c r="X12" s="2761"/>
      <c r="Y12" s="2780"/>
      <c r="Z12" s="2785"/>
      <c r="AA12" s="2647"/>
      <c r="AB12" s="2647"/>
      <c r="AC12" s="2761"/>
      <c r="AD12" s="2782"/>
      <c r="AE12" s="2783">
        <f t="shared" ca="1" si="6"/>
        <v>0</v>
      </c>
      <c r="AF12" s="2259"/>
      <c r="AG12" s="1556">
        <f t="shared" si="7"/>
        <v>0</v>
      </c>
      <c r="AH12" s="2765"/>
      <c r="AI12" s="2793"/>
      <c r="AJ12" s="2794"/>
      <c r="AK12" s="2803"/>
      <c r="AL12" s="2804"/>
      <c r="AM12" s="2805"/>
      <c r="AN12" s="2798"/>
      <c r="AO12" s="1131" t="e">
        <f t="shared" ca="1" si="8"/>
        <v>#REF!</v>
      </c>
      <c r="AP12" s="2812">
        <f t="shared" si="9"/>
        <v>0</v>
      </c>
      <c r="AQ12" s="1131">
        <f t="shared" si="10"/>
        <v>0</v>
      </c>
      <c r="AR12" s="1131">
        <f t="shared" si="11"/>
        <v>0</v>
      </c>
      <c r="AS12" s="2545"/>
      <c r="AT12" s="2545"/>
      <c r="AU12" s="2545"/>
      <c r="AV12" s="2545"/>
      <c r="AW12" s="2545"/>
      <c r="AX12" s="2545"/>
      <c r="AY12" s="2545"/>
      <c r="AZ12" s="2545"/>
      <c r="BA12" s="2545"/>
      <c r="BB12" s="2545"/>
      <c r="BC12" s="2545"/>
      <c r="BD12" s="2545"/>
      <c r="BE12" s="2545"/>
      <c r="BF12" s="2545"/>
      <c r="BG12" s="2545"/>
      <c r="BH12" s="2545"/>
      <c r="BI12" s="2545"/>
      <c r="BJ12" s="2545"/>
      <c r="BK12" s="2545"/>
      <c r="BL12" s="2545"/>
      <c r="BM12" s="2545"/>
      <c r="BN12" s="2545"/>
      <c r="BO12" s="2545"/>
    </row>
    <row r="13" spans="1:67" s="2614" customFormat="1" ht="14.25">
      <c r="A13" s="2639">
        <f>'数据-汇总表'!C26</f>
        <v>0</v>
      </c>
      <c r="B13" s="2640" t="str">
        <f t="shared" si="1"/>
        <v/>
      </c>
      <c r="C13" s="2641"/>
      <c r="D13" s="2642">
        <f>SUMIF(项目基本情况!D$12:I$12,C13,项目基本情况!D$14:I$14)</f>
        <v>0</v>
      </c>
      <c r="E13" s="2643" t="str">
        <f>IF(B13="","",SUMIF(项目基本情况!D$12:I$12,C13,项目基本情况!D$13:I$13))</f>
        <v/>
      </c>
      <c r="F13" s="2644">
        <f>SUMIF(项目基本情况!D$12:I$12,C13,项目基本情况!D$15:I$15)</f>
        <v>0</v>
      </c>
      <c r="G13" s="2645">
        <f t="shared" si="2"/>
        <v>0</v>
      </c>
      <c r="H13" s="2647"/>
      <c r="I13" s="2647"/>
      <c r="J13" s="2647"/>
      <c r="K13" s="2735">
        <f>SUMIF('数据-汇总表'!C$19:C$33,A13,'数据-汇总表'!E$19:E$33)</f>
        <v>0</v>
      </c>
      <c r="L13" s="2740"/>
      <c r="M13" s="2737">
        <f t="shared" si="0"/>
        <v>0</v>
      </c>
      <c r="N13" s="2741"/>
      <c r="O13" s="2737" t="str">
        <f t="shared" si="3"/>
        <v>——</v>
      </c>
      <c r="P13" s="2739" t="str">
        <f t="shared" si="4"/>
        <v>——</v>
      </c>
      <c r="Q13" s="2764"/>
      <c r="R13" s="2756">
        <f ca="1">SUMIF('数据-汇总表'!C$19:C$33,A13,'数据-汇总表'!R$19:R$27)</f>
        <v>0</v>
      </c>
      <c r="S13" s="2757">
        <f>IF('数据-汇总表'!$I$17="按面积比例",SUMIF('数据-汇总表'!C$19:C$33,A13,'数据-汇总表'!K$19:K$33),SUMIF('数据-汇总表'!C$19:C$33,A13,'数据-汇总表'!N$19:N$33))</f>
        <v>0</v>
      </c>
      <c r="T13" s="2758">
        <f t="shared" si="5"/>
        <v>0</v>
      </c>
      <c r="U13" s="2759"/>
      <c r="V13" s="2760"/>
      <c r="W13" s="2760"/>
      <c r="X13" s="2761"/>
      <c r="Y13" s="2780"/>
      <c r="Z13" s="2781"/>
      <c r="AA13" s="2647"/>
      <c r="AB13" s="2647"/>
      <c r="AC13" s="2761"/>
      <c r="AD13" s="2782"/>
      <c r="AE13" s="2783">
        <f t="shared" ca="1" si="6"/>
        <v>0</v>
      </c>
      <c r="AF13" s="2259"/>
      <c r="AG13" s="1556">
        <f t="shared" si="7"/>
        <v>0</v>
      </c>
      <c r="AH13" s="2765"/>
      <c r="AI13" s="2793"/>
      <c r="AJ13" s="2794"/>
      <c r="AK13" s="2795"/>
      <c r="AL13" s="2796"/>
      <c r="AM13" s="2797"/>
      <c r="AN13" s="2798"/>
      <c r="AO13" s="1131" t="e">
        <f t="shared" ca="1" si="8"/>
        <v>#REF!</v>
      </c>
      <c r="AP13" s="2812">
        <f t="shared" si="9"/>
        <v>0</v>
      </c>
      <c r="AQ13" s="1131">
        <f t="shared" si="10"/>
        <v>0</v>
      </c>
      <c r="AR13" s="1131">
        <f t="shared" si="11"/>
        <v>0</v>
      </c>
      <c r="AS13" s="2545"/>
      <c r="AT13" s="2545"/>
      <c r="AU13" s="2545"/>
      <c r="AV13" s="2545"/>
      <c r="AW13" s="2545"/>
      <c r="AX13" s="2545"/>
      <c r="AY13" s="2545"/>
      <c r="AZ13" s="2545"/>
      <c r="BA13" s="2545"/>
      <c r="BB13" s="2545"/>
      <c r="BC13" s="2545"/>
      <c r="BD13" s="2545"/>
      <c r="BE13" s="2545"/>
      <c r="BF13" s="2545"/>
      <c r="BG13" s="2545"/>
      <c r="BH13" s="2545"/>
      <c r="BI13" s="2545"/>
      <c r="BJ13" s="2545"/>
      <c r="BK13" s="2545"/>
      <c r="BL13" s="2545"/>
      <c r="BM13" s="2545"/>
      <c r="BN13" s="2545"/>
      <c r="BO13" s="2545"/>
    </row>
    <row r="14" spans="1:67" s="2614" customFormat="1" ht="14.25">
      <c r="A14" s="2648" t="s">
        <v>531</v>
      </c>
      <c r="B14" s="2640" t="s">
        <v>530</v>
      </c>
      <c r="C14" s="2649" t="s">
        <v>531</v>
      </c>
      <c r="D14" s="2642"/>
      <c r="E14" s="2643"/>
      <c r="F14" s="2644"/>
      <c r="G14" s="2645"/>
      <c r="H14" s="2650"/>
      <c r="I14" s="2650"/>
      <c r="J14" s="2650"/>
      <c r="K14" s="2735">
        <f>SUMIF('数据-汇总表'!C$19:C$33,A14,'数据-汇总表'!E$19:E$33)</f>
        <v>0</v>
      </c>
      <c r="L14" s="2740"/>
      <c r="M14" s="2737">
        <f t="shared" si="0"/>
        <v>0</v>
      </c>
      <c r="N14" s="2741"/>
      <c r="O14" s="2737" t="str">
        <f t="shared" si="3"/>
        <v>——</v>
      </c>
      <c r="P14" s="2739" t="str">
        <f t="shared" si="4"/>
        <v>——</v>
      </c>
      <c r="Q14" s="2766"/>
      <c r="R14" s="2756"/>
      <c r="S14" s="2757"/>
      <c r="T14" s="2758"/>
      <c r="U14" s="2767"/>
      <c r="V14" s="2768"/>
      <c r="W14" s="2768"/>
      <c r="X14" s="2769"/>
      <c r="Y14" s="2786"/>
      <c r="Z14" s="2787"/>
      <c r="AA14" s="2788"/>
      <c r="AB14" s="2788"/>
      <c r="AC14" s="2761"/>
      <c r="AD14" s="2769"/>
      <c r="AE14" s="2783"/>
      <c r="AF14" s="1131"/>
      <c r="AG14" s="1556"/>
      <c r="AH14" s="2783"/>
      <c r="AI14" s="1119"/>
      <c r="AJ14" s="1130"/>
      <c r="AK14" s="2806"/>
      <c r="AL14" s="2807"/>
      <c r="AM14" s="2808"/>
      <c r="AN14" s="2143"/>
      <c r="AO14" s="2660"/>
      <c r="AP14" s="2660"/>
      <c r="AQ14" s="2660"/>
      <c r="AR14" s="2660"/>
      <c r="AS14" s="2545"/>
      <c r="AT14" s="2545"/>
      <c r="AU14" s="2545"/>
      <c r="AV14" s="2545"/>
      <c r="AW14" s="2545"/>
      <c r="AX14" s="2545"/>
      <c r="AY14" s="2545"/>
      <c r="AZ14" s="2545"/>
      <c r="BA14" s="2545"/>
      <c r="BB14" s="2545"/>
      <c r="BC14" s="2545"/>
      <c r="BD14" s="2545"/>
      <c r="BE14" s="2545"/>
      <c r="BF14" s="2545"/>
      <c r="BG14" s="2545"/>
      <c r="BH14" s="2545"/>
      <c r="BI14" s="2545"/>
      <c r="BJ14" s="2545"/>
      <c r="BK14" s="2545"/>
      <c r="BL14" s="2545"/>
      <c r="BM14" s="2545"/>
      <c r="BN14" s="2545"/>
      <c r="BO14" s="2545"/>
    </row>
    <row r="15" spans="1:67" s="2614" customFormat="1" ht="14.25">
      <c r="A15" s="2648" t="s">
        <v>532</v>
      </c>
      <c r="B15" s="2640" t="s">
        <v>530</v>
      </c>
      <c r="C15" s="2649" t="s">
        <v>580</v>
      </c>
      <c r="D15" s="2642"/>
      <c r="E15" s="2643"/>
      <c r="F15" s="2644"/>
      <c r="G15" s="2645"/>
      <c r="H15" s="2650"/>
      <c r="I15" s="2650"/>
      <c r="J15" s="2650"/>
      <c r="K15" s="2735">
        <f>SUMIF('数据-汇总表'!C$19:C$33,A15,'数据-汇总表'!E$19:E$33)</f>
        <v>0</v>
      </c>
      <c r="L15" s="2742"/>
      <c r="M15" s="2737"/>
      <c r="N15" s="2743"/>
      <c r="O15" s="2737"/>
      <c r="P15" s="2739"/>
      <c r="Q15" s="2766"/>
      <c r="R15" s="2756"/>
      <c r="S15" s="2757"/>
      <c r="T15" s="2758"/>
      <c r="U15" s="2767"/>
      <c r="V15" s="2768"/>
      <c r="W15" s="2768"/>
      <c r="X15" s="2769"/>
      <c r="Y15" s="2786"/>
      <c r="Z15" s="2787"/>
      <c r="AA15" s="2788"/>
      <c r="AB15" s="2788"/>
      <c r="AC15" s="2761"/>
      <c r="AD15" s="2769"/>
      <c r="AE15" s="2783"/>
      <c r="AF15" s="1131"/>
      <c r="AG15" s="1556"/>
      <c r="AH15" s="2783"/>
      <c r="AI15" s="1119"/>
      <c r="AJ15" s="1130"/>
      <c r="AK15" s="2806"/>
      <c r="AL15" s="2807"/>
      <c r="AM15" s="2808"/>
      <c r="AN15" s="2143"/>
      <c r="AO15" s="2660"/>
      <c r="AP15" s="2660"/>
      <c r="AQ15" s="2660"/>
      <c r="AR15" s="2660"/>
      <c r="AS15" s="2545"/>
      <c r="AT15" s="2545"/>
      <c r="AU15" s="2545"/>
      <c r="AV15" s="2545"/>
      <c r="AW15" s="2545"/>
      <c r="AX15" s="2545"/>
      <c r="AY15" s="2545"/>
      <c r="AZ15" s="2545"/>
      <c r="BA15" s="2545"/>
      <c r="BB15" s="2545"/>
      <c r="BC15" s="2545"/>
      <c r="BD15" s="2545"/>
      <c r="BE15" s="2545"/>
      <c r="BF15" s="2545"/>
      <c r="BG15" s="2545"/>
      <c r="BH15" s="2545"/>
      <c r="BI15" s="2545"/>
      <c r="BJ15" s="2545"/>
      <c r="BK15" s="2545"/>
      <c r="BL15" s="2545"/>
      <c r="BM15" s="2545"/>
      <c r="BN15" s="2545"/>
      <c r="BO15" s="2545"/>
    </row>
    <row r="16" spans="1:67" s="2614" customFormat="1" ht="15">
      <c r="A16" s="2651" t="s">
        <v>533</v>
      </c>
      <c r="B16" s="2652"/>
      <c r="C16" s="2201"/>
      <c r="D16" s="2653"/>
      <c r="E16" s="2652"/>
      <c r="F16" s="2652"/>
      <c r="G16" s="2654">
        <f>ROUND(SUMPRODUCT(G6:G13,K6:K13)/SUMPRODUCT((G6:G13&gt;0)*(K6:K13)),3)</f>
        <v>0.65300000000000002</v>
      </c>
      <c r="H16" s="2655">
        <f>ROUND(SUMPRODUCT(H6:H13,K6:K13)/SUMPRODUCT((H6:H13&gt;0)*(K6:K13)),3)</f>
        <v>0.05</v>
      </c>
      <c r="I16" s="2744"/>
      <c r="J16" s="2744"/>
      <c r="K16" s="2745">
        <f>SUM(K6:K15)</f>
        <v>16578.28</v>
      </c>
      <c r="L16" s="2746">
        <f>ROUND(M16*10000/SUM(K6:K14),0)</f>
        <v>3000</v>
      </c>
      <c r="M16" s="2746">
        <f>SUM(M6:M14)</f>
        <v>4973</v>
      </c>
      <c r="N16" s="2747">
        <f>ROUND(SUMPRODUCT(M6:M14,N6:N14)/M16,3)</f>
        <v>0.71</v>
      </c>
      <c r="O16" s="2746">
        <f>SUM(O6:O14)</f>
        <v>0</v>
      </c>
      <c r="P16" s="2746">
        <f>SUM(P6:P14)</f>
        <v>0</v>
      </c>
      <c r="Q16" s="2770">
        <f>ROUND(SUMPRODUCT(Q6:Q13,K6:K13)/SUMPRODUCT((Q6:Q13&gt;0)*(K6:K13)),2)</f>
        <v>0.11</v>
      </c>
      <c r="R16" s="2771">
        <f ca="1">SUM(R6:R13)</f>
        <v>5788.26</v>
      </c>
      <c r="S16" s="2772">
        <f>SUM(S6:S13)</f>
        <v>0</v>
      </c>
      <c r="T16" s="2773">
        <f>IF(SUMIF(T6:T13,"&lt;9E307")=M14,SUMIF(T6:T13,"&lt;9E307"),"有误，请检查")</f>
        <v>0</v>
      </c>
      <c r="U16" s="2774"/>
      <c r="V16" s="2775"/>
      <c r="W16" s="2775"/>
      <c r="X16" s="2776"/>
      <c r="Y16" s="2789"/>
      <c r="Z16" s="2790"/>
      <c r="AA16" s="2775"/>
      <c r="AB16" s="2775"/>
      <c r="AC16" s="2776"/>
      <c r="AD16" s="2776"/>
      <c r="AE16" s="2774"/>
      <c r="AF16" s="2775"/>
      <c r="AG16" s="2789"/>
      <c r="AH16" s="2774"/>
      <c r="AI16" s="2790"/>
      <c r="AJ16" s="2790"/>
      <c r="AK16" s="2775"/>
      <c r="AL16" s="2775"/>
      <c r="AM16" s="2789"/>
      <c r="AN16" s="2143"/>
      <c r="AO16" s="2660"/>
      <c r="AP16" s="2660"/>
      <c r="AQ16" s="2660"/>
      <c r="AR16" s="2660"/>
      <c r="AS16" s="2545"/>
      <c r="AT16" s="2545"/>
      <c r="AU16" s="2545"/>
      <c r="AV16" s="2545"/>
      <c r="AW16" s="2545"/>
      <c r="AX16" s="2545"/>
      <c r="AY16" s="2545"/>
      <c r="AZ16" s="2545"/>
      <c r="BA16" s="2545"/>
      <c r="BB16" s="2545"/>
      <c r="BC16" s="2545"/>
      <c r="BD16" s="2545"/>
      <c r="BE16" s="2545"/>
      <c r="BF16" s="2545"/>
      <c r="BG16" s="2545"/>
      <c r="BH16" s="2545"/>
      <c r="BI16" s="2545"/>
      <c r="BJ16" s="2545"/>
      <c r="BK16" s="2545"/>
      <c r="BL16" s="2545"/>
      <c r="BM16" s="2545"/>
      <c r="BN16" s="2545"/>
      <c r="BO16" s="2545"/>
    </row>
    <row r="17" spans="1:67">
      <c r="A17" s="2656"/>
      <c r="B17" s="2657"/>
      <c r="C17" s="2143"/>
      <c r="D17" s="2658"/>
      <c r="E17" s="2658"/>
      <c r="F17" s="2143"/>
      <c r="G17" s="2143"/>
      <c r="H17" s="2143"/>
      <c r="I17" s="2143"/>
      <c r="J17" s="2143"/>
      <c r="K17" s="2748"/>
      <c r="L17" s="2748"/>
      <c r="M17" s="2143"/>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c r="AL17" s="2143"/>
      <c r="AM17" s="2143"/>
      <c r="AN17" s="2143"/>
      <c r="AO17" s="2143"/>
      <c r="AP17" s="2143"/>
      <c r="AQ17" s="2143"/>
      <c r="AR17" s="2143"/>
    </row>
    <row r="18" spans="1:67" ht="14.25">
      <c r="A18" s="1365" t="s">
        <v>581</v>
      </c>
      <c r="B18" s="2659"/>
      <c r="C18" s="2660"/>
      <c r="D18" s="2661"/>
      <c r="E18" s="2660"/>
      <c r="F18" s="2660"/>
      <c r="G18" s="2660"/>
      <c r="H18" s="2660"/>
      <c r="I18" s="2660"/>
      <c r="J18" s="2660"/>
      <c r="K18" s="2748"/>
      <c r="L18" s="2748"/>
      <c r="M18" s="2143"/>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f>K7/AH7</f>
        <v>27.946036866359446</v>
      </c>
      <c r="AI18" s="2143"/>
      <c r="AJ18" s="2143"/>
      <c r="AK18" s="2143"/>
      <c r="AL18" s="2143"/>
      <c r="AM18" s="2143"/>
      <c r="AN18" s="2143"/>
      <c r="AO18" s="2143"/>
      <c r="AP18" s="2143"/>
      <c r="AQ18" s="2143"/>
      <c r="AR18" s="2143"/>
    </row>
    <row r="19" spans="1:67" ht="14.25">
      <c r="A19" s="2662" t="s">
        <v>582</v>
      </c>
      <c r="B19" s="2663">
        <v>0</v>
      </c>
      <c r="C19" s="2664" t="s">
        <v>583</v>
      </c>
      <c r="D19" s="2661"/>
      <c r="E19" s="2660"/>
      <c r="F19" s="2660"/>
      <c r="G19" s="2660"/>
      <c r="H19" s="2660"/>
      <c r="I19" s="2660"/>
      <c r="J19" s="2660"/>
      <c r="K19" s="2748"/>
      <c r="L19" s="2748"/>
      <c r="M19" s="2143"/>
      <c r="N19" s="2143"/>
      <c r="O19" s="2143"/>
      <c r="P19" s="2143"/>
      <c r="Q19" s="2143"/>
      <c r="R19" s="2143"/>
      <c r="S19" s="2143"/>
      <c r="T19" s="2143"/>
      <c r="U19" s="2143"/>
      <c r="V19" s="2143"/>
      <c r="W19" s="2143"/>
      <c r="X19" s="2143"/>
      <c r="Y19" s="2143"/>
      <c r="Z19" s="2143"/>
      <c r="AA19" s="2143"/>
      <c r="AB19" s="2143"/>
      <c r="AC19" s="2143"/>
      <c r="AD19" s="2143"/>
      <c r="AE19" s="2143"/>
      <c r="AF19" s="2143"/>
      <c r="AG19" s="2143"/>
      <c r="AH19" s="2143"/>
      <c r="AI19" s="2143"/>
      <c r="AJ19" s="2143"/>
      <c r="AK19" s="2143"/>
      <c r="AL19" s="2143"/>
      <c r="AM19" s="2143"/>
      <c r="AN19" s="2143"/>
      <c r="AO19" s="2143"/>
      <c r="AP19" s="2143"/>
      <c r="AQ19" s="2143"/>
      <c r="AR19" s="2143"/>
    </row>
    <row r="20" spans="1:67" ht="14.25">
      <c r="A20" s="2665" t="s">
        <v>584</v>
      </c>
      <c r="B20" s="2666">
        <v>2</v>
      </c>
      <c r="C20" s="2667" t="s">
        <v>585</v>
      </c>
      <c r="D20" s="2661"/>
      <c r="E20" s="2660"/>
      <c r="F20" s="2660"/>
      <c r="G20" s="2660"/>
      <c r="H20" s="2660"/>
      <c r="I20" s="2660"/>
      <c r="J20" s="2660"/>
      <c r="K20" s="2748"/>
      <c r="L20" s="2748"/>
      <c r="M20" s="2143"/>
      <c r="N20" s="2143">
        <v>2002</v>
      </c>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c r="AL20" s="2143"/>
      <c r="AM20" s="2143"/>
      <c r="AN20" s="2143"/>
      <c r="AO20" s="2143"/>
      <c r="AP20" s="2143"/>
      <c r="AQ20" s="2143"/>
      <c r="AR20" s="2143"/>
    </row>
    <row r="21" spans="1:67" ht="14.25">
      <c r="A21" s="2668" t="s">
        <v>586</v>
      </c>
      <c r="B21" s="2666">
        <v>2</v>
      </c>
      <c r="C21" s="2660"/>
      <c r="D21" s="2661"/>
      <c r="E21" s="2660"/>
      <c r="F21" s="2660"/>
      <c r="G21" s="2660"/>
      <c r="H21" s="2660"/>
      <c r="I21" s="2660"/>
      <c r="J21" s="2660"/>
      <c r="K21" s="2748"/>
      <c r="L21" s="2748"/>
      <c r="M21" s="2143"/>
      <c r="N21" s="2143">
        <f>ROUND(1-(2022-N20)/60,2)</f>
        <v>0.67</v>
      </c>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c r="AL21" s="2143"/>
      <c r="AM21" s="2143"/>
      <c r="AN21" s="2143"/>
      <c r="AO21" s="2143"/>
      <c r="AP21" s="2143"/>
      <c r="AQ21" s="2143"/>
      <c r="AR21" s="2143"/>
    </row>
    <row r="22" spans="1:67" ht="14.25">
      <c r="A22" s="2665" t="s">
        <v>587</v>
      </c>
      <c r="B22" s="2669">
        <f>B19+B20</f>
        <v>2</v>
      </c>
      <c r="C22" s="2660"/>
      <c r="D22" s="2661"/>
      <c r="E22" s="2660"/>
      <c r="F22" s="2660"/>
      <c r="G22" s="2660"/>
      <c r="H22" s="2660"/>
      <c r="I22" s="2660"/>
      <c r="J22" s="2660"/>
      <c r="K22" s="2748"/>
      <c r="L22" s="2748"/>
      <c r="M22" s="2143"/>
      <c r="N22" s="2143">
        <v>0.75</v>
      </c>
      <c r="O22" s="2143"/>
      <c r="P22" s="2143"/>
      <c r="Q22" s="2143"/>
      <c r="R22" s="2143"/>
      <c r="S22" s="2143"/>
      <c r="T22" s="2143"/>
      <c r="U22" s="2143"/>
      <c r="V22" s="2143"/>
      <c r="W22" s="2143"/>
      <c r="X22" s="2143"/>
      <c r="Y22" s="2143"/>
      <c r="Z22" s="2143"/>
      <c r="AA22" s="2143"/>
      <c r="AB22" s="2143"/>
      <c r="AC22" s="2143"/>
      <c r="AD22" s="2143"/>
      <c r="AE22" s="2143"/>
      <c r="AF22" s="2143"/>
      <c r="AG22" s="2143"/>
      <c r="AH22" s="2143"/>
      <c r="AI22" s="2143"/>
      <c r="AJ22" s="2143"/>
      <c r="AK22" s="2143"/>
      <c r="AL22" s="2143"/>
      <c r="AM22" s="2143"/>
      <c r="AN22" s="2143"/>
      <c r="AO22" s="2143"/>
      <c r="AP22" s="2143"/>
      <c r="AQ22" s="2143"/>
      <c r="AR22" s="2143"/>
    </row>
    <row r="23" spans="1:67" ht="14.25">
      <c r="A23" s="2668" t="s">
        <v>588</v>
      </c>
      <c r="B23" s="2669">
        <f>B19+B21</f>
        <v>2</v>
      </c>
      <c r="C23" s="2660"/>
      <c r="D23" s="2661"/>
      <c r="E23" s="2660"/>
      <c r="F23" s="2660"/>
      <c r="G23" s="2660"/>
      <c r="H23" s="2660"/>
      <c r="I23" s="2660"/>
      <c r="J23" s="2660"/>
      <c r="K23" s="2748"/>
      <c r="L23" s="2748"/>
      <c r="M23" s="2143"/>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c r="AL23" s="2143"/>
      <c r="AM23" s="2143"/>
      <c r="AN23" s="2143"/>
      <c r="AO23" s="2143"/>
      <c r="AP23" s="2143"/>
      <c r="AQ23" s="2143"/>
      <c r="AR23" s="2143"/>
    </row>
    <row r="24" spans="1:67" ht="14.25">
      <c r="A24" s="2670" t="s">
        <v>589</v>
      </c>
      <c r="B24" s="2671">
        <f>B20-B21</f>
        <v>0</v>
      </c>
      <c r="C24" s="2660"/>
      <c r="D24" s="2661"/>
      <c r="E24" s="2660"/>
      <c r="F24" s="2660"/>
      <c r="G24" s="2660"/>
      <c r="H24" s="2660"/>
      <c r="I24" s="2660"/>
      <c r="J24" s="2660"/>
      <c r="K24" s="2748"/>
      <c r="L24" s="2748"/>
      <c r="M24" s="2143"/>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c r="AL24" s="2143"/>
      <c r="AM24" s="2143"/>
      <c r="AN24" s="2143"/>
      <c r="AO24" s="2143"/>
      <c r="AP24" s="2143"/>
      <c r="AQ24" s="2143"/>
      <c r="AR24" s="2143"/>
    </row>
    <row r="25" spans="1:67" ht="14.25">
      <c r="A25" s="2629"/>
      <c r="B25" s="2630"/>
      <c r="C25" s="2660"/>
      <c r="D25" s="2661"/>
      <c r="E25" s="2660"/>
      <c r="F25" s="2660"/>
      <c r="G25" s="2660"/>
      <c r="H25" s="2660"/>
      <c r="I25" s="2660"/>
      <c r="J25" s="2660"/>
      <c r="K25" s="2748"/>
      <c r="L25" s="2748"/>
      <c r="M25" s="2143"/>
      <c r="N25" s="2143"/>
      <c r="O25" s="2143"/>
      <c r="P25" s="2143"/>
      <c r="Q25" s="2143"/>
      <c r="R25" s="2143"/>
      <c r="S25" s="2143"/>
      <c r="T25" s="2143"/>
      <c r="U25" s="2143"/>
      <c r="V25" s="2143"/>
      <c r="W25" s="2143"/>
      <c r="X25" s="2143"/>
      <c r="Y25" s="2143"/>
      <c r="Z25" s="2143"/>
      <c r="AA25" s="2143"/>
      <c r="AB25" s="2143"/>
      <c r="AC25" s="2143"/>
      <c r="AD25" s="2143"/>
      <c r="AE25" s="2143"/>
      <c r="AF25" s="2143"/>
      <c r="AG25" s="2143"/>
      <c r="AH25" s="2143"/>
      <c r="AI25" s="2143"/>
      <c r="AJ25" s="2143"/>
      <c r="AK25" s="2143"/>
      <c r="AL25" s="2143"/>
      <c r="AM25" s="2143"/>
      <c r="AN25" s="2143"/>
      <c r="AO25" s="2143"/>
      <c r="AP25" s="2143"/>
      <c r="AQ25" s="2143"/>
      <c r="AR25" s="2143"/>
    </row>
    <row r="26" spans="1:67" ht="14.25">
      <c r="A26" s="2625" t="s">
        <v>590</v>
      </c>
      <c r="B26" s="2672" t="s">
        <v>591</v>
      </c>
      <c r="C26" s="2673" t="s">
        <v>592</v>
      </c>
      <c r="D26" s="2661"/>
      <c r="E26" s="2660"/>
      <c r="F26" s="2660"/>
      <c r="G26" s="2660"/>
      <c r="H26" s="2660"/>
      <c r="I26" s="2660"/>
      <c r="J26" s="2660"/>
      <c r="K26" s="2748"/>
      <c r="L26" s="2748"/>
      <c r="M26" s="2143"/>
      <c r="N26" s="2143"/>
      <c r="O26" s="2143"/>
      <c r="P26" s="2143"/>
      <c r="Q26" s="2143"/>
      <c r="R26" s="2143"/>
      <c r="S26" s="2143"/>
      <c r="T26" s="2143"/>
      <c r="U26" s="2143"/>
      <c r="V26" s="2143"/>
      <c r="W26" s="2143"/>
      <c r="X26" s="2143"/>
      <c r="Y26" s="2143"/>
      <c r="Z26" s="2143"/>
      <c r="AA26" s="2143"/>
      <c r="AB26" s="2143"/>
      <c r="AC26" s="2143"/>
      <c r="AD26" s="2143"/>
      <c r="AE26" s="2143"/>
      <c r="AF26" s="2143"/>
      <c r="AG26" s="2143"/>
      <c r="AH26" s="2143"/>
      <c r="AI26" s="2143"/>
      <c r="AJ26" s="2143"/>
      <c r="AK26" s="2143"/>
      <c r="AL26" s="2143"/>
      <c r="AM26" s="2143"/>
      <c r="AN26" s="2143"/>
      <c r="AO26" s="2143"/>
      <c r="AP26" s="2143"/>
      <c r="AQ26" s="2143"/>
      <c r="AR26" s="2143"/>
    </row>
    <row r="27" spans="1:67" s="2616" customFormat="1" ht="14.25">
      <c r="A27" s="2674" t="s">
        <v>593</v>
      </c>
      <c r="B27" s="2675"/>
      <c r="C27" s="2676" t="s">
        <v>594</v>
      </c>
      <c r="D27" s="2677"/>
      <c r="E27" s="1246"/>
      <c r="F27" s="1246"/>
      <c r="G27" s="2660"/>
      <c r="H27" s="2660"/>
      <c r="I27" s="2660"/>
      <c r="J27" s="2660"/>
      <c r="K27" s="2748"/>
      <c r="L27" s="2748"/>
      <c r="M27" s="2143"/>
      <c r="N27" s="2143"/>
      <c r="O27" s="2143"/>
      <c r="P27" s="2143"/>
      <c r="Q27" s="2143"/>
      <c r="R27" s="2143"/>
      <c r="S27" s="2143"/>
      <c r="T27" s="2143"/>
      <c r="U27" s="2143"/>
      <c r="V27" s="2143"/>
      <c r="W27" s="2143"/>
      <c r="X27" s="2143"/>
      <c r="Y27" s="2143"/>
      <c r="Z27" s="2143"/>
      <c r="AA27" s="2143"/>
      <c r="AB27" s="2143"/>
      <c r="AC27" s="2143"/>
      <c r="AD27" s="2143"/>
      <c r="AE27" s="2143"/>
      <c r="AF27" s="2143"/>
      <c r="AG27" s="2143"/>
      <c r="AH27" s="2143"/>
      <c r="AI27" s="2143"/>
      <c r="AJ27" s="2143"/>
      <c r="AK27" s="2143"/>
      <c r="AL27" s="2143"/>
      <c r="AM27" s="2143"/>
      <c r="AN27" s="2143"/>
      <c r="AO27" s="2143"/>
      <c r="AP27" s="2143"/>
      <c r="AQ27" s="2143"/>
      <c r="AR27" s="2143"/>
      <c r="AS27" s="2131"/>
      <c r="AT27" s="2131"/>
      <c r="AU27" s="2131"/>
      <c r="AV27" s="2131"/>
      <c r="AW27" s="2131"/>
      <c r="AX27" s="2131"/>
      <c r="AY27" s="2131"/>
      <c r="AZ27" s="2131"/>
      <c r="BA27" s="2131"/>
      <c r="BB27" s="2131"/>
      <c r="BC27" s="2131"/>
      <c r="BD27" s="2131"/>
      <c r="BE27" s="2131"/>
      <c r="BF27" s="2131"/>
      <c r="BG27" s="2131"/>
      <c r="BH27" s="2131"/>
      <c r="BI27" s="2131"/>
      <c r="BJ27" s="2131"/>
      <c r="BK27" s="2131"/>
      <c r="BL27" s="2131"/>
      <c r="BM27" s="2131"/>
      <c r="BN27" s="2131"/>
      <c r="BO27" s="2131"/>
    </row>
    <row r="28" spans="1:67" s="2616" customFormat="1" ht="27.75">
      <c r="A28" s="2678" t="s">
        <v>595</v>
      </c>
      <c r="B28" s="2679">
        <v>200</v>
      </c>
      <c r="C28" s="2680"/>
      <c r="D28" s="2677"/>
      <c r="E28" s="1246"/>
      <c r="F28" s="1246"/>
      <c r="G28" s="2660"/>
      <c r="H28" s="2660"/>
      <c r="I28" s="2660"/>
      <c r="J28" s="2660"/>
      <c r="K28" s="2748"/>
      <c r="L28" s="2748"/>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c r="AL28" s="2143"/>
      <c r="AM28" s="2143"/>
      <c r="AN28" s="2143"/>
      <c r="AO28" s="2143"/>
      <c r="AP28" s="2143"/>
      <c r="AQ28" s="2143"/>
      <c r="AR28" s="2143"/>
      <c r="AS28" s="2131"/>
      <c r="AT28" s="2131"/>
      <c r="AU28" s="2131"/>
      <c r="AV28" s="2131"/>
      <c r="AW28" s="2131"/>
      <c r="AX28" s="2131"/>
      <c r="AY28" s="2131"/>
      <c r="AZ28" s="2131"/>
      <c r="BA28" s="2131"/>
      <c r="BB28" s="2131"/>
      <c r="BC28" s="2131"/>
      <c r="BD28" s="2131"/>
      <c r="BE28" s="2131"/>
      <c r="BF28" s="2131"/>
      <c r="BG28" s="2131"/>
      <c r="BH28" s="2131"/>
      <c r="BI28" s="2131"/>
      <c r="BJ28" s="2131"/>
      <c r="BK28" s="2131"/>
      <c r="BL28" s="2131"/>
      <c r="BM28" s="2131"/>
      <c r="BN28" s="2131"/>
      <c r="BO28" s="2131"/>
    </row>
    <row r="29" spans="1:67" s="2616" customFormat="1" ht="27.75">
      <c r="A29" s="2681" t="s">
        <v>596</v>
      </c>
      <c r="B29" s="2682">
        <f ca="1">成本法!C10</f>
        <v>210</v>
      </c>
      <c r="C29" s="2683" t="s">
        <v>597</v>
      </c>
      <c r="D29" s="2677"/>
      <c r="E29" s="1246"/>
      <c r="F29" s="1246"/>
      <c r="G29" s="2660"/>
      <c r="H29" s="2660"/>
      <c r="I29" s="2660"/>
      <c r="J29" s="2660"/>
      <c r="K29" s="2748"/>
      <c r="L29" s="2748"/>
      <c r="M29" s="2143"/>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c r="AL29" s="2143"/>
      <c r="AM29" s="2143"/>
      <c r="AN29" s="2143"/>
      <c r="AO29" s="2143"/>
      <c r="AP29" s="2143"/>
      <c r="AQ29" s="2143"/>
      <c r="AR29" s="2143"/>
      <c r="AS29" s="2131"/>
      <c r="AT29" s="2131"/>
      <c r="AU29" s="2131"/>
      <c r="AV29" s="2131"/>
      <c r="AW29" s="2131"/>
      <c r="AX29" s="2131"/>
      <c r="AY29" s="2131"/>
      <c r="AZ29" s="2131"/>
      <c r="BA29" s="2131"/>
      <c r="BB29" s="2131"/>
      <c r="BC29" s="2131"/>
      <c r="BD29" s="2131"/>
      <c r="BE29" s="2131"/>
      <c r="BF29" s="2131"/>
      <c r="BG29" s="2131"/>
      <c r="BH29" s="2131"/>
      <c r="BI29" s="2131"/>
      <c r="BJ29" s="2131"/>
      <c r="BK29" s="2131"/>
      <c r="BL29" s="2131"/>
      <c r="BM29" s="2131"/>
      <c r="BN29" s="2131"/>
      <c r="BO29" s="2131"/>
    </row>
    <row r="30" spans="1:67" s="2616" customFormat="1" ht="14.25">
      <c r="A30" s="2684" t="s">
        <v>598</v>
      </c>
      <c r="B30" s="2685">
        <v>200</v>
      </c>
      <c r="C30" s="2680"/>
      <c r="D30" s="2677"/>
      <c r="E30" s="1246"/>
      <c r="F30" s="1246"/>
      <c r="G30" s="2660"/>
      <c r="H30" s="2660"/>
      <c r="I30" s="2660"/>
      <c r="J30" s="2660"/>
      <c r="K30" s="2748"/>
      <c r="L30" s="2748"/>
      <c r="M30" s="2143"/>
      <c r="N30" s="2143"/>
      <c r="O30" s="2143"/>
      <c r="P30" s="2143"/>
      <c r="Q30" s="2143"/>
      <c r="R30" s="2143"/>
      <c r="S30" s="2143"/>
      <c r="T30" s="2143"/>
      <c r="U30" s="2143"/>
      <c r="V30" s="2143"/>
      <c r="W30" s="2143"/>
      <c r="X30" s="2143"/>
      <c r="Y30" s="2143"/>
      <c r="Z30" s="2143"/>
      <c r="AA30" s="2143"/>
      <c r="AB30" s="2143"/>
      <c r="AC30" s="2143"/>
      <c r="AD30" s="2143"/>
      <c r="AE30" s="2143"/>
      <c r="AF30" s="2143"/>
      <c r="AG30" s="2143"/>
      <c r="AH30" s="2143"/>
      <c r="AI30" s="2143"/>
      <c r="AJ30" s="2143"/>
      <c r="AK30" s="2143"/>
      <c r="AL30" s="2143"/>
      <c r="AM30" s="2143"/>
      <c r="AN30" s="2143"/>
      <c r="AO30" s="2143"/>
      <c r="AP30" s="2143"/>
      <c r="AQ30" s="2143"/>
      <c r="AR30" s="2143"/>
      <c r="AS30" s="2131"/>
      <c r="AT30" s="2131"/>
      <c r="AU30" s="2131"/>
      <c r="AV30" s="2131"/>
      <c r="AW30" s="2131"/>
      <c r="AX30" s="2131"/>
      <c r="AY30" s="2131"/>
      <c r="AZ30" s="2131"/>
      <c r="BA30" s="2131"/>
      <c r="BB30" s="2131"/>
      <c r="BC30" s="2131"/>
      <c r="BD30" s="2131"/>
      <c r="BE30" s="2131"/>
      <c r="BF30" s="2131"/>
      <c r="BG30" s="2131"/>
      <c r="BH30" s="2131"/>
      <c r="BI30" s="2131"/>
      <c r="BJ30" s="2131"/>
      <c r="BK30" s="2131"/>
      <c r="BL30" s="2131"/>
      <c r="BM30" s="2131"/>
      <c r="BN30" s="2131"/>
      <c r="BO30" s="2131"/>
    </row>
    <row r="31" spans="1:67" s="2616" customFormat="1" ht="27">
      <c r="A31" s="2678" t="s">
        <v>599</v>
      </c>
      <c r="B31" s="2686">
        <f>B30-B32</f>
        <v>200</v>
      </c>
      <c r="C31" s="2687"/>
      <c r="D31" s="2677"/>
      <c r="E31" s="1246"/>
      <c r="F31" s="1246"/>
      <c r="G31" s="2660"/>
      <c r="H31" s="2660"/>
      <c r="I31" s="2660"/>
      <c r="J31" s="2660"/>
      <c r="K31" s="2748"/>
      <c r="L31" s="2748"/>
      <c r="M31" s="2143"/>
      <c r="N31" s="2143"/>
      <c r="O31" s="2143"/>
      <c r="P31" s="2143"/>
      <c r="Q31" s="2143"/>
      <c r="R31" s="2143"/>
      <c r="S31" s="2143"/>
      <c r="T31" s="2143"/>
      <c r="U31" s="2143"/>
      <c r="V31" s="2143"/>
      <c r="W31" s="2143"/>
      <c r="X31" s="2143"/>
      <c r="Y31" s="2143"/>
      <c r="Z31" s="2143"/>
      <c r="AA31" s="2143"/>
      <c r="AB31" s="2143"/>
      <c r="AC31" s="2143"/>
      <c r="AD31" s="2143"/>
      <c r="AE31" s="2143"/>
      <c r="AF31" s="2143"/>
      <c r="AG31" s="2143"/>
      <c r="AH31" s="2143"/>
      <c r="AI31" s="2143"/>
      <c r="AJ31" s="2143"/>
      <c r="AK31" s="2143"/>
      <c r="AL31" s="2143"/>
      <c r="AM31" s="2143"/>
      <c r="AN31" s="2143"/>
      <c r="AO31" s="2143"/>
      <c r="AP31" s="2143"/>
      <c r="AQ31" s="2143"/>
      <c r="AR31" s="2143"/>
      <c r="AS31" s="2131"/>
      <c r="AT31" s="2131"/>
      <c r="AU31" s="2131"/>
      <c r="AV31" s="2131"/>
      <c r="AW31" s="2131"/>
      <c r="AX31" s="2131"/>
      <c r="AY31" s="2131"/>
      <c r="AZ31" s="2131"/>
      <c r="BA31" s="2131"/>
      <c r="BB31" s="2131"/>
      <c r="BC31" s="2131"/>
      <c r="BD31" s="2131"/>
      <c r="BE31" s="2131"/>
      <c r="BF31" s="2131"/>
      <c r="BG31" s="2131"/>
      <c r="BH31" s="2131"/>
      <c r="BI31" s="2131"/>
      <c r="BJ31" s="2131"/>
      <c r="BK31" s="2131"/>
      <c r="BL31" s="2131"/>
      <c r="BM31" s="2131"/>
      <c r="BN31" s="2131"/>
      <c r="BO31" s="2131"/>
    </row>
    <row r="32" spans="1:67" s="2616" customFormat="1" ht="27">
      <c r="A32" s="2688" t="s">
        <v>600</v>
      </c>
      <c r="B32" s="2689">
        <v>0</v>
      </c>
      <c r="C32" s="2680"/>
      <c r="D32" s="2661"/>
      <c r="E32" s="2660"/>
      <c r="F32" s="2660"/>
      <c r="G32" s="2660"/>
      <c r="H32" s="2660"/>
      <c r="I32" s="2660"/>
      <c r="J32" s="2660"/>
      <c r="K32" s="2748"/>
      <c r="L32" s="2748"/>
      <c r="M32" s="2143"/>
      <c r="N32" s="2143"/>
      <c r="O32" s="2143"/>
      <c r="P32" s="2143"/>
      <c r="Q32" s="2143"/>
      <c r="R32" s="2143"/>
      <c r="S32" s="2143"/>
      <c r="T32" s="2143"/>
      <c r="U32" s="2143"/>
      <c r="V32" s="2143"/>
      <c r="W32" s="2143"/>
      <c r="X32" s="2143"/>
      <c r="Y32" s="2143"/>
      <c r="Z32" s="2143"/>
      <c r="AA32" s="2143"/>
      <c r="AB32" s="2143"/>
      <c r="AC32" s="2143"/>
      <c r="AD32" s="2143"/>
      <c r="AE32" s="2143"/>
      <c r="AF32" s="2143"/>
      <c r="AG32" s="2143"/>
      <c r="AH32" s="2143"/>
      <c r="AI32" s="2143"/>
      <c r="AJ32" s="2143"/>
      <c r="AK32" s="2143"/>
      <c r="AL32" s="2143"/>
      <c r="AM32" s="2143"/>
      <c r="AN32" s="2143"/>
      <c r="AO32" s="2143"/>
      <c r="AP32" s="2143"/>
      <c r="AQ32" s="2143"/>
      <c r="AR32" s="2143"/>
      <c r="AS32" s="2131"/>
      <c r="AT32" s="2131"/>
      <c r="AU32" s="2131"/>
      <c r="AV32" s="2131"/>
      <c r="AW32" s="2131"/>
      <c r="AX32" s="2131"/>
      <c r="AY32" s="2131"/>
      <c r="AZ32" s="2131"/>
      <c r="BA32" s="2131"/>
      <c r="BB32" s="2131"/>
      <c r="BC32" s="2131"/>
      <c r="BD32" s="2131"/>
      <c r="BE32" s="2131"/>
      <c r="BF32" s="2131"/>
      <c r="BG32" s="2131"/>
      <c r="BH32" s="2131"/>
      <c r="BI32" s="2131"/>
      <c r="BJ32" s="2131"/>
      <c r="BK32" s="2131"/>
      <c r="BL32" s="2131"/>
      <c r="BM32" s="2131"/>
      <c r="BN32" s="2131"/>
      <c r="BO32" s="2131"/>
    </row>
    <row r="33" spans="1:67" s="2616" customFormat="1" ht="14.25">
      <c r="A33" s="2674" t="s">
        <v>601</v>
      </c>
      <c r="B33" s="2690">
        <v>0.03</v>
      </c>
      <c r="C33" s="2691" t="s">
        <v>602</v>
      </c>
      <c r="D33" s="2661"/>
      <c r="E33" s="2660"/>
      <c r="F33" s="2660"/>
      <c r="G33" s="2660"/>
      <c r="H33" s="2660"/>
      <c r="I33" s="2660"/>
      <c r="J33" s="2660"/>
      <c r="K33" s="2748"/>
      <c r="L33" s="2748"/>
      <c r="M33" s="2143"/>
      <c r="N33" s="2143"/>
      <c r="O33" s="2143"/>
      <c r="P33" s="2143"/>
      <c r="Q33" s="2143"/>
      <c r="R33" s="2143"/>
      <c r="S33" s="2143"/>
      <c r="T33" s="2143"/>
      <c r="U33" s="2143"/>
      <c r="V33" s="2143"/>
      <c r="W33" s="2143"/>
      <c r="X33" s="2143"/>
      <c r="Y33" s="2143"/>
      <c r="Z33" s="2143"/>
      <c r="AA33" s="2143"/>
      <c r="AB33" s="2143"/>
      <c r="AC33" s="2143"/>
      <c r="AD33" s="2143"/>
      <c r="AE33" s="2143"/>
      <c r="AF33" s="2143"/>
      <c r="AG33" s="2143"/>
      <c r="AH33" s="2143"/>
      <c r="AI33" s="2143"/>
      <c r="AJ33" s="2143"/>
      <c r="AK33" s="2143"/>
      <c r="AL33" s="2143"/>
      <c r="AM33" s="2143"/>
      <c r="AN33" s="2143"/>
      <c r="AO33" s="2143"/>
      <c r="AP33" s="2143"/>
      <c r="AQ33" s="2143"/>
      <c r="AR33" s="2143"/>
      <c r="AS33" s="2131"/>
      <c r="AT33" s="2131"/>
      <c r="AU33" s="2131"/>
      <c r="AV33" s="2131"/>
      <c r="AW33" s="2131"/>
      <c r="AX33" s="2131"/>
      <c r="AY33" s="2131"/>
      <c r="AZ33" s="2131"/>
      <c r="BA33" s="2131"/>
      <c r="BB33" s="2131"/>
      <c r="BC33" s="2131"/>
      <c r="BD33" s="2131"/>
      <c r="BE33" s="2131"/>
      <c r="BF33" s="2131"/>
      <c r="BG33" s="2131"/>
      <c r="BH33" s="2131"/>
      <c r="BI33" s="2131"/>
      <c r="BJ33" s="2131"/>
      <c r="BK33" s="2131"/>
      <c r="BL33" s="2131"/>
      <c r="BM33" s="2131"/>
      <c r="BN33" s="2131"/>
      <c r="BO33" s="2131"/>
    </row>
    <row r="34" spans="1:67" s="2616" customFormat="1" ht="14.25">
      <c r="A34" s="2678" t="s">
        <v>603</v>
      </c>
      <c r="B34" s="2692">
        <v>0</v>
      </c>
      <c r="C34" s="2691" t="s">
        <v>604</v>
      </c>
      <c r="D34" s="2693" t="s">
        <v>605</v>
      </c>
      <c r="E34" s="2657"/>
      <c r="F34" s="2660"/>
      <c r="G34" s="2660"/>
      <c r="H34" s="2660"/>
      <c r="I34" s="2660"/>
      <c r="J34" s="2660"/>
      <c r="K34" s="2748"/>
      <c r="L34" s="2748"/>
      <c r="M34" s="2143"/>
      <c r="N34" s="2143"/>
      <c r="O34" s="2143"/>
      <c r="P34" s="2143"/>
      <c r="Q34" s="2143"/>
      <c r="R34" s="2143"/>
      <c r="S34" s="2143"/>
      <c r="T34" s="2143"/>
      <c r="U34" s="2143"/>
      <c r="V34" s="2143"/>
      <c r="W34" s="2143"/>
      <c r="X34" s="2143"/>
      <c r="Y34" s="2143"/>
      <c r="Z34" s="2143"/>
      <c r="AA34" s="2143"/>
      <c r="AB34" s="2143"/>
      <c r="AC34" s="2143"/>
      <c r="AD34" s="2143"/>
      <c r="AE34" s="2143"/>
      <c r="AF34" s="2143"/>
      <c r="AG34" s="2143"/>
      <c r="AH34" s="2143"/>
      <c r="AI34" s="2143"/>
      <c r="AJ34" s="2143"/>
      <c r="AK34" s="2143"/>
      <c r="AL34" s="2143"/>
      <c r="AM34" s="2143"/>
      <c r="AN34" s="2143"/>
      <c r="AO34" s="2143"/>
      <c r="AP34" s="2143"/>
      <c r="AQ34" s="2143"/>
      <c r="AR34" s="2143"/>
      <c r="AS34" s="2131"/>
      <c r="AT34" s="2131"/>
      <c r="AU34" s="2131"/>
      <c r="AV34" s="2131"/>
      <c r="AW34" s="2131"/>
      <c r="AX34" s="2131"/>
      <c r="AY34" s="2131"/>
      <c r="AZ34" s="2131"/>
      <c r="BA34" s="2131"/>
      <c r="BB34" s="2131"/>
      <c r="BC34" s="2131"/>
      <c r="BD34" s="2131"/>
      <c r="BE34" s="2131"/>
      <c r="BF34" s="2131"/>
      <c r="BG34" s="2131"/>
      <c r="BH34" s="2131"/>
      <c r="BI34" s="2131"/>
      <c r="BJ34" s="2131"/>
      <c r="BK34" s="2131"/>
      <c r="BL34" s="2131"/>
      <c r="BM34" s="2131"/>
      <c r="BN34" s="2131"/>
      <c r="BO34" s="2131"/>
    </row>
    <row r="35" spans="1:67" s="2616" customFormat="1" ht="14.25">
      <c r="A35" s="2678" t="s">
        <v>606</v>
      </c>
      <c r="B35" s="2679">
        <v>200</v>
      </c>
      <c r="C35" s="2691" t="s">
        <v>607</v>
      </c>
      <c r="D35" s="2677"/>
      <c r="E35" s="1246"/>
      <c r="F35" s="1246"/>
      <c r="G35" s="2660"/>
      <c r="H35" s="2660"/>
      <c r="I35" s="2660"/>
      <c r="J35" s="2660"/>
      <c r="K35" s="2748"/>
      <c r="L35" s="2748"/>
      <c r="M35" s="2143"/>
      <c r="N35" s="2143"/>
      <c r="O35" s="2143"/>
      <c r="P35" s="2143"/>
      <c r="Q35" s="2143"/>
      <c r="R35" s="2143"/>
      <c r="S35" s="2143"/>
      <c r="T35" s="2143"/>
      <c r="U35" s="2143"/>
      <c r="V35" s="2143"/>
      <c r="W35" s="2143"/>
      <c r="X35" s="2143"/>
      <c r="Y35" s="2143"/>
      <c r="Z35" s="2143"/>
      <c r="AA35" s="2143"/>
      <c r="AB35" s="2143"/>
      <c r="AC35" s="2143"/>
      <c r="AD35" s="2143"/>
      <c r="AE35" s="2143"/>
      <c r="AF35" s="2143"/>
      <c r="AG35" s="2143"/>
      <c r="AH35" s="2143"/>
      <c r="AI35" s="2143"/>
      <c r="AJ35" s="2143"/>
      <c r="AK35" s="2143"/>
      <c r="AL35" s="2143"/>
      <c r="AM35" s="2143"/>
      <c r="AN35" s="2143"/>
      <c r="AO35" s="2143"/>
      <c r="AP35" s="2143"/>
      <c r="AQ35" s="2143"/>
      <c r="AR35" s="2143"/>
      <c r="AS35" s="2131"/>
      <c r="AT35" s="2131"/>
      <c r="AU35" s="2131"/>
      <c r="AV35" s="2131"/>
      <c r="AW35" s="2131"/>
      <c r="AX35" s="2131"/>
      <c r="AY35" s="2131"/>
      <c r="AZ35" s="2131"/>
      <c r="BA35" s="2131"/>
      <c r="BB35" s="2131"/>
      <c r="BC35" s="2131"/>
      <c r="BD35" s="2131"/>
      <c r="BE35" s="2131"/>
      <c r="BF35" s="2131"/>
      <c r="BG35" s="2131"/>
      <c r="BH35" s="2131"/>
      <c r="BI35" s="2131"/>
      <c r="BJ35" s="2131"/>
      <c r="BK35" s="2131"/>
      <c r="BL35" s="2131"/>
      <c r="BM35" s="2131"/>
      <c r="BN35" s="2131"/>
      <c r="BO35" s="2131"/>
    </row>
    <row r="36" spans="1:67" ht="14.25">
      <c r="A36" s="2681" t="s">
        <v>608</v>
      </c>
      <c r="B36" s="2694">
        <v>1.4999999999999999E-2</v>
      </c>
      <c r="C36" s="2691" t="s">
        <v>609</v>
      </c>
      <c r="D36" s="2661"/>
      <c r="E36" s="2660"/>
      <c r="F36" s="2660"/>
      <c r="G36" s="2660"/>
      <c r="H36" s="2660"/>
      <c r="I36" s="2660"/>
      <c r="J36" s="2660"/>
      <c r="K36" s="2748"/>
      <c r="L36" s="2748"/>
      <c r="M36" s="2143"/>
      <c r="N36" s="2143"/>
      <c r="O36" s="2143"/>
      <c r="P36" s="2143"/>
      <c r="Q36" s="2143"/>
      <c r="R36" s="2143"/>
      <c r="S36" s="2143"/>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row>
    <row r="37" spans="1:67" ht="14.25">
      <c r="A37" s="2684" t="s">
        <v>610</v>
      </c>
      <c r="B37" s="2695">
        <v>0.02</v>
      </c>
      <c r="C37" s="2691" t="s">
        <v>611</v>
      </c>
      <c r="D37" s="2661"/>
      <c r="E37" s="2660"/>
      <c r="F37" s="2660"/>
      <c r="G37" s="2660"/>
      <c r="H37" s="2660"/>
      <c r="I37" s="2660"/>
      <c r="J37" s="2660"/>
      <c r="K37" s="2748"/>
      <c r="L37" s="2748"/>
      <c r="M37" s="2143"/>
      <c r="N37" s="2143"/>
      <c r="O37" s="2143"/>
      <c r="P37" s="2143"/>
      <c r="Q37" s="2143"/>
      <c r="R37" s="2143"/>
      <c r="S37" s="2143"/>
      <c r="T37" s="2143"/>
      <c r="U37" s="2143"/>
      <c r="V37" s="2143"/>
      <c r="W37" s="2143"/>
      <c r="X37" s="2143"/>
      <c r="Y37" s="2143"/>
      <c r="Z37" s="2143"/>
      <c r="AA37" s="2143"/>
      <c r="AB37" s="2143"/>
      <c r="AC37" s="2143"/>
      <c r="AD37" s="2143"/>
      <c r="AE37" s="2143"/>
      <c r="AF37" s="2143"/>
      <c r="AG37" s="2143"/>
      <c r="AH37" s="2143"/>
      <c r="AI37" s="2143"/>
      <c r="AJ37" s="2143"/>
      <c r="AK37" s="2143"/>
      <c r="AL37" s="2143"/>
      <c r="AM37" s="2143"/>
      <c r="AN37" s="2143"/>
      <c r="AO37" s="2143"/>
      <c r="AP37" s="2143"/>
      <c r="AQ37" s="2143"/>
      <c r="AR37" s="2143"/>
    </row>
    <row r="38" spans="1:67" ht="14.25">
      <c r="A38" s="2678" t="s">
        <v>612</v>
      </c>
      <c r="B38" s="2692">
        <v>0.02</v>
      </c>
      <c r="C38" s="2691" t="s">
        <v>611</v>
      </c>
      <c r="D38" s="2661"/>
      <c r="E38" s="2660"/>
      <c r="F38" s="2660"/>
      <c r="G38" s="2660"/>
      <c r="H38" s="2660"/>
      <c r="I38" s="2660"/>
      <c r="J38" s="2660"/>
      <c r="K38" s="2748"/>
      <c r="L38" s="2748"/>
      <c r="M38" s="2143"/>
      <c r="N38" s="2143"/>
      <c r="O38" s="2143"/>
      <c r="P38" s="2143"/>
      <c r="Q38" s="2143"/>
      <c r="R38" s="2143"/>
      <c r="S38" s="2143"/>
      <c r="T38" s="2143"/>
      <c r="U38" s="2143"/>
      <c r="V38" s="2143"/>
      <c r="W38" s="2143"/>
      <c r="X38" s="2143"/>
      <c r="Y38" s="2143"/>
      <c r="Z38" s="2143"/>
      <c r="AA38" s="2143"/>
      <c r="AB38" s="2143"/>
      <c r="AC38" s="2143"/>
      <c r="AD38" s="2143"/>
      <c r="AE38" s="2143"/>
      <c r="AF38" s="2143"/>
      <c r="AG38" s="2143"/>
      <c r="AH38" s="2143"/>
      <c r="AI38" s="2143"/>
      <c r="AJ38" s="2143"/>
      <c r="AK38" s="2143"/>
      <c r="AL38" s="2143"/>
      <c r="AM38" s="2143"/>
      <c r="AN38" s="2143"/>
      <c r="AO38" s="2143"/>
      <c r="AP38" s="2143"/>
      <c r="AQ38" s="2143"/>
      <c r="AR38" s="2143"/>
    </row>
    <row r="39" spans="1:67" ht="14.25">
      <c r="A39" s="2688" t="s">
        <v>613</v>
      </c>
      <c r="B39" s="2696">
        <f ca="1">存贷款利率!I1</f>
        <v>1.4999999999999999E-2</v>
      </c>
      <c r="C39" s="2697"/>
      <c r="D39" s="2661"/>
      <c r="E39" s="2660"/>
      <c r="F39" s="2660"/>
      <c r="G39" s="2660"/>
      <c r="H39" s="2660"/>
      <c r="I39" s="2660"/>
      <c r="J39" s="2660"/>
      <c r="K39" s="2748"/>
      <c r="L39" s="2748"/>
      <c r="M39" s="2143"/>
      <c r="N39" s="2143"/>
      <c r="O39" s="2143"/>
      <c r="P39" s="2143"/>
      <c r="Q39" s="2143"/>
      <c r="R39" s="2143"/>
      <c r="S39" s="2143"/>
      <c r="T39" s="2143"/>
      <c r="U39" s="2143"/>
      <c r="V39" s="2143"/>
      <c r="W39" s="2143"/>
      <c r="X39" s="2143"/>
      <c r="Y39" s="2143"/>
      <c r="Z39" s="2143"/>
      <c r="AA39" s="2143"/>
      <c r="AB39" s="2143"/>
      <c r="AC39" s="2143"/>
      <c r="AD39" s="2143"/>
      <c r="AE39" s="2143"/>
      <c r="AF39" s="2143"/>
      <c r="AG39" s="2143"/>
      <c r="AH39" s="2143"/>
      <c r="AI39" s="2143"/>
      <c r="AJ39" s="2143"/>
      <c r="AK39" s="2143"/>
      <c r="AL39" s="2143"/>
      <c r="AM39" s="2143"/>
      <c r="AN39" s="2143"/>
      <c r="AO39" s="2143"/>
      <c r="AP39" s="2143"/>
      <c r="AQ39" s="2143"/>
      <c r="AR39" s="2143"/>
    </row>
    <row r="40" spans="1:67" ht="14.25">
      <c r="A40" s="2698" t="s">
        <v>614</v>
      </c>
      <c r="B40" s="2699">
        <f ca="1">IF(A40="利息：取LPR",存贷款利率!G1,存贷款利率!G1+C40)</f>
        <v>4.2000000000000003E-2</v>
      </c>
      <c r="C40" s="2700">
        <v>5.0000000000000001E-3</v>
      </c>
      <c r="D40" s="2143"/>
      <c r="E40" s="2661"/>
      <c r="F40" s="2660"/>
      <c r="G40" s="2660"/>
      <c r="H40" s="2660"/>
      <c r="I40" s="2660"/>
      <c r="J40" s="2660"/>
      <c r="K40" s="2748"/>
      <c r="L40" s="2748"/>
      <c r="M40" s="2143"/>
      <c r="N40" s="2143"/>
      <c r="O40" s="2143"/>
      <c r="P40" s="2143"/>
      <c r="Q40" s="2143"/>
      <c r="R40" s="2143"/>
      <c r="S40" s="2143"/>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row>
    <row r="41" spans="1:67" ht="14.25">
      <c r="A41" s="2674" t="s">
        <v>615</v>
      </c>
      <c r="B41" s="2701">
        <f>B42+B43</f>
        <v>5.6000000000000001E-2</v>
      </c>
      <c r="C41" s="2687"/>
      <c r="D41" s="2143"/>
      <c r="E41" s="2661"/>
      <c r="F41" s="2660"/>
      <c r="G41" s="2660"/>
      <c r="H41" s="2660"/>
      <c r="I41" s="2660"/>
      <c r="J41" s="2660"/>
      <c r="K41" s="2748"/>
      <c r="L41" s="2748"/>
      <c r="M41" s="2143"/>
      <c r="N41" s="2143"/>
      <c r="O41" s="2143"/>
      <c r="P41" s="2143"/>
      <c r="Q41" s="2143"/>
      <c r="R41" s="2143"/>
      <c r="S41" s="2143"/>
      <c r="T41" s="2143"/>
      <c r="U41" s="2143"/>
      <c r="V41" s="2143"/>
      <c r="W41" s="2143"/>
      <c r="X41" s="2143"/>
      <c r="Y41" s="2143"/>
      <c r="Z41" s="2143"/>
      <c r="AA41" s="2143"/>
      <c r="AB41" s="2143"/>
      <c r="AC41" s="2143"/>
      <c r="AD41" s="2143"/>
      <c r="AE41" s="2143"/>
      <c r="AF41" s="2143"/>
      <c r="AG41" s="2143"/>
      <c r="AH41" s="2143"/>
      <c r="AI41" s="2143"/>
      <c r="AJ41" s="2143"/>
      <c r="AK41" s="2143"/>
      <c r="AL41" s="2143"/>
      <c r="AM41" s="2143"/>
      <c r="AN41" s="2143"/>
      <c r="AO41" s="2143"/>
      <c r="AP41" s="2143"/>
      <c r="AQ41" s="2143"/>
      <c r="AR41" s="2143"/>
    </row>
    <row r="42" spans="1:67" ht="14.25">
      <c r="A42" s="2702" t="s">
        <v>616</v>
      </c>
      <c r="B42" s="2703">
        <v>0.05</v>
      </c>
      <c r="C42" s="2704">
        <f>IF(B2&lt;DATE(2016,5,1),0,B42)</f>
        <v>0.05</v>
      </c>
      <c r="D42" s="2661"/>
      <c r="E42" s="2660"/>
      <c r="F42" s="2660"/>
      <c r="G42" s="2660"/>
      <c r="H42" s="2660"/>
      <c r="I42" s="2660"/>
      <c r="J42" s="2660"/>
      <c r="K42" s="2748"/>
      <c r="L42" s="2748"/>
      <c r="M42" s="2143"/>
      <c r="N42" s="2143"/>
      <c r="O42" s="2143"/>
      <c r="P42" s="2143"/>
      <c r="Q42" s="2143"/>
      <c r="R42" s="2143"/>
      <c r="S42" s="2143"/>
      <c r="T42" s="2143"/>
      <c r="U42" s="2143"/>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c r="AR42" s="2143"/>
    </row>
    <row r="43" spans="1:67" ht="14.25">
      <c r="A43" s="2702" t="s">
        <v>617</v>
      </c>
      <c r="B43" s="2705">
        <f>B42*(B44+B45+B46)+B47</f>
        <v>6.000000000000001E-3</v>
      </c>
      <c r="C43" s="2687"/>
      <c r="D43" s="2661"/>
      <c r="E43" s="2660"/>
      <c r="F43" s="2660"/>
      <c r="G43" s="2660"/>
      <c r="H43" s="2660"/>
      <c r="I43" s="2660"/>
      <c r="J43" s="2660"/>
      <c r="K43" s="2748"/>
      <c r="L43" s="2748"/>
      <c r="M43" s="2143"/>
      <c r="N43" s="2143"/>
      <c r="O43" s="2143"/>
      <c r="P43" s="2143"/>
      <c r="Q43" s="2143"/>
      <c r="R43" s="2143"/>
      <c r="S43" s="2143"/>
      <c r="T43" s="2143"/>
      <c r="U43" s="2143"/>
      <c r="V43" s="2143"/>
      <c r="W43" s="2143"/>
      <c r="X43" s="2143"/>
      <c r="Y43" s="2143"/>
      <c r="Z43" s="2143"/>
      <c r="AA43" s="2143"/>
      <c r="AB43" s="2143"/>
      <c r="AC43" s="2143"/>
      <c r="AD43" s="2143"/>
      <c r="AE43" s="2143"/>
      <c r="AF43" s="2143"/>
      <c r="AG43" s="2143"/>
      <c r="AH43" s="2143"/>
      <c r="AI43" s="2143"/>
      <c r="AJ43" s="2143"/>
      <c r="AK43" s="2143"/>
      <c r="AL43" s="2143"/>
      <c r="AM43" s="2143"/>
      <c r="AN43" s="2143"/>
      <c r="AO43" s="2143"/>
      <c r="AP43" s="2143"/>
      <c r="AQ43" s="2143"/>
      <c r="AR43" s="2143"/>
    </row>
    <row r="44" spans="1:67" ht="14.25">
      <c r="A44" s="2706" t="s">
        <v>618</v>
      </c>
      <c r="B44" s="2707">
        <v>7.0000000000000007E-2</v>
      </c>
      <c r="C44" s="2691" t="s">
        <v>619</v>
      </c>
      <c r="D44" s="2661"/>
      <c r="E44" s="2660"/>
      <c r="F44" s="2660"/>
      <c r="G44" s="2660"/>
      <c r="H44" s="2660"/>
      <c r="I44" s="2660"/>
      <c r="J44" s="2660"/>
      <c r="K44" s="2748"/>
      <c r="L44" s="2748"/>
      <c r="M44" s="2143"/>
      <c r="N44" s="2143"/>
      <c r="O44" s="2143"/>
      <c r="P44" s="2143"/>
      <c r="Q44" s="2143"/>
      <c r="R44" s="2143"/>
      <c r="S44" s="2143"/>
      <c r="T44" s="2143"/>
      <c r="U44" s="2143"/>
      <c r="V44" s="2143"/>
      <c r="W44" s="2143"/>
      <c r="X44" s="2143"/>
      <c r="Y44" s="2143"/>
      <c r="Z44" s="2143"/>
      <c r="AA44" s="2143"/>
      <c r="AB44" s="2143"/>
      <c r="AC44" s="2143"/>
      <c r="AD44" s="2143"/>
      <c r="AE44" s="2143"/>
      <c r="AF44" s="2143"/>
      <c r="AG44" s="2143"/>
      <c r="AH44" s="2143"/>
      <c r="AI44" s="2143"/>
      <c r="AJ44" s="2143"/>
      <c r="AK44" s="2143"/>
      <c r="AL44" s="2143"/>
      <c r="AM44" s="2143"/>
      <c r="AN44" s="2143"/>
      <c r="AO44" s="2143"/>
      <c r="AP44" s="2143"/>
      <c r="AQ44" s="2143"/>
      <c r="AR44" s="2143"/>
    </row>
    <row r="45" spans="1:67" ht="14.25">
      <c r="A45" s="2706" t="s">
        <v>620</v>
      </c>
      <c r="B45" s="2703">
        <v>0.03</v>
      </c>
      <c r="C45" s="2683" t="s">
        <v>621</v>
      </c>
      <c r="D45" s="2661"/>
      <c r="E45" s="2660"/>
      <c r="F45" s="2660"/>
      <c r="G45" s="2660"/>
      <c r="H45" s="2660"/>
      <c r="I45" s="2660"/>
      <c r="J45" s="2660"/>
      <c r="K45" s="2748"/>
      <c r="L45" s="2748"/>
      <c r="M45" s="2143"/>
      <c r="N45" s="2143"/>
      <c r="O45" s="2143"/>
      <c r="P45" s="2143"/>
      <c r="Q45" s="2143"/>
      <c r="R45" s="2143"/>
      <c r="S45" s="2143"/>
      <c r="T45" s="2143"/>
      <c r="U45" s="2143"/>
      <c r="V45" s="2143"/>
      <c r="W45" s="2143"/>
      <c r="X45" s="2143"/>
      <c r="Y45" s="2143"/>
      <c r="Z45" s="2143"/>
      <c r="AA45" s="2143"/>
      <c r="AB45" s="2143"/>
      <c r="AC45" s="2143"/>
      <c r="AD45" s="2143"/>
      <c r="AE45" s="2143"/>
      <c r="AF45" s="2143"/>
      <c r="AG45" s="2143"/>
      <c r="AH45" s="2143"/>
      <c r="AI45" s="2143"/>
      <c r="AJ45" s="2143"/>
      <c r="AK45" s="2143"/>
      <c r="AL45" s="2143"/>
      <c r="AM45" s="2143"/>
      <c r="AN45" s="2143"/>
      <c r="AO45" s="2143"/>
      <c r="AP45" s="2143"/>
      <c r="AQ45" s="2143"/>
      <c r="AR45" s="2143"/>
    </row>
    <row r="46" spans="1:67" ht="14.25">
      <c r="A46" s="2706" t="s">
        <v>622</v>
      </c>
      <c r="B46" s="2703">
        <v>0.02</v>
      </c>
      <c r="C46" s="2683" t="s">
        <v>623</v>
      </c>
      <c r="D46" s="2661"/>
      <c r="E46" s="2660"/>
      <c r="F46" s="2660"/>
      <c r="G46" s="2660"/>
      <c r="H46" s="2660"/>
      <c r="I46" s="2660"/>
      <c r="J46" s="2660"/>
      <c r="K46" s="2748"/>
      <c r="L46" s="2748"/>
      <c r="M46" s="2143"/>
      <c r="N46" s="2143"/>
      <c r="O46" s="2143"/>
      <c r="P46" s="2143"/>
      <c r="Q46" s="2143"/>
      <c r="R46" s="2143"/>
      <c r="S46" s="2143"/>
      <c r="T46" s="2143"/>
      <c r="U46" s="2143"/>
      <c r="V46" s="2143"/>
      <c r="W46" s="2143"/>
      <c r="X46" s="2143"/>
      <c r="Y46" s="2143"/>
      <c r="Z46" s="2143"/>
      <c r="AA46" s="2143"/>
      <c r="AB46" s="2143"/>
      <c r="AC46" s="2143"/>
      <c r="AD46" s="2143"/>
      <c r="AE46" s="2143"/>
      <c r="AF46" s="2143"/>
      <c r="AG46" s="2143"/>
      <c r="AH46" s="2143"/>
      <c r="AI46" s="2143"/>
      <c r="AJ46" s="2143"/>
      <c r="AK46" s="2143"/>
      <c r="AL46" s="2143"/>
      <c r="AM46" s="2143"/>
      <c r="AN46" s="2143"/>
      <c r="AO46" s="2143"/>
      <c r="AP46" s="2143"/>
      <c r="AQ46" s="2143"/>
      <c r="AR46" s="2143"/>
    </row>
    <row r="47" spans="1:67" ht="14.25">
      <c r="A47" s="2708" t="s">
        <v>624</v>
      </c>
      <c r="B47" s="2709"/>
      <c r="C47" s="2710" t="s">
        <v>625</v>
      </c>
      <c r="D47" s="2661"/>
      <c r="E47" s="2660"/>
      <c r="F47" s="2660"/>
      <c r="G47" s="2660"/>
      <c r="H47" s="2660"/>
      <c r="I47" s="2660"/>
      <c r="J47" s="2660"/>
      <c r="K47" s="2748"/>
      <c r="L47" s="2748"/>
      <c r="M47" s="2143"/>
      <c r="N47" s="2143"/>
      <c r="O47" s="2143"/>
      <c r="P47" s="2143"/>
      <c r="Q47" s="2143"/>
      <c r="R47" s="2143"/>
      <c r="S47" s="2143"/>
      <c r="T47" s="2143"/>
      <c r="U47" s="2143"/>
      <c r="V47" s="2143"/>
      <c r="W47" s="2143"/>
      <c r="X47" s="2143"/>
      <c r="Y47" s="2143"/>
      <c r="Z47" s="2143"/>
      <c r="AA47" s="2143"/>
      <c r="AB47" s="2143"/>
      <c r="AC47" s="2143"/>
      <c r="AD47" s="2143"/>
      <c r="AE47" s="2143"/>
      <c r="AF47" s="2143"/>
      <c r="AG47" s="2143"/>
      <c r="AH47" s="2143"/>
      <c r="AI47" s="2143"/>
      <c r="AJ47" s="2143"/>
      <c r="AK47" s="2143"/>
      <c r="AL47" s="2143"/>
      <c r="AM47" s="2143"/>
      <c r="AN47" s="2143"/>
      <c r="AO47" s="2143"/>
      <c r="AP47" s="2143"/>
      <c r="AQ47" s="2143"/>
      <c r="AR47" s="2143"/>
    </row>
    <row r="48" spans="1:67" ht="14.25">
      <c r="A48" s="2711" t="s">
        <v>626</v>
      </c>
      <c r="B48" s="2712">
        <v>0.03</v>
      </c>
      <c r="C48" s="2683" t="s">
        <v>621</v>
      </c>
      <c r="D48" s="2661"/>
      <c r="E48" s="2660"/>
      <c r="F48" s="2660"/>
      <c r="G48" s="2660"/>
      <c r="H48" s="2660"/>
      <c r="I48" s="2660"/>
      <c r="J48" s="2660"/>
      <c r="K48" s="2748"/>
      <c r="L48" s="2748"/>
      <c r="M48" s="2143"/>
      <c r="N48" s="2143"/>
      <c r="O48" s="2143"/>
      <c r="P48" s="2143"/>
      <c r="Q48" s="2143"/>
      <c r="R48" s="2143"/>
      <c r="S48" s="2143"/>
      <c r="T48" s="2143"/>
      <c r="U48" s="2143"/>
      <c r="V48" s="2143"/>
      <c r="W48" s="2143"/>
      <c r="X48" s="2143"/>
      <c r="Y48" s="2143"/>
      <c r="Z48" s="2143"/>
      <c r="AA48" s="2143"/>
      <c r="AB48" s="2143"/>
      <c r="AC48" s="2143"/>
      <c r="AD48" s="2143"/>
      <c r="AE48" s="2143"/>
      <c r="AF48" s="2143"/>
      <c r="AG48" s="2143"/>
      <c r="AH48" s="2143"/>
      <c r="AI48" s="2143"/>
      <c r="AJ48" s="2143"/>
      <c r="AK48" s="2143"/>
      <c r="AL48" s="2143"/>
      <c r="AM48" s="2143"/>
      <c r="AN48" s="2143"/>
      <c r="AO48" s="2143"/>
      <c r="AP48" s="2143"/>
      <c r="AQ48" s="2143"/>
      <c r="AR48" s="2143"/>
    </row>
    <row r="49" spans="1:44" ht="14.25">
      <c r="A49" s="2688" t="s">
        <v>627</v>
      </c>
      <c r="B49" s="2703">
        <v>5.0000000000000001E-4</v>
      </c>
      <c r="C49" s="2683" t="s">
        <v>628</v>
      </c>
      <c r="D49" s="2661"/>
      <c r="E49" s="2660"/>
      <c r="F49" s="2660"/>
      <c r="G49" s="2660"/>
      <c r="H49" s="2660"/>
      <c r="I49" s="2660"/>
      <c r="J49" s="2660"/>
      <c r="K49" s="2748"/>
      <c r="L49" s="2748"/>
      <c r="M49" s="2143"/>
      <c r="N49" s="2143"/>
      <c r="O49" s="2143"/>
      <c r="P49" s="2143"/>
      <c r="Q49" s="2143"/>
      <c r="R49" s="2143"/>
      <c r="S49" s="2143"/>
      <c r="T49" s="2143"/>
      <c r="U49" s="2143"/>
      <c r="V49" s="2143"/>
      <c r="W49" s="2143"/>
      <c r="X49" s="2143"/>
      <c r="Y49" s="2143"/>
      <c r="Z49" s="2143"/>
      <c r="AA49" s="2143"/>
      <c r="AB49" s="2143"/>
      <c r="AC49" s="2143"/>
      <c r="AD49" s="2143"/>
      <c r="AE49" s="2143"/>
      <c r="AF49" s="2143"/>
      <c r="AG49" s="2143"/>
      <c r="AH49" s="2143"/>
      <c r="AI49" s="2143"/>
      <c r="AJ49" s="2143"/>
      <c r="AK49" s="2143"/>
      <c r="AL49" s="2143"/>
      <c r="AM49" s="2143"/>
      <c r="AN49" s="2143"/>
      <c r="AO49" s="2143"/>
      <c r="AP49" s="2143"/>
      <c r="AQ49" s="2143"/>
      <c r="AR49" s="2143"/>
    </row>
    <row r="50" spans="1:44" ht="14.25">
      <c r="A50" s="2713" t="s">
        <v>629</v>
      </c>
      <c r="B50" s="2714">
        <v>1.2E-2</v>
      </c>
      <c r="C50" s="1246"/>
      <c r="D50" s="2661"/>
      <c r="E50" s="2660"/>
      <c r="F50" s="2660"/>
      <c r="G50" s="2660"/>
      <c r="H50" s="2660"/>
      <c r="I50" s="2660"/>
      <c r="J50" s="2660"/>
      <c r="K50" s="2748"/>
      <c r="L50" s="2748"/>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3"/>
      <c r="AK50" s="2143"/>
      <c r="AL50" s="2143"/>
      <c r="AM50" s="2143"/>
      <c r="AN50" s="2143"/>
      <c r="AO50" s="2143"/>
      <c r="AP50" s="2143"/>
      <c r="AQ50" s="2143"/>
      <c r="AR50" s="2143"/>
    </row>
    <row r="51" spans="1:44" ht="14.25">
      <c r="A51" s="2681" t="s">
        <v>630</v>
      </c>
      <c r="B51" s="2715">
        <v>0.12</v>
      </c>
      <c r="C51" s="1246"/>
      <c r="D51" s="2661"/>
      <c r="E51" s="2660"/>
      <c r="F51" s="2660"/>
      <c r="G51" s="2660"/>
      <c r="H51" s="2660"/>
      <c r="I51" s="2660"/>
      <c r="J51" s="2660"/>
      <c r="K51" s="2748"/>
      <c r="L51" s="2748"/>
      <c r="M51" s="2143"/>
      <c r="N51" s="2143"/>
      <c r="O51" s="2143"/>
      <c r="P51" s="2143"/>
      <c r="Q51" s="2143"/>
      <c r="R51" s="2143"/>
      <c r="S51" s="2143"/>
      <c r="T51" s="2143"/>
      <c r="U51" s="2143"/>
      <c r="V51" s="2143"/>
      <c r="W51" s="2143"/>
      <c r="X51" s="2143"/>
      <c r="Y51" s="2143"/>
      <c r="Z51" s="2143"/>
      <c r="AA51" s="2143"/>
      <c r="AB51" s="2143"/>
      <c r="AC51" s="2143"/>
      <c r="AD51" s="2143"/>
      <c r="AE51" s="2143"/>
      <c r="AF51" s="2143"/>
      <c r="AG51" s="2143"/>
      <c r="AH51" s="2143"/>
      <c r="AI51" s="2143"/>
      <c r="AJ51" s="2143"/>
      <c r="AK51" s="2143"/>
      <c r="AL51" s="2143"/>
      <c r="AM51" s="2143"/>
      <c r="AN51" s="2143"/>
      <c r="AO51" s="2143"/>
      <c r="AP51" s="2143"/>
      <c r="AQ51" s="2143"/>
      <c r="AR51" s="2143"/>
    </row>
    <row r="52" spans="1:44" ht="14.25">
      <c r="A52" s="2713" t="s">
        <v>631</v>
      </c>
      <c r="B52" s="2716">
        <f>SUMIF(A54:A63,B53,B54:B63)</f>
        <v>18</v>
      </c>
      <c r="C52" s="1246"/>
      <c r="D52" s="2661"/>
      <c r="E52" s="2660"/>
      <c r="F52" s="2660"/>
      <c r="G52" s="2660"/>
      <c r="H52" s="2660"/>
      <c r="I52" s="2660"/>
      <c r="J52" s="2660"/>
      <c r="K52" s="2748"/>
      <c r="L52" s="2748"/>
      <c r="M52" s="2143"/>
      <c r="N52" s="2143"/>
      <c r="O52" s="2143"/>
      <c r="P52" s="2143"/>
      <c r="Q52" s="2143"/>
      <c r="R52" s="2143"/>
      <c r="S52" s="2143"/>
      <c r="T52" s="2143"/>
      <c r="U52" s="2143"/>
      <c r="V52" s="2143"/>
      <c r="W52" s="2143"/>
      <c r="X52" s="2143"/>
      <c r="Y52" s="2143"/>
      <c r="Z52" s="2143"/>
      <c r="AA52" s="2143"/>
      <c r="AB52" s="2143"/>
      <c r="AC52" s="2143"/>
      <c r="AD52" s="2143"/>
      <c r="AE52" s="2143"/>
      <c r="AF52" s="2143"/>
      <c r="AG52" s="2143"/>
      <c r="AH52" s="2143"/>
      <c r="AI52" s="2143"/>
      <c r="AJ52" s="2143"/>
      <c r="AK52" s="2143"/>
      <c r="AL52" s="2143"/>
      <c r="AM52" s="2143"/>
      <c r="AN52" s="2143"/>
      <c r="AO52" s="2143"/>
      <c r="AP52" s="2143"/>
      <c r="AQ52" s="2143"/>
      <c r="AR52" s="2143"/>
    </row>
    <row r="53" spans="1:44" ht="14.25">
      <c r="A53" s="2678" t="s">
        <v>632</v>
      </c>
      <c r="B53" s="2717" t="s">
        <v>251</v>
      </c>
      <c r="C53" s="1246" t="s">
        <v>633</v>
      </c>
      <c r="D53" s="2718" t="s">
        <v>634</v>
      </c>
      <c r="E53" s="2660"/>
      <c r="F53" s="2660"/>
      <c r="G53" s="2660"/>
      <c r="H53" s="2660"/>
      <c r="I53" s="2660"/>
      <c r="J53" s="2660"/>
      <c r="K53" s="2748"/>
      <c r="L53" s="2748"/>
      <c r="M53" s="2143"/>
      <c r="N53" s="2143"/>
      <c r="O53" s="2143"/>
      <c r="P53" s="2143"/>
      <c r="Q53" s="2143"/>
      <c r="R53" s="2143"/>
      <c r="S53" s="2143"/>
      <c r="T53" s="2143"/>
      <c r="U53" s="2143"/>
      <c r="V53" s="2143"/>
      <c r="W53" s="2143"/>
      <c r="X53" s="2143"/>
      <c r="Y53" s="2143"/>
      <c r="Z53" s="2143"/>
      <c r="AA53" s="2143"/>
      <c r="AB53" s="2143"/>
      <c r="AC53" s="2143"/>
      <c r="AD53" s="2143"/>
      <c r="AE53" s="2143"/>
      <c r="AF53" s="2143"/>
      <c r="AG53" s="2143"/>
      <c r="AH53" s="2143"/>
      <c r="AI53" s="2143"/>
      <c r="AJ53" s="2143"/>
      <c r="AK53" s="2143"/>
      <c r="AL53" s="2143"/>
      <c r="AM53" s="2143"/>
      <c r="AN53" s="2143"/>
      <c r="AO53" s="2143"/>
      <c r="AP53" s="2143"/>
      <c r="AQ53" s="2143"/>
      <c r="AR53" s="2143"/>
    </row>
    <row r="54" spans="1:44" ht="14.25">
      <c r="A54" s="2719" t="s">
        <v>635</v>
      </c>
      <c r="B54" s="2720"/>
      <c r="C54" s="1246">
        <v>30</v>
      </c>
      <c r="D54" s="2661"/>
      <c r="E54" s="2660"/>
      <c r="F54" s="2660"/>
      <c r="G54" s="2660"/>
      <c r="H54" s="2660"/>
      <c r="I54" s="2660"/>
      <c r="J54" s="2660"/>
      <c r="K54" s="2748"/>
      <c r="L54" s="2748"/>
      <c r="M54" s="2143"/>
      <c r="N54" s="2143"/>
      <c r="O54" s="2143"/>
      <c r="P54" s="2143"/>
      <c r="Q54" s="2143"/>
      <c r="R54" s="2143"/>
      <c r="S54" s="2143"/>
      <c r="T54" s="2143"/>
      <c r="U54" s="2143"/>
      <c r="V54" s="2143"/>
      <c r="W54" s="2143"/>
      <c r="X54" s="2143"/>
      <c r="Y54" s="2143"/>
      <c r="Z54" s="2143"/>
      <c r="AA54" s="2143"/>
      <c r="AB54" s="2143"/>
      <c r="AC54" s="2143"/>
      <c r="AD54" s="2143"/>
      <c r="AE54" s="2143"/>
      <c r="AF54" s="2143"/>
      <c r="AG54" s="2143"/>
      <c r="AH54" s="2143"/>
      <c r="AI54" s="2143"/>
      <c r="AJ54" s="2143"/>
      <c r="AK54" s="2143"/>
      <c r="AL54" s="2143"/>
      <c r="AM54" s="2143"/>
      <c r="AN54" s="2143"/>
      <c r="AO54" s="2143"/>
      <c r="AP54" s="2143"/>
      <c r="AQ54" s="2143"/>
      <c r="AR54" s="2143"/>
    </row>
    <row r="55" spans="1:44" ht="14.25">
      <c r="A55" s="2719" t="s">
        <v>636</v>
      </c>
      <c r="B55" s="2720"/>
      <c r="C55" s="1246">
        <v>24</v>
      </c>
      <c r="D55" s="2661"/>
      <c r="E55" s="2660"/>
      <c r="F55" s="2660"/>
      <c r="G55" s="2660"/>
      <c r="H55" s="2660"/>
      <c r="I55" s="2749"/>
      <c r="J55" s="2660"/>
      <c r="K55" s="2748"/>
      <c r="L55" s="2748"/>
      <c r="M55" s="2143"/>
      <c r="N55" s="2143"/>
      <c r="O55" s="2143"/>
      <c r="P55" s="2143"/>
      <c r="Q55" s="2143"/>
      <c r="R55" s="2143"/>
      <c r="S55" s="2143"/>
      <c r="T55" s="2143"/>
      <c r="U55" s="2143"/>
      <c r="V55" s="2143"/>
      <c r="W55" s="2143"/>
      <c r="X55" s="2143"/>
      <c r="Y55" s="2143"/>
      <c r="Z55" s="2143"/>
      <c r="AA55" s="2143"/>
      <c r="AB55" s="2143"/>
      <c r="AC55" s="2143"/>
      <c r="AD55" s="2143"/>
      <c r="AE55" s="2143"/>
      <c r="AF55" s="2143"/>
      <c r="AG55" s="2143"/>
      <c r="AH55" s="2143"/>
      <c r="AI55" s="2143"/>
      <c r="AJ55" s="2143"/>
      <c r="AK55" s="2143"/>
      <c r="AL55" s="2143"/>
      <c r="AM55" s="2143"/>
      <c r="AN55" s="2143"/>
      <c r="AO55" s="2143"/>
      <c r="AP55" s="2143"/>
      <c r="AQ55" s="2143"/>
      <c r="AR55" s="2143"/>
    </row>
    <row r="56" spans="1:44" ht="14.25">
      <c r="A56" s="2719" t="s">
        <v>637</v>
      </c>
      <c r="B56" s="2720">
        <v>18</v>
      </c>
      <c r="C56" s="1246">
        <v>18</v>
      </c>
      <c r="D56" s="2661"/>
      <c r="E56" s="2660"/>
      <c r="F56" s="2660"/>
      <c r="G56" s="2660"/>
      <c r="H56" s="2660"/>
      <c r="I56" s="2660"/>
      <c r="J56" s="2660"/>
      <c r="K56" s="2748"/>
      <c r="L56" s="2748"/>
      <c r="M56" s="2143"/>
      <c r="N56" s="2143"/>
      <c r="O56" s="2143"/>
      <c r="P56" s="2143"/>
      <c r="Q56" s="2143"/>
      <c r="R56" s="2143"/>
      <c r="S56" s="2143"/>
      <c r="T56" s="2143"/>
      <c r="U56" s="2143"/>
      <c r="V56" s="2143"/>
      <c r="W56" s="2143"/>
      <c r="X56" s="2143"/>
      <c r="Y56" s="2143"/>
      <c r="Z56" s="2143"/>
      <c r="AA56" s="2143"/>
      <c r="AB56" s="2143"/>
      <c r="AC56" s="2143"/>
      <c r="AD56" s="2143"/>
      <c r="AE56" s="2143"/>
      <c r="AF56" s="2143"/>
      <c r="AG56" s="2143"/>
      <c r="AH56" s="2143"/>
      <c r="AI56" s="2143"/>
      <c r="AJ56" s="2143"/>
      <c r="AK56" s="2143"/>
      <c r="AL56" s="2143"/>
      <c r="AM56" s="2143"/>
      <c r="AN56" s="2143"/>
      <c r="AO56" s="2143"/>
      <c r="AP56" s="2143"/>
      <c r="AQ56" s="2143"/>
      <c r="AR56" s="2143"/>
    </row>
    <row r="57" spans="1:44" ht="14.25">
      <c r="A57" s="2719" t="s">
        <v>638</v>
      </c>
      <c r="B57" s="2721"/>
      <c r="C57" s="1246">
        <v>12</v>
      </c>
      <c r="D57" s="2661"/>
      <c r="E57" s="2660"/>
      <c r="F57" s="2660"/>
      <c r="G57" s="2660"/>
      <c r="H57" s="2660"/>
      <c r="I57" s="2660"/>
      <c r="J57" s="2660"/>
      <c r="K57" s="2748"/>
      <c r="L57" s="2748"/>
      <c r="M57" s="2143"/>
      <c r="N57" s="2143"/>
      <c r="O57" s="2143"/>
      <c r="P57" s="2143"/>
      <c r="Q57" s="2143"/>
      <c r="R57" s="2143"/>
      <c r="S57" s="2143"/>
      <c r="T57" s="2143"/>
      <c r="U57" s="2143"/>
      <c r="V57" s="2143"/>
      <c r="W57" s="2143"/>
      <c r="X57" s="2143"/>
      <c r="Y57" s="2143"/>
      <c r="Z57" s="2143"/>
      <c r="AA57" s="2143"/>
      <c r="AB57" s="2143"/>
      <c r="AC57" s="2143"/>
      <c r="AD57" s="2143"/>
      <c r="AE57" s="2143"/>
      <c r="AF57" s="2143"/>
      <c r="AG57" s="2143"/>
      <c r="AH57" s="2143"/>
      <c r="AI57" s="2143"/>
      <c r="AJ57" s="2143"/>
      <c r="AK57" s="2143"/>
      <c r="AL57" s="2143"/>
      <c r="AM57" s="2143"/>
      <c r="AN57" s="2143"/>
      <c r="AO57" s="2143"/>
      <c r="AP57" s="2143"/>
      <c r="AQ57" s="2143"/>
      <c r="AR57" s="2143"/>
    </row>
    <row r="58" spans="1:44" ht="14.25">
      <c r="A58" s="2719" t="s">
        <v>639</v>
      </c>
      <c r="B58" s="2720"/>
      <c r="C58" s="1246">
        <v>3</v>
      </c>
      <c r="D58" s="2661"/>
      <c r="E58" s="2660"/>
      <c r="F58" s="2660"/>
      <c r="G58" s="2660"/>
      <c r="H58" s="2660"/>
      <c r="I58" s="2660"/>
      <c r="J58" s="2660"/>
      <c r="K58" s="2748"/>
      <c r="L58" s="2748"/>
      <c r="M58" s="2143"/>
      <c r="N58" s="2143"/>
      <c r="O58" s="2143"/>
      <c r="P58" s="2143"/>
      <c r="Q58" s="2143"/>
      <c r="R58" s="2143"/>
      <c r="S58" s="2143"/>
      <c r="T58" s="2143"/>
      <c r="U58" s="2143"/>
      <c r="V58" s="2143"/>
      <c r="W58" s="2143"/>
      <c r="X58" s="2143"/>
      <c r="Y58" s="2143"/>
      <c r="Z58" s="2143"/>
      <c r="AA58" s="2143"/>
      <c r="AB58" s="2143"/>
      <c r="AC58" s="2143"/>
      <c r="AD58" s="2143"/>
      <c r="AE58" s="2143"/>
      <c r="AF58" s="2143"/>
      <c r="AG58" s="2143"/>
      <c r="AH58" s="2143"/>
      <c r="AI58" s="2143"/>
      <c r="AJ58" s="2143"/>
      <c r="AK58" s="2143"/>
      <c r="AL58" s="2143"/>
      <c r="AM58" s="2143"/>
      <c r="AN58" s="2143"/>
      <c r="AO58" s="2143"/>
      <c r="AP58" s="2143"/>
      <c r="AQ58" s="2143"/>
      <c r="AR58" s="2143"/>
    </row>
    <row r="59" spans="1:44" ht="14.25">
      <c r="A59" s="2719" t="s">
        <v>640</v>
      </c>
      <c r="B59" s="2720"/>
      <c r="C59" s="1246">
        <v>1.5</v>
      </c>
      <c r="D59" s="2661"/>
      <c r="E59" s="2660"/>
      <c r="F59" s="2660"/>
      <c r="G59" s="2660"/>
      <c r="H59" s="2660"/>
      <c r="I59" s="2660"/>
      <c r="J59" s="2660"/>
      <c r="K59" s="2748"/>
      <c r="L59" s="2748"/>
      <c r="M59" s="2143"/>
      <c r="N59" s="2143"/>
      <c r="O59" s="2143"/>
      <c r="P59" s="2143"/>
      <c r="Q59" s="2143"/>
      <c r="R59" s="2143"/>
      <c r="S59" s="2143"/>
      <c r="T59" s="2143"/>
      <c r="U59" s="2143"/>
      <c r="V59" s="2143"/>
      <c r="W59" s="2143"/>
      <c r="X59" s="2143"/>
      <c r="Y59" s="2143"/>
      <c r="Z59" s="2143"/>
      <c r="AA59" s="2143"/>
      <c r="AB59" s="2143"/>
      <c r="AC59" s="2143"/>
      <c r="AD59" s="2143"/>
      <c r="AE59" s="2143"/>
      <c r="AF59" s="2143"/>
      <c r="AG59" s="2143"/>
      <c r="AH59" s="2143"/>
      <c r="AI59" s="2143"/>
      <c r="AJ59" s="2143"/>
      <c r="AK59" s="2143"/>
      <c r="AL59" s="2143"/>
      <c r="AM59" s="2143"/>
      <c r="AN59" s="2143"/>
      <c r="AO59" s="2143"/>
      <c r="AP59" s="2143"/>
      <c r="AQ59" s="2143"/>
      <c r="AR59" s="2143"/>
    </row>
    <row r="60" spans="1:44" ht="14.25">
      <c r="A60" s="2719" t="s">
        <v>641</v>
      </c>
      <c r="B60" s="2720"/>
      <c r="C60" s="2660"/>
      <c r="D60" s="2661"/>
      <c r="E60" s="2660"/>
      <c r="F60" s="2660"/>
      <c r="G60" s="2660"/>
      <c r="H60" s="2660"/>
      <c r="I60" s="2660"/>
      <c r="J60" s="2660"/>
      <c r="K60" s="2748"/>
      <c r="L60" s="2748"/>
      <c r="M60" s="2143"/>
      <c r="N60" s="2143"/>
      <c r="O60" s="2143"/>
      <c r="P60" s="2143"/>
      <c r="Q60" s="2143"/>
      <c r="R60" s="2143"/>
      <c r="S60" s="2143"/>
      <c r="T60" s="2143"/>
      <c r="U60" s="2143"/>
      <c r="V60" s="2143"/>
      <c r="W60" s="2143"/>
      <c r="X60" s="2143"/>
      <c r="Y60" s="2143"/>
      <c r="Z60" s="2143"/>
      <c r="AA60" s="2143"/>
      <c r="AB60" s="2143"/>
      <c r="AC60" s="2143"/>
      <c r="AD60" s="2143"/>
      <c r="AE60" s="2143"/>
      <c r="AF60" s="2143"/>
      <c r="AG60" s="2143"/>
      <c r="AH60" s="2143"/>
      <c r="AI60" s="2143"/>
      <c r="AJ60" s="2143"/>
      <c r="AK60" s="2143"/>
      <c r="AL60" s="2143"/>
      <c r="AM60" s="2143"/>
      <c r="AN60" s="2143"/>
      <c r="AO60" s="2143"/>
      <c r="AP60" s="2143"/>
      <c r="AQ60" s="2143"/>
      <c r="AR60" s="2143"/>
    </row>
    <row r="61" spans="1:44" ht="14.25">
      <c r="A61" s="2719" t="s">
        <v>642</v>
      </c>
      <c r="B61" s="2720"/>
      <c r="C61" s="2660"/>
      <c r="D61" s="2661"/>
      <c r="E61" s="2660"/>
      <c r="F61" s="2660"/>
      <c r="G61" s="2660"/>
      <c r="H61" s="2660"/>
      <c r="I61" s="2660"/>
      <c r="J61" s="2660"/>
      <c r="K61" s="2748"/>
      <c r="L61" s="2748"/>
      <c r="M61" s="2143"/>
      <c r="N61" s="2143"/>
      <c r="O61" s="2143"/>
      <c r="P61" s="2143"/>
      <c r="Q61" s="2143"/>
      <c r="R61" s="2143"/>
      <c r="S61" s="2143"/>
      <c r="T61" s="2143"/>
      <c r="U61" s="2143"/>
      <c r="V61" s="2143"/>
      <c r="W61" s="2143"/>
      <c r="X61" s="2143"/>
      <c r="Y61" s="2143"/>
      <c r="Z61" s="2143"/>
      <c r="AA61" s="2143"/>
      <c r="AB61" s="2143"/>
      <c r="AC61" s="2143"/>
      <c r="AD61" s="2143"/>
      <c r="AE61" s="2143"/>
      <c r="AF61" s="2143"/>
      <c r="AG61" s="2143"/>
      <c r="AH61" s="2143"/>
      <c r="AI61" s="2143"/>
      <c r="AJ61" s="2143"/>
      <c r="AK61" s="2143"/>
      <c r="AL61" s="2143"/>
      <c r="AM61" s="2143"/>
      <c r="AN61" s="2143"/>
      <c r="AO61" s="2143"/>
      <c r="AP61" s="2143"/>
      <c r="AQ61" s="2143"/>
      <c r="AR61" s="2143"/>
    </row>
    <row r="62" spans="1:44" ht="14.25">
      <c r="A62" s="2719" t="s">
        <v>643</v>
      </c>
      <c r="B62" s="2720"/>
      <c r="C62" s="2660"/>
      <c r="D62" s="2661"/>
      <c r="E62" s="2660"/>
      <c r="F62" s="2660"/>
      <c r="G62" s="2660"/>
      <c r="H62" s="2660"/>
      <c r="I62" s="2660"/>
      <c r="J62" s="2660"/>
      <c r="K62" s="2748"/>
      <c r="L62" s="2748"/>
      <c r="M62" s="2143"/>
      <c r="N62" s="2143"/>
      <c r="O62" s="2143"/>
      <c r="P62" s="2143"/>
      <c r="Q62" s="2143"/>
      <c r="R62" s="2143"/>
      <c r="S62" s="2143"/>
      <c r="T62" s="2143"/>
      <c r="U62" s="2143"/>
      <c r="V62" s="2143"/>
      <c r="W62" s="2143"/>
      <c r="X62" s="2143"/>
      <c r="Y62" s="2143"/>
      <c r="Z62" s="2143"/>
      <c r="AA62" s="2143"/>
      <c r="AB62" s="2143"/>
      <c r="AC62" s="2143"/>
      <c r="AD62" s="2143"/>
      <c r="AE62" s="2143"/>
      <c r="AF62" s="2143"/>
      <c r="AG62" s="2143"/>
      <c r="AH62" s="2143"/>
      <c r="AI62" s="2143"/>
      <c r="AJ62" s="2143"/>
      <c r="AK62" s="2143"/>
      <c r="AL62" s="2143"/>
      <c r="AM62" s="2143"/>
      <c r="AN62" s="2143"/>
      <c r="AO62" s="2143"/>
      <c r="AP62" s="2143"/>
      <c r="AQ62" s="2143"/>
      <c r="AR62" s="2143"/>
    </row>
    <row r="63" spans="1:44" ht="14.25">
      <c r="A63" s="2722" t="s">
        <v>644</v>
      </c>
      <c r="B63" s="2723"/>
      <c r="C63" s="2660"/>
      <c r="D63" s="2661"/>
      <c r="E63" s="2660"/>
      <c r="F63" s="2660"/>
      <c r="G63" s="2660"/>
      <c r="H63" s="2660"/>
      <c r="I63" s="2660"/>
      <c r="J63" s="2660"/>
      <c r="K63" s="2748"/>
      <c r="L63" s="2748"/>
      <c r="M63" s="2143"/>
      <c r="N63" s="2143"/>
      <c r="O63" s="2143"/>
      <c r="P63" s="2143"/>
      <c r="Q63" s="2143"/>
      <c r="R63" s="2143"/>
      <c r="S63" s="2143"/>
      <c r="T63" s="2143"/>
      <c r="U63" s="2143"/>
      <c r="V63" s="2143"/>
      <c r="W63" s="2143"/>
      <c r="X63" s="2143"/>
      <c r="Y63" s="2143"/>
      <c r="Z63" s="2143"/>
      <c r="AA63" s="2143"/>
      <c r="AB63" s="2143"/>
      <c r="AC63" s="2143"/>
      <c r="AD63" s="2143"/>
      <c r="AE63" s="2143"/>
      <c r="AF63" s="2143"/>
      <c r="AG63" s="2143"/>
      <c r="AH63" s="2143"/>
      <c r="AI63" s="2143"/>
      <c r="AJ63" s="2143"/>
      <c r="AK63" s="2143"/>
      <c r="AL63" s="2143"/>
      <c r="AM63" s="2143"/>
      <c r="AN63" s="2143"/>
      <c r="AO63" s="2143"/>
      <c r="AP63" s="2143"/>
      <c r="AQ63" s="2143"/>
      <c r="AR63" s="2143"/>
    </row>
    <row r="64" spans="1:44" s="2216" customFormat="1">
      <c r="A64" s="2724"/>
      <c r="B64" s="2143"/>
      <c r="C64" s="2143"/>
      <c r="D64" s="2658"/>
      <c r="E64" s="2143"/>
      <c r="F64" s="2143"/>
      <c r="G64" s="2143"/>
      <c r="H64" s="2143"/>
      <c r="I64" s="2143"/>
      <c r="J64" s="2143"/>
      <c r="K64" s="2748"/>
      <c r="L64" s="2748"/>
      <c r="M64" s="2143"/>
      <c r="N64" s="2143"/>
      <c r="O64" s="2143"/>
      <c r="P64" s="2143"/>
      <c r="Q64" s="2143"/>
      <c r="R64" s="2143"/>
      <c r="S64" s="2143"/>
      <c r="T64" s="2143"/>
      <c r="U64" s="2143"/>
      <c r="V64" s="2143"/>
      <c r="W64" s="2143"/>
      <c r="X64" s="2143"/>
      <c r="Y64" s="2143"/>
      <c r="Z64" s="2143"/>
      <c r="AA64" s="2143"/>
      <c r="AB64" s="2143"/>
      <c r="AC64" s="2143"/>
      <c r="AD64" s="2143"/>
      <c r="AE64" s="2143"/>
      <c r="AF64" s="2143"/>
      <c r="AG64" s="2143"/>
      <c r="AH64" s="2143"/>
      <c r="AI64" s="2143"/>
      <c r="AJ64" s="2143"/>
      <c r="AK64" s="2143"/>
      <c r="AL64" s="2143"/>
      <c r="AM64" s="2143"/>
      <c r="AN64" s="2143"/>
      <c r="AO64" s="2143"/>
      <c r="AP64" s="2143"/>
      <c r="AQ64" s="2143"/>
      <c r="AR64" s="2143"/>
    </row>
    <row r="65" spans="1:44" s="2216" customFormat="1">
      <c r="A65" s="2724"/>
      <c r="B65" s="2143"/>
      <c r="C65" s="2143"/>
      <c r="D65" s="2658"/>
      <c r="E65" s="2143"/>
      <c r="F65" s="2143"/>
      <c r="G65" s="2143"/>
      <c r="H65" s="2143"/>
      <c r="I65" s="2143"/>
      <c r="J65" s="2143"/>
      <c r="K65" s="2748"/>
      <c r="L65" s="2748"/>
      <c r="M65" s="2143"/>
      <c r="N65" s="2143"/>
      <c r="O65" s="2143"/>
      <c r="P65" s="2143"/>
      <c r="Q65" s="2143"/>
      <c r="R65" s="2143"/>
      <c r="S65" s="2143"/>
      <c r="T65" s="2143"/>
      <c r="U65" s="2143"/>
      <c r="V65" s="2143"/>
      <c r="W65" s="2143"/>
      <c r="X65" s="2143"/>
      <c r="Y65" s="2143"/>
      <c r="Z65" s="2143"/>
      <c r="AA65" s="2143"/>
      <c r="AB65" s="2143"/>
      <c r="AC65" s="2143"/>
      <c r="AD65" s="2143"/>
      <c r="AE65" s="2143"/>
      <c r="AF65" s="2143"/>
      <c r="AG65" s="2143"/>
      <c r="AH65" s="2143"/>
      <c r="AI65" s="2143"/>
      <c r="AJ65" s="2143"/>
      <c r="AK65" s="2143"/>
      <c r="AL65" s="2143"/>
      <c r="AM65" s="2143"/>
      <c r="AN65" s="2143"/>
      <c r="AO65" s="2143"/>
      <c r="AP65" s="2143"/>
      <c r="AQ65" s="2143"/>
      <c r="AR65" s="2143"/>
    </row>
    <row r="66" spans="1:44" s="2216" customFormat="1">
      <c r="A66" s="2724"/>
      <c r="B66" s="2143"/>
      <c r="C66" s="2143"/>
      <c r="D66" s="2658"/>
      <c r="E66" s="2143"/>
      <c r="F66" s="2143"/>
      <c r="G66" s="2143"/>
      <c r="H66" s="2143"/>
      <c r="I66" s="2143"/>
      <c r="J66" s="2143"/>
      <c r="K66" s="2748"/>
      <c r="L66" s="2748"/>
      <c r="M66" s="2143"/>
      <c r="N66" s="2143"/>
      <c r="O66" s="2143"/>
      <c r="P66" s="2143"/>
      <c r="Q66" s="2143"/>
      <c r="R66" s="2143"/>
      <c r="S66" s="2143"/>
      <c r="T66" s="2143"/>
      <c r="U66" s="2143"/>
      <c r="V66" s="2143"/>
      <c r="W66" s="2143"/>
      <c r="X66" s="2143"/>
      <c r="Y66" s="2143"/>
      <c r="Z66" s="2143"/>
      <c r="AA66" s="2143"/>
      <c r="AB66" s="2143"/>
      <c r="AC66" s="2143"/>
      <c r="AD66" s="2143"/>
      <c r="AE66" s="2143"/>
      <c r="AF66" s="2143"/>
      <c r="AG66" s="2143"/>
      <c r="AH66" s="2143"/>
      <c r="AI66" s="2143"/>
      <c r="AJ66" s="2143"/>
      <c r="AK66" s="2143"/>
      <c r="AL66" s="2143"/>
      <c r="AM66" s="2143"/>
      <c r="AN66" s="2143"/>
      <c r="AO66" s="2143"/>
      <c r="AP66" s="2143"/>
      <c r="AQ66" s="2143"/>
      <c r="AR66" s="2143"/>
    </row>
    <row r="67" spans="1:44" s="2216" customFormat="1">
      <c r="A67" s="2724"/>
      <c r="B67" s="2143"/>
      <c r="C67" s="2143"/>
      <c r="D67" s="2658"/>
      <c r="E67" s="2143"/>
      <c r="F67" s="2143"/>
      <c r="G67" s="2143"/>
      <c r="H67" s="2143"/>
      <c r="I67" s="2143"/>
      <c r="J67" s="2143"/>
      <c r="K67" s="2748"/>
      <c r="L67" s="2748"/>
      <c r="M67" s="2143"/>
      <c r="N67" s="2143"/>
      <c r="O67" s="2143"/>
      <c r="P67" s="2143"/>
      <c r="Q67" s="2143"/>
      <c r="R67" s="2143"/>
      <c r="S67" s="2143"/>
      <c r="T67" s="2143"/>
      <c r="U67" s="2143"/>
      <c r="V67" s="2143"/>
      <c r="W67" s="2143"/>
      <c r="X67" s="2143"/>
      <c r="Y67" s="2143"/>
      <c r="Z67" s="2143"/>
      <c r="AA67" s="2143"/>
      <c r="AB67" s="2143"/>
      <c r="AC67" s="2143"/>
      <c r="AD67" s="2143"/>
      <c r="AE67" s="2143"/>
      <c r="AF67" s="2143"/>
      <c r="AG67" s="2143"/>
      <c r="AH67" s="2143"/>
      <c r="AI67" s="2143"/>
      <c r="AJ67" s="2143"/>
      <c r="AK67" s="2143"/>
      <c r="AL67" s="2143"/>
      <c r="AM67" s="2143"/>
      <c r="AN67" s="2143"/>
      <c r="AO67" s="2143"/>
      <c r="AP67" s="2143"/>
      <c r="AQ67" s="2143"/>
      <c r="AR67" s="2143"/>
    </row>
    <row r="68" spans="1:44" s="2216" customFormat="1">
      <c r="A68" s="2724"/>
      <c r="B68" s="2143"/>
      <c r="C68" s="2143"/>
      <c r="D68" s="2658"/>
      <c r="E68" s="2143"/>
      <c r="F68" s="2143"/>
      <c r="G68" s="2143"/>
      <c r="H68" s="2143"/>
      <c r="I68" s="2143"/>
      <c r="J68" s="2143"/>
      <c r="K68" s="2748"/>
      <c r="L68" s="2748"/>
      <c r="M68" s="2143"/>
      <c r="N68" s="2143"/>
      <c r="O68" s="2143"/>
      <c r="P68" s="2143"/>
      <c r="Q68" s="2143"/>
      <c r="R68" s="2143"/>
      <c r="S68" s="2143"/>
      <c r="T68" s="2143"/>
      <c r="U68" s="2143"/>
      <c r="V68" s="2143"/>
      <c r="W68" s="2143"/>
      <c r="X68" s="2143"/>
      <c r="Y68" s="2143"/>
      <c r="Z68" s="2143"/>
      <c r="AA68" s="2143"/>
      <c r="AB68" s="2143"/>
      <c r="AC68" s="2143"/>
      <c r="AD68" s="2143"/>
      <c r="AE68" s="2143"/>
      <c r="AF68" s="2143"/>
      <c r="AG68" s="2143"/>
      <c r="AH68" s="2143"/>
      <c r="AI68" s="2143"/>
      <c r="AJ68" s="2143"/>
      <c r="AK68" s="2143"/>
      <c r="AL68" s="2143"/>
      <c r="AM68" s="2143"/>
      <c r="AN68" s="2143"/>
      <c r="AO68" s="2143"/>
      <c r="AP68" s="2143"/>
      <c r="AQ68" s="2143"/>
      <c r="AR68" s="2143"/>
    </row>
    <row r="69" spans="1:44" s="2216" customFormat="1">
      <c r="A69" s="2525"/>
      <c r="D69" s="2813"/>
      <c r="K69" s="335"/>
      <c r="L69" s="335"/>
    </row>
    <row r="70" spans="1:44" s="2216" customFormat="1">
      <c r="A70" s="2525"/>
      <c r="D70" s="2813"/>
      <c r="K70" s="335"/>
      <c r="L70" s="335"/>
    </row>
    <row r="71" spans="1:44" s="2216" customFormat="1">
      <c r="A71" s="2525"/>
      <c r="D71" s="2813"/>
      <c r="K71" s="335"/>
      <c r="L71" s="335"/>
    </row>
    <row r="72" spans="1:44" s="2216" customFormat="1">
      <c r="A72" s="2525"/>
      <c r="D72" s="2813"/>
      <c r="K72" s="335"/>
      <c r="L72" s="335"/>
    </row>
    <row r="73" spans="1:44" s="2216" customFormat="1">
      <c r="A73" s="2525"/>
      <c r="D73" s="2813"/>
      <c r="K73" s="335"/>
      <c r="L73" s="335"/>
    </row>
    <row r="74" spans="1:44" s="2216" customFormat="1">
      <c r="A74" s="2525"/>
      <c r="D74" s="2813"/>
      <c r="K74" s="335"/>
      <c r="L74" s="335"/>
    </row>
    <row r="75" spans="1:44" s="2216" customFormat="1">
      <c r="A75" s="2525"/>
      <c r="D75" s="2813"/>
      <c r="K75" s="335"/>
      <c r="L75" s="335"/>
    </row>
    <row r="76" spans="1:44" s="2216" customFormat="1">
      <c r="A76" s="2525"/>
      <c r="D76" s="2813"/>
      <c r="K76" s="335"/>
      <c r="L76" s="335"/>
    </row>
    <row r="77" spans="1:44" s="2216" customFormat="1">
      <c r="A77" s="2525"/>
      <c r="D77" s="2813"/>
      <c r="K77" s="335"/>
      <c r="L77" s="335"/>
    </row>
    <row r="78" spans="1:44" s="2216" customFormat="1">
      <c r="A78" s="2525"/>
      <c r="D78" s="2813"/>
      <c r="K78" s="335"/>
      <c r="L78" s="335"/>
    </row>
    <row r="79" spans="1:44" s="2216" customFormat="1">
      <c r="A79" s="2525"/>
      <c r="D79" s="2813"/>
      <c r="K79" s="335"/>
      <c r="L79" s="335"/>
    </row>
    <row r="80" spans="1:44" s="2216" customFormat="1">
      <c r="A80" s="2525"/>
      <c r="D80" s="2813"/>
      <c r="K80" s="335"/>
      <c r="L80" s="335"/>
    </row>
    <row r="81" spans="1:12" s="2216" customFormat="1">
      <c r="A81" s="2525"/>
      <c r="D81" s="2813"/>
      <c r="K81" s="335"/>
      <c r="L81" s="335"/>
    </row>
    <row r="82" spans="1:12" s="2216" customFormat="1">
      <c r="A82" s="2525"/>
      <c r="D82" s="2813"/>
      <c r="K82" s="335"/>
      <c r="L82" s="335"/>
    </row>
    <row r="83" spans="1:12" s="2216" customFormat="1">
      <c r="A83" s="2525"/>
      <c r="D83" s="2813"/>
      <c r="K83" s="335"/>
      <c r="L83" s="335"/>
    </row>
    <row r="84" spans="1:12" s="2216" customFormat="1">
      <c r="A84" s="2525"/>
      <c r="D84" s="2813"/>
      <c r="K84" s="335"/>
      <c r="L84" s="335"/>
    </row>
    <row r="85" spans="1:12" s="2216" customFormat="1">
      <c r="A85" s="2525"/>
      <c r="D85" s="2813"/>
      <c r="K85" s="335"/>
      <c r="L85" s="335"/>
    </row>
    <row r="86" spans="1:12" s="2216" customFormat="1">
      <c r="A86" s="2525"/>
      <c r="D86" s="2813"/>
      <c r="K86" s="335"/>
      <c r="L86" s="335"/>
    </row>
    <row r="87" spans="1:12" s="2216" customFormat="1">
      <c r="A87" s="2525"/>
      <c r="D87" s="2813"/>
      <c r="K87" s="335"/>
      <c r="L87" s="335"/>
    </row>
    <row r="88" spans="1:12" s="2216" customFormat="1">
      <c r="A88" s="2525"/>
      <c r="D88" s="2813"/>
      <c r="K88" s="335"/>
      <c r="L88" s="335"/>
    </row>
    <row r="89" spans="1:12" s="2216" customFormat="1">
      <c r="A89" s="2525"/>
      <c r="D89" s="2813"/>
      <c r="K89" s="335"/>
      <c r="L89" s="335"/>
    </row>
    <row r="90" spans="1:12" s="2216" customFormat="1">
      <c r="A90" s="2525"/>
      <c r="D90" s="2813"/>
      <c r="K90" s="335"/>
      <c r="L90" s="335"/>
    </row>
    <row r="91" spans="1:12" s="2216" customFormat="1">
      <c r="A91" s="2525"/>
      <c r="D91" s="2813"/>
      <c r="K91" s="335"/>
      <c r="L91" s="335"/>
    </row>
    <row r="92" spans="1:12" s="2216" customFormat="1">
      <c r="A92" s="2525"/>
      <c r="D92" s="2813"/>
      <c r="K92" s="335"/>
      <c r="L92" s="335"/>
    </row>
    <row r="93" spans="1:12" s="2216" customFormat="1">
      <c r="A93" s="2525"/>
      <c r="D93" s="2813"/>
      <c r="K93" s="335"/>
      <c r="L93" s="335"/>
    </row>
    <row r="94" spans="1:12" s="2216" customFormat="1">
      <c r="A94" s="2525"/>
      <c r="D94" s="2813"/>
      <c r="K94" s="335"/>
      <c r="L94" s="335"/>
    </row>
    <row r="95" spans="1:12" s="2216" customFormat="1">
      <c r="A95" s="2525"/>
      <c r="D95" s="2813"/>
      <c r="K95" s="335"/>
      <c r="L95" s="335"/>
    </row>
    <row r="96" spans="1:12" s="2216" customFormat="1">
      <c r="A96" s="2525"/>
      <c r="D96" s="2813"/>
      <c r="K96" s="335"/>
      <c r="L96" s="335"/>
    </row>
    <row r="97" spans="1:12" s="2216" customFormat="1">
      <c r="A97" s="2525"/>
      <c r="D97" s="2813"/>
      <c r="K97" s="335"/>
      <c r="L97" s="335"/>
    </row>
    <row r="98" spans="1:12" s="2216" customFormat="1">
      <c r="A98" s="2525"/>
      <c r="D98" s="2813"/>
      <c r="K98" s="335"/>
      <c r="L98" s="335"/>
    </row>
    <row r="99" spans="1:12" s="2216" customFormat="1">
      <c r="A99" s="2525"/>
      <c r="D99" s="2813"/>
      <c r="K99" s="335"/>
      <c r="L99" s="335"/>
    </row>
    <row r="100" spans="1:12" s="2216" customFormat="1">
      <c r="A100" s="2525"/>
      <c r="D100" s="2813"/>
      <c r="K100" s="335"/>
      <c r="L100" s="335"/>
    </row>
    <row r="101" spans="1:12" s="2216" customFormat="1">
      <c r="A101" s="2525"/>
      <c r="D101" s="2813"/>
      <c r="K101" s="335"/>
      <c r="L101" s="335"/>
    </row>
    <row r="102" spans="1:12" s="2216" customFormat="1">
      <c r="A102" s="2525"/>
      <c r="D102" s="2813"/>
      <c r="K102" s="335"/>
      <c r="L102" s="335"/>
    </row>
    <row r="103" spans="1:12" s="2216" customFormat="1">
      <c r="A103" s="2525"/>
      <c r="D103" s="2813"/>
      <c r="K103" s="335"/>
      <c r="L103" s="335"/>
    </row>
    <row r="104" spans="1:12" s="2216" customFormat="1">
      <c r="A104" s="2525"/>
      <c r="D104" s="2813"/>
      <c r="K104" s="335"/>
      <c r="L104" s="335"/>
    </row>
    <row r="105" spans="1:12" s="2216" customFormat="1">
      <c r="A105" s="2525"/>
      <c r="D105" s="2813"/>
      <c r="K105" s="335"/>
      <c r="L105" s="335"/>
    </row>
    <row r="106" spans="1:12" s="2216" customFormat="1">
      <c r="A106" s="2525"/>
      <c r="D106" s="2813"/>
      <c r="K106" s="335"/>
      <c r="L106" s="335"/>
    </row>
    <row r="107" spans="1:12" s="2216" customFormat="1">
      <c r="A107" s="2525"/>
      <c r="D107" s="2813"/>
      <c r="K107" s="335"/>
      <c r="L107" s="335"/>
    </row>
    <row r="108" spans="1:12" s="2216" customFormat="1">
      <c r="A108" s="2525"/>
      <c r="D108" s="2813"/>
      <c r="K108" s="335"/>
      <c r="L108" s="335"/>
    </row>
    <row r="109" spans="1:12" s="2216" customFormat="1">
      <c r="A109" s="2525"/>
      <c r="D109" s="2813"/>
      <c r="K109" s="335"/>
      <c r="L109" s="335"/>
    </row>
    <row r="110" spans="1:12" s="2216" customFormat="1">
      <c r="A110" s="2525"/>
      <c r="D110" s="2813"/>
      <c r="K110" s="335"/>
      <c r="L110" s="335"/>
    </row>
    <row r="111" spans="1:12" s="2216" customFormat="1">
      <c r="A111" s="2525"/>
      <c r="D111" s="2813"/>
      <c r="K111" s="335"/>
      <c r="L111" s="335"/>
    </row>
    <row r="112" spans="1:12" s="2216" customFormat="1">
      <c r="A112" s="2525"/>
      <c r="D112" s="2813"/>
      <c r="K112" s="335"/>
      <c r="L112" s="335"/>
    </row>
    <row r="113" spans="1:12" s="2216" customFormat="1">
      <c r="A113" s="2525"/>
      <c r="D113" s="2813"/>
      <c r="K113" s="335"/>
      <c r="L113" s="335"/>
    </row>
    <row r="114" spans="1:12" s="2216" customFormat="1">
      <c r="A114" s="2525"/>
      <c r="D114" s="2813"/>
      <c r="K114" s="335"/>
      <c r="L114" s="335"/>
    </row>
    <row r="115" spans="1:12" s="2216" customFormat="1">
      <c r="A115" s="2525"/>
      <c r="D115" s="2813"/>
      <c r="K115" s="335"/>
      <c r="L115" s="335"/>
    </row>
    <row r="116" spans="1:12" s="2216" customFormat="1">
      <c r="A116" s="2525"/>
      <c r="D116" s="2813"/>
      <c r="K116" s="335"/>
      <c r="L116" s="335"/>
    </row>
    <row r="117" spans="1:12" s="2216" customFormat="1">
      <c r="A117" s="2525"/>
      <c r="D117" s="2813"/>
      <c r="K117" s="335"/>
      <c r="L117" s="335"/>
    </row>
    <row r="118" spans="1:12" s="2216" customFormat="1">
      <c r="A118" s="2525"/>
      <c r="D118" s="2813"/>
      <c r="K118" s="335"/>
      <c r="L118" s="335"/>
    </row>
    <row r="119" spans="1:12" s="2216" customFormat="1">
      <c r="A119" s="2525"/>
      <c r="D119" s="2813"/>
      <c r="K119" s="335"/>
      <c r="L119" s="335"/>
    </row>
    <row r="120" spans="1:12" s="2216" customFormat="1">
      <c r="A120" s="2525"/>
      <c r="D120" s="2813"/>
      <c r="K120" s="335"/>
      <c r="L120" s="335"/>
    </row>
    <row r="121" spans="1:12" s="2216" customFormat="1">
      <c r="A121" s="2525"/>
      <c r="D121" s="2813"/>
      <c r="K121" s="335"/>
      <c r="L121" s="335"/>
    </row>
    <row r="122" spans="1:12" s="2216" customFormat="1">
      <c r="A122" s="2525"/>
      <c r="D122" s="2813"/>
      <c r="K122" s="335"/>
      <c r="L122" s="335"/>
    </row>
    <row r="123" spans="1:12" s="2216" customFormat="1">
      <c r="A123" s="2525"/>
      <c r="D123" s="2813"/>
      <c r="K123" s="335"/>
      <c r="L123" s="335"/>
    </row>
    <row r="124" spans="1:12" s="2216" customFormat="1">
      <c r="A124" s="2525"/>
      <c r="D124" s="2813"/>
      <c r="K124" s="335"/>
      <c r="L124" s="335"/>
    </row>
    <row r="125" spans="1:12" s="2216" customFormat="1">
      <c r="A125" s="2525"/>
      <c r="D125" s="2813"/>
      <c r="K125" s="335"/>
      <c r="L125" s="335"/>
    </row>
    <row r="126" spans="1:12" s="2216" customFormat="1">
      <c r="A126" s="2525"/>
      <c r="D126" s="2813"/>
      <c r="K126" s="335"/>
      <c r="L126" s="335"/>
    </row>
    <row r="127" spans="1:12" s="2216" customFormat="1">
      <c r="A127" s="2525"/>
      <c r="D127" s="2813"/>
      <c r="K127" s="335"/>
      <c r="L127" s="335"/>
    </row>
    <row r="128" spans="1:12" s="2216" customFormat="1">
      <c r="A128" s="2525"/>
      <c r="D128" s="2813"/>
      <c r="K128" s="335"/>
      <c r="L128" s="335"/>
    </row>
    <row r="129" spans="1:12" s="2216" customFormat="1">
      <c r="A129" s="2525"/>
      <c r="D129" s="2813"/>
      <c r="K129" s="335"/>
      <c r="L129" s="335"/>
    </row>
    <row r="130" spans="1:12" s="2216" customFormat="1">
      <c r="A130" s="2525"/>
      <c r="D130" s="2813"/>
      <c r="K130" s="335"/>
      <c r="L130" s="335"/>
    </row>
    <row r="131" spans="1:12" s="2216" customFormat="1">
      <c r="A131" s="2525"/>
      <c r="D131" s="2813"/>
      <c r="K131" s="335"/>
      <c r="L131" s="335"/>
    </row>
    <row r="132" spans="1:12" s="2216" customFormat="1">
      <c r="A132" s="2525"/>
      <c r="D132" s="2813"/>
      <c r="K132" s="335"/>
      <c r="L132" s="335"/>
    </row>
    <row r="133" spans="1:12" s="2216" customFormat="1">
      <c r="A133" s="2525"/>
      <c r="D133" s="2813"/>
      <c r="K133" s="335"/>
      <c r="L133" s="335"/>
    </row>
    <row r="134" spans="1:12" s="2617" customFormat="1">
      <c r="A134" s="2814"/>
      <c r="D134" s="2815"/>
      <c r="K134" s="237"/>
      <c r="L134" s="237"/>
    </row>
    <row r="135" spans="1:12" s="2617" customFormat="1">
      <c r="A135" s="2814"/>
      <c r="D135" s="2815"/>
      <c r="K135" s="237"/>
      <c r="L135" s="237"/>
    </row>
    <row r="136" spans="1:12" s="2617" customFormat="1">
      <c r="A136" s="2814"/>
      <c r="D136" s="2815"/>
      <c r="K136" s="237"/>
      <c r="L136" s="237"/>
    </row>
    <row r="137" spans="1:12" s="2617" customFormat="1">
      <c r="A137" s="2814"/>
      <c r="D137" s="2815"/>
      <c r="K137" s="237"/>
      <c r="L137" s="237"/>
    </row>
    <row r="138" spans="1:12" s="2617" customFormat="1">
      <c r="A138" s="2814"/>
      <c r="D138" s="2815"/>
      <c r="K138" s="237"/>
      <c r="L138" s="237"/>
    </row>
    <row r="139" spans="1:12" s="2617" customFormat="1">
      <c r="A139" s="2814"/>
      <c r="D139" s="2815"/>
      <c r="K139" s="237"/>
      <c r="L139" s="237"/>
    </row>
    <row r="140" spans="1:12" s="2617" customFormat="1">
      <c r="A140" s="2814"/>
      <c r="D140" s="2815"/>
      <c r="K140" s="237"/>
      <c r="L140" s="237"/>
    </row>
    <row r="141" spans="1:12" s="2617" customFormat="1">
      <c r="A141" s="2814"/>
      <c r="D141" s="2815"/>
      <c r="K141" s="237"/>
      <c r="L141" s="237"/>
    </row>
    <row r="142" spans="1:12" s="2617" customFormat="1">
      <c r="A142" s="2814"/>
      <c r="D142" s="2815"/>
      <c r="K142" s="237"/>
      <c r="L142" s="237"/>
    </row>
    <row r="143" spans="1:12" s="2617" customFormat="1">
      <c r="A143" s="2814"/>
      <c r="D143" s="2815"/>
      <c r="K143" s="237"/>
      <c r="L143" s="237"/>
    </row>
    <row r="144" spans="1:12" s="2617" customFormat="1">
      <c r="A144" s="2814"/>
      <c r="D144" s="2815"/>
      <c r="K144" s="237"/>
      <c r="L144" s="237"/>
    </row>
    <row r="145" spans="1:12" s="2617" customFormat="1">
      <c r="A145" s="2814"/>
      <c r="D145" s="2815"/>
      <c r="K145" s="237"/>
      <c r="L145" s="237"/>
    </row>
    <row r="146" spans="1:12" s="2617" customFormat="1">
      <c r="A146" s="2814"/>
      <c r="D146" s="2815"/>
      <c r="K146" s="237"/>
      <c r="L146" s="237"/>
    </row>
    <row r="147" spans="1:12" s="2617" customFormat="1">
      <c r="A147" s="2814"/>
      <c r="D147" s="2815"/>
      <c r="K147" s="237"/>
      <c r="L147" s="237"/>
    </row>
    <row r="148" spans="1:12" s="2617" customFormat="1">
      <c r="A148" s="2814"/>
      <c r="D148" s="2815"/>
      <c r="K148" s="237"/>
      <c r="L148" s="237"/>
    </row>
    <row r="149" spans="1:12" s="2617" customFormat="1">
      <c r="A149" s="2814"/>
      <c r="D149" s="2815"/>
      <c r="K149" s="237"/>
      <c r="L149" s="237"/>
    </row>
    <row r="150" spans="1:12" s="2617" customFormat="1">
      <c r="A150" s="2814"/>
      <c r="D150" s="2815"/>
      <c r="K150" s="237"/>
      <c r="L150" s="237"/>
    </row>
    <row r="151" spans="1:12" s="2617" customFormat="1">
      <c r="A151" s="2814"/>
      <c r="D151" s="2815"/>
      <c r="K151" s="237"/>
      <c r="L151" s="237"/>
    </row>
    <row r="152" spans="1:12" s="2617" customFormat="1">
      <c r="A152" s="2814"/>
      <c r="D152" s="2815"/>
      <c r="K152" s="237"/>
      <c r="L152" s="237"/>
    </row>
    <row r="153" spans="1:12" s="2617" customFormat="1">
      <c r="A153" s="2814"/>
      <c r="D153" s="2815"/>
      <c r="K153" s="237"/>
      <c r="L153" s="237"/>
    </row>
    <row r="154" spans="1:12" s="2617" customFormat="1">
      <c r="A154" s="2814"/>
      <c r="D154" s="2815"/>
      <c r="K154" s="237"/>
      <c r="L154" s="237"/>
    </row>
    <row r="155" spans="1:12" s="2617" customFormat="1">
      <c r="A155" s="2814"/>
      <c r="D155" s="2815"/>
      <c r="K155" s="237"/>
      <c r="L155" s="237"/>
    </row>
    <row r="156" spans="1:12" s="2617" customFormat="1">
      <c r="A156" s="2814"/>
      <c r="D156" s="2815"/>
      <c r="K156" s="237"/>
      <c r="L156" s="237"/>
    </row>
    <row r="157" spans="1:12" s="2617" customFormat="1">
      <c r="A157" s="2814"/>
      <c r="D157" s="2815"/>
      <c r="K157" s="237"/>
      <c r="L157" s="237"/>
    </row>
    <row r="158" spans="1:12" s="2617" customFormat="1">
      <c r="A158" s="2814"/>
      <c r="D158" s="2815"/>
      <c r="K158" s="237"/>
      <c r="L158" s="237"/>
    </row>
    <row r="159" spans="1:12" s="2617" customFormat="1">
      <c r="A159" s="2814"/>
      <c r="D159" s="2815"/>
      <c r="K159" s="237"/>
      <c r="L159" s="237"/>
    </row>
    <row r="160" spans="1:12" s="2617" customFormat="1">
      <c r="A160" s="2814"/>
      <c r="D160" s="2815"/>
      <c r="K160" s="237"/>
      <c r="L160" s="237"/>
    </row>
    <row r="161" spans="1:12" s="2617" customFormat="1">
      <c r="A161" s="2814"/>
      <c r="D161" s="2815"/>
      <c r="K161" s="237"/>
      <c r="L161" s="237"/>
    </row>
    <row r="162" spans="1:12" s="2617" customFormat="1">
      <c r="A162" s="2814"/>
      <c r="D162" s="2815"/>
      <c r="K162" s="237"/>
      <c r="L162" s="237"/>
    </row>
    <row r="163" spans="1:12" s="2617" customFormat="1">
      <c r="A163" s="2814"/>
      <c r="D163" s="2815"/>
      <c r="K163" s="237"/>
      <c r="L163" s="237"/>
    </row>
    <row r="164" spans="1:12" s="2617" customFormat="1">
      <c r="A164" s="2814"/>
      <c r="D164" s="2815"/>
      <c r="K164" s="237"/>
      <c r="L164" s="237"/>
    </row>
    <row r="165" spans="1:12" s="2617" customFormat="1">
      <c r="A165" s="2814"/>
      <c r="D165" s="2815"/>
      <c r="K165" s="237"/>
      <c r="L165" s="237"/>
    </row>
    <row r="166" spans="1:12" s="2617" customFormat="1">
      <c r="A166" s="2814"/>
      <c r="D166" s="2815"/>
      <c r="K166" s="237"/>
      <c r="L166" s="237"/>
    </row>
    <row r="167" spans="1:12" s="2617" customFormat="1">
      <c r="A167" s="2814"/>
      <c r="D167" s="2815"/>
      <c r="K167" s="237"/>
      <c r="L167" s="237"/>
    </row>
    <row r="168" spans="1:12" s="2617" customFormat="1">
      <c r="A168" s="2814"/>
      <c r="D168" s="2815"/>
      <c r="K168" s="237"/>
      <c r="L168" s="237"/>
    </row>
    <row r="169" spans="1:12" s="2617" customFormat="1">
      <c r="A169" s="2814"/>
      <c r="D169" s="2815"/>
      <c r="K169" s="237"/>
      <c r="L169" s="237"/>
    </row>
    <row r="170" spans="1:12" s="2617" customFormat="1">
      <c r="A170" s="2814"/>
      <c r="D170" s="2815"/>
      <c r="K170" s="237"/>
      <c r="L170" s="237"/>
    </row>
    <row r="171" spans="1:12" s="2617" customFormat="1">
      <c r="A171" s="2814"/>
      <c r="D171" s="2815"/>
      <c r="K171" s="237"/>
      <c r="L171" s="237"/>
    </row>
    <row r="172" spans="1:12" s="2617" customFormat="1">
      <c r="A172" s="2814"/>
      <c r="D172" s="2815"/>
      <c r="K172" s="237"/>
      <c r="L172" s="237"/>
    </row>
    <row r="173" spans="1:12" s="2617" customFormat="1">
      <c r="A173" s="2814"/>
      <c r="D173" s="2815"/>
      <c r="K173" s="237"/>
      <c r="L173" s="237"/>
    </row>
    <row r="174" spans="1:12" s="2617" customFormat="1">
      <c r="A174" s="2814"/>
      <c r="D174" s="2815"/>
      <c r="K174" s="237"/>
      <c r="L174" s="237"/>
    </row>
  </sheetData>
  <sheetProtection password="CEE9" sheet="1" objects="1" scenarios="1" formatCells="0" formatColumns="0" formatRows="0"/>
  <phoneticPr fontId="228"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45" customWidth="1"/>
    <col min="2" max="2" width="24.5" style="2546" customWidth="1"/>
    <col min="3" max="3" width="24.5" style="2547" customWidth="1"/>
    <col min="4" max="4" width="2.625" style="2547" customWidth="1"/>
    <col min="5" max="5" width="5.875" style="2547" customWidth="1"/>
    <col min="6" max="6" width="27" style="2546" customWidth="1"/>
    <col min="7" max="7" width="27" style="2548" customWidth="1"/>
    <col min="8" max="8" width="11.875" style="2549" customWidth="1"/>
    <col min="9" max="9" width="16.75" style="2550" customWidth="1"/>
    <col min="10" max="10" width="2.625" style="2549" customWidth="1"/>
    <col min="11" max="11" width="11.875" style="2549" customWidth="1"/>
    <col min="12" max="12" width="16.75" style="2550" customWidth="1"/>
    <col min="13" max="13" width="2.625" style="2549" customWidth="1"/>
    <col min="14" max="14" width="11.875" style="2549" customWidth="1"/>
    <col min="15" max="15" width="16.75" style="2550" customWidth="1"/>
    <col min="16" max="16" width="2.625" style="2549" customWidth="1"/>
    <col min="17" max="17" width="11.875" style="2549" customWidth="1"/>
    <col min="18" max="18" width="16.75" style="2551" customWidth="1"/>
    <col min="19" max="29" width="9" style="2132"/>
    <col min="30" max="16384" width="9" style="2545"/>
  </cols>
  <sheetData>
    <row r="1" spans="1:29" s="2543" customFormat="1" ht="18">
      <c r="A1" s="3369" t="s">
        <v>645</v>
      </c>
      <c r="B1" s="3370"/>
      <c r="C1" s="3370"/>
      <c r="D1" s="3370"/>
      <c r="E1" s="3370"/>
      <c r="F1" s="3370"/>
      <c r="G1" s="3370"/>
      <c r="H1" s="2552"/>
      <c r="I1" s="2604"/>
      <c r="J1" s="2552"/>
      <c r="K1" s="2552"/>
      <c r="L1" s="2604"/>
      <c r="M1" s="2552"/>
      <c r="N1" s="2552"/>
      <c r="O1" s="2604"/>
      <c r="P1" s="2552"/>
      <c r="Q1" s="2611"/>
      <c r="R1" s="2612"/>
      <c r="S1" s="2613"/>
      <c r="T1" s="2613"/>
      <c r="U1" s="2613"/>
      <c r="V1" s="2613"/>
      <c r="W1" s="2613"/>
      <c r="X1" s="2613"/>
      <c r="Y1" s="2613"/>
      <c r="Z1" s="2613"/>
      <c r="AA1" s="2613"/>
      <c r="AB1" s="2613"/>
      <c r="AC1" s="2613"/>
    </row>
    <row r="2" spans="1:29">
      <c r="A2" s="2553"/>
      <c r="B2" s="2554"/>
      <c r="C2" s="2555" t="s">
        <v>646</v>
      </c>
      <c r="D2" s="2556"/>
      <c r="E2" s="2553"/>
      <c r="F2" s="2557"/>
      <c r="G2" s="2555" t="s">
        <v>647</v>
      </c>
      <c r="H2" s="2132"/>
      <c r="I2" s="2132"/>
      <c r="J2" s="2132"/>
      <c r="K2" s="2132"/>
      <c r="L2" s="2132"/>
      <c r="M2" s="2132"/>
      <c r="N2" s="2132"/>
      <c r="O2" s="2132"/>
      <c r="P2" s="2132"/>
      <c r="Q2" s="2132"/>
      <c r="R2" s="2132"/>
    </row>
    <row r="3" spans="1:29" ht="48">
      <c r="A3" s="2558" t="s">
        <v>648</v>
      </c>
      <c r="B3" s="2559" t="s">
        <v>649</v>
      </c>
      <c r="C3" s="2560" t="s">
        <v>650</v>
      </c>
      <c r="D3" s="2561"/>
      <c r="E3" s="2562" t="s">
        <v>648</v>
      </c>
      <c r="F3" s="2563" t="s">
        <v>651</v>
      </c>
      <c r="G3" s="2564" t="s">
        <v>652</v>
      </c>
      <c r="H3" s="2132"/>
      <c r="I3" s="2132"/>
      <c r="J3" s="2132"/>
      <c r="K3" s="2132"/>
      <c r="L3" s="2132"/>
      <c r="M3" s="2132"/>
      <c r="N3" s="2132"/>
      <c r="O3" s="2132"/>
      <c r="P3" s="2132"/>
      <c r="Q3" s="2132"/>
      <c r="R3" s="2132"/>
    </row>
    <row r="4" spans="1:29" ht="36.75">
      <c r="A4" s="2562"/>
      <c r="B4" s="1858" t="s">
        <v>653</v>
      </c>
      <c r="C4" s="2565" t="s">
        <v>654</v>
      </c>
      <c r="D4" s="2561"/>
      <c r="E4" s="2566"/>
      <c r="F4" s="2126" t="s">
        <v>655</v>
      </c>
      <c r="G4" s="2567" t="s">
        <v>656</v>
      </c>
      <c r="H4" s="2132"/>
      <c r="I4" s="2132"/>
      <c r="J4" s="2132"/>
      <c r="K4" s="2132"/>
      <c r="L4" s="2132"/>
      <c r="M4" s="2132"/>
      <c r="N4" s="2132"/>
      <c r="O4" s="2132"/>
      <c r="P4" s="2132"/>
      <c r="Q4" s="2132"/>
      <c r="R4" s="2132"/>
    </row>
    <row r="5" spans="1:29" ht="36.75">
      <c r="A5" s="2562"/>
      <c r="B5" s="1858" t="s">
        <v>657</v>
      </c>
      <c r="C5" s="2565" t="s">
        <v>658</v>
      </c>
      <c r="D5" s="2561"/>
      <c r="E5" s="2566"/>
      <c r="F5" s="1858" t="s">
        <v>453</v>
      </c>
      <c r="G5" s="2567" t="s">
        <v>659</v>
      </c>
      <c r="H5" s="2132"/>
      <c r="I5" s="2132"/>
      <c r="J5" s="2132"/>
      <c r="K5" s="2132"/>
      <c r="L5" s="2132"/>
      <c r="M5" s="2132"/>
      <c r="N5" s="2132"/>
      <c r="O5" s="2132"/>
      <c r="P5" s="2132"/>
      <c r="Q5" s="2132"/>
      <c r="R5" s="2132"/>
    </row>
    <row r="6" spans="1:29" ht="36">
      <c r="A6" s="2562"/>
      <c r="B6" s="1858" t="s">
        <v>655</v>
      </c>
      <c r="C6" s="2567" t="s">
        <v>656</v>
      </c>
      <c r="D6" s="2561"/>
      <c r="E6" s="2566"/>
      <c r="F6" s="1858" t="s">
        <v>660</v>
      </c>
      <c r="G6" s="2567" t="s">
        <v>661</v>
      </c>
      <c r="H6" s="2132"/>
      <c r="I6" s="2132"/>
      <c r="J6" s="2132"/>
      <c r="K6" s="2132"/>
      <c r="L6" s="2132"/>
      <c r="M6" s="2132"/>
      <c r="N6" s="2132"/>
      <c r="O6" s="2132"/>
      <c r="P6" s="2132"/>
      <c r="Q6" s="2132"/>
      <c r="R6" s="2132"/>
    </row>
    <row r="7" spans="1:29" ht="24">
      <c r="A7" s="2562"/>
      <c r="B7" s="1858" t="s">
        <v>453</v>
      </c>
      <c r="C7" s="2567" t="s">
        <v>659</v>
      </c>
      <c r="D7" s="2568"/>
      <c r="E7" s="2569"/>
      <c r="F7" s="2570" t="s">
        <v>662</v>
      </c>
      <c r="G7" s="2571" t="s">
        <v>663</v>
      </c>
      <c r="H7" s="2132"/>
      <c r="I7" s="2132"/>
      <c r="J7" s="2132"/>
      <c r="K7" s="2132"/>
      <c r="L7" s="2132"/>
      <c r="M7" s="2132"/>
      <c r="N7" s="2132"/>
      <c r="O7" s="2132"/>
      <c r="P7" s="2132"/>
      <c r="Q7" s="2132"/>
      <c r="R7" s="2132"/>
    </row>
    <row r="8" spans="1:29">
      <c r="A8" s="2562"/>
      <c r="B8" s="1858" t="s">
        <v>660</v>
      </c>
      <c r="C8" s="2567" t="s">
        <v>661</v>
      </c>
      <c r="D8" s="2568"/>
      <c r="E8" s="2568"/>
      <c r="F8" s="1979"/>
      <c r="G8" s="1979"/>
      <c r="H8" s="2132"/>
      <c r="I8" s="2132"/>
      <c r="J8" s="2132"/>
      <c r="K8" s="2132"/>
      <c r="L8" s="2132"/>
      <c r="M8" s="2132"/>
      <c r="N8" s="2132"/>
      <c r="O8" s="2132"/>
      <c r="P8" s="2132"/>
      <c r="Q8" s="2132"/>
      <c r="R8" s="2132"/>
    </row>
    <row r="9" spans="1:29" ht="24">
      <c r="A9" s="2562"/>
      <c r="B9" s="1858" t="s">
        <v>664</v>
      </c>
      <c r="C9" s="2565" t="s">
        <v>665</v>
      </c>
      <c r="D9" s="2561"/>
      <c r="E9" s="2568"/>
      <c r="F9" s="1979"/>
      <c r="G9" s="1979"/>
      <c r="H9" s="2132"/>
      <c r="I9" s="2132"/>
      <c r="J9" s="2132"/>
      <c r="K9" s="2132"/>
      <c r="L9" s="2132"/>
      <c r="M9" s="2132"/>
      <c r="N9" s="2132"/>
      <c r="O9" s="2132"/>
      <c r="P9" s="2132"/>
      <c r="Q9" s="2132"/>
      <c r="R9" s="2132"/>
    </row>
    <row r="10" spans="1:29" s="2544" customFormat="1">
      <c r="A10" s="2572"/>
      <c r="B10" s="2573" t="s">
        <v>666</v>
      </c>
      <c r="C10" s="2574"/>
      <c r="D10" s="2561"/>
      <c r="E10" s="2561"/>
      <c r="F10" s="1979"/>
      <c r="G10" s="1979"/>
      <c r="H10" s="2575"/>
      <c r="I10" s="2605"/>
      <c r="J10" s="2606"/>
      <c r="K10" s="2575"/>
      <c r="L10" s="2605"/>
      <c r="M10" s="2606"/>
      <c r="N10" s="2575"/>
      <c r="O10" s="2605"/>
      <c r="P10" s="2606"/>
      <c r="Q10" s="2575"/>
      <c r="R10" s="2605"/>
      <c r="S10" s="2132"/>
      <c r="T10" s="2132"/>
      <c r="U10" s="2132"/>
      <c r="V10" s="2132"/>
      <c r="W10" s="2132"/>
      <c r="X10" s="2132"/>
      <c r="Y10" s="2132"/>
      <c r="Z10" s="2132"/>
      <c r="AA10" s="2132"/>
      <c r="AB10" s="2132"/>
      <c r="AC10" s="2132"/>
    </row>
    <row r="11" spans="1:29" s="2544" customFormat="1">
      <c r="A11" s="2576"/>
      <c r="B11" s="2568"/>
      <c r="C11" s="2561"/>
      <c r="D11" s="2561"/>
      <c r="E11" s="2561"/>
      <c r="F11" s="2568"/>
      <c r="G11" s="2577"/>
      <c r="H11" s="2575"/>
      <c r="I11" s="2605"/>
      <c r="J11" s="2606"/>
      <c r="K11" s="2575"/>
      <c r="L11" s="2605"/>
      <c r="M11" s="2606"/>
      <c r="N11" s="2575"/>
      <c r="O11" s="2605"/>
      <c r="P11" s="2606"/>
      <c r="Q11" s="2575"/>
      <c r="R11" s="2605"/>
      <c r="S11" s="2132"/>
      <c r="T11" s="2132"/>
      <c r="U11" s="2132"/>
      <c r="V11" s="2132"/>
      <c r="W11" s="2132"/>
      <c r="X11" s="2132"/>
      <c r="Y11" s="2132"/>
      <c r="Z11" s="2132"/>
      <c r="AA11" s="2132"/>
      <c r="AB11" s="2132"/>
      <c r="AC11" s="2132"/>
    </row>
    <row r="12" spans="1:29" s="2543" customFormat="1" ht="18">
      <c r="A12" s="2576"/>
      <c r="B12" s="2568"/>
      <c r="C12" s="2561"/>
      <c r="D12" s="2578"/>
      <c r="E12" s="2561"/>
      <c r="F12" s="2568"/>
      <c r="G12" s="2577"/>
      <c r="H12" s="2579"/>
      <c r="I12" s="2607"/>
      <c r="J12" s="2579"/>
      <c r="K12" s="2579"/>
      <c r="L12" s="2608"/>
      <c r="M12" s="2579"/>
      <c r="N12" s="2609"/>
      <c r="O12" s="2610"/>
      <c r="P12" s="2609"/>
      <c r="Q12" s="2609"/>
      <c r="R12" s="2612"/>
      <c r="S12" s="2613"/>
      <c r="T12" s="2613"/>
      <c r="U12" s="2613"/>
      <c r="V12" s="2613"/>
      <c r="W12" s="2613"/>
      <c r="X12" s="2613"/>
      <c r="Y12" s="2613"/>
      <c r="Z12" s="2613"/>
      <c r="AA12" s="2613"/>
      <c r="AB12" s="2613"/>
      <c r="AC12" s="2613"/>
    </row>
    <row r="13" spans="1:29" ht="15">
      <c r="A13" s="2580" t="s">
        <v>667</v>
      </c>
      <c r="B13" s="2578"/>
      <c r="C13" s="2578"/>
      <c r="D13" s="2576"/>
      <c r="E13" s="2578"/>
      <c r="F13" s="2578"/>
      <c r="G13" s="2578"/>
    </row>
    <row r="14" spans="1:29">
      <c r="A14" s="2581"/>
      <c r="B14" s="2581"/>
      <c r="C14" s="2582" t="s">
        <v>646</v>
      </c>
      <c r="D14" s="2561"/>
      <c r="E14" s="2583"/>
      <c r="F14" s="2583"/>
      <c r="G14" s="2555" t="s">
        <v>647</v>
      </c>
    </row>
    <row r="15" spans="1:29" ht="51">
      <c r="A15" s="2584" t="s">
        <v>648</v>
      </c>
      <c r="B15" s="2585" t="s">
        <v>649</v>
      </c>
      <c r="C15" s="2586" t="str">
        <f>C3</f>
        <v>估价对象周边居住用地比例、居住小区规模和社区发展完善程度，综合评价居住社区成熟度一般</v>
      </c>
      <c r="D15" s="2561"/>
      <c r="E15" s="2587" t="s">
        <v>648</v>
      </c>
      <c r="F15" s="2585" t="s">
        <v>651</v>
      </c>
      <c r="G15" s="2588" t="str">
        <f>G3</f>
        <v>估价对象位于XX开发区，园区建设成熟度XX，产业集聚程度XX</v>
      </c>
    </row>
    <row r="16" spans="1:29" ht="38.25">
      <c r="A16" s="2589"/>
      <c r="B16" s="2590" t="s">
        <v>653</v>
      </c>
      <c r="C16" s="2591" t="str">
        <f>C4</f>
        <v>估价对象位于XX商圈，周边商业氛围成熟，人流量大，商业繁华度好</v>
      </c>
      <c r="D16" s="2561"/>
      <c r="E16" s="2592"/>
      <c r="F16" s="2593" t="s">
        <v>655</v>
      </c>
      <c r="G16" s="2594" t="str">
        <f>G4</f>
        <v>估价对象周边道路状况、公共交通通达情况、停车便捷程度，综合评价交通便捷度较好</v>
      </c>
    </row>
    <row r="17" spans="1:18" ht="38.25">
      <c r="A17" s="2589"/>
      <c r="B17" s="2590" t="s">
        <v>657</v>
      </c>
      <c r="C17" s="2591" t="str">
        <f>C5</f>
        <v>估价对象位于XX商圈，周边办公楼项目较多，入驻率高，办公集聚程度较好</v>
      </c>
      <c r="D17" s="2568"/>
      <c r="E17" s="2592"/>
      <c r="F17" s="2593" t="s">
        <v>668</v>
      </c>
      <c r="G17" s="2595"/>
    </row>
    <row r="18" spans="1:18" ht="38.25">
      <c r="A18" s="2589"/>
      <c r="B18" s="2593" t="s">
        <v>655</v>
      </c>
      <c r="C18" s="2594" t="str">
        <f>C6</f>
        <v>估价对象周边道路状况、公共交通通达情况、停车便捷程度，综合评价交通便捷度较好</v>
      </c>
      <c r="D18" s="2568"/>
      <c r="E18" s="2592"/>
      <c r="F18" s="2593" t="s">
        <v>662</v>
      </c>
      <c r="G18" s="2594" t="str">
        <f>G7</f>
        <v>该园区内是否有污染型企业，绿化情况，卫生条件，整体环境状况判断</v>
      </c>
    </row>
    <row r="19" spans="1:18" ht="25.5">
      <c r="A19" s="2589"/>
      <c r="B19" s="2593" t="s">
        <v>668</v>
      </c>
      <c r="C19" s="2595"/>
      <c r="D19" s="2561"/>
      <c r="E19" s="2592"/>
      <c r="F19" s="1858" t="s">
        <v>453</v>
      </c>
      <c r="G19" s="2594" t="str">
        <f>G5</f>
        <v>估价对象所在区域公共配套设施齐备情况</v>
      </c>
    </row>
    <row r="20" spans="1:18" ht="25.5">
      <c r="A20" s="2589"/>
      <c r="B20" s="2593" t="s">
        <v>669</v>
      </c>
      <c r="C20" s="2591" t="str">
        <f>C9</f>
        <v>区域自然环境：；人文环境；综合评价环境状况一般</v>
      </c>
      <c r="D20" s="2568"/>
      <c r="E20" s="2592"/>
      <c r="F20" s="1858" t="s">
        <v>660</v>
      </c>
      <c r="G20" s="2594" t="str">
        <f>G6</f>
        <v>估价对象所在区域基础设施水平</v>
      </c>
    </row>
    <row r="21" spans="1:18" ht="25.5">
      <c r="A21" s="2589"/>
      <c r="B21" s="1858" t="s">
        <v>453</v>
      </c>
      <c r="C21" s="2594" t="str">
        <f>C7</f>
        <v>估价对象所在区域公共配套设施齐备情况</v>
      </c>
      <c r="D21" s="2561"/>
      <c r="E21" s="2592"/>
      <c r="F21" s="2593" t="s">
        <v>670</v>
      </c>
      <c r="G21" s="2596"/>
    </row>
    <row r="22" spans="1:18" ht="13.5" customHeight="1">
      <c r="A22" s="2589"/>
      <c r="B22" s="1858" t="s">
        <v>660</v>
      </c>
      <c r="C22" s="2594" t="str">
        <f>C8</f>
        <v>估价对象所在区域基础设施水平</v>
      </c>
      <c r="D22" s="2561"/>
      <c r="E22" s="2592"/>
      <c r="F22" s="2593" t="s">
        <v>666</v>
      </c>
      <c r="G22" s="2595"/>
    </row>
    <row r="23" spans="1:18" s="2132" customFormat="1">
      <c r="A23" s="2589"/>
      <c r="B23" s="2593" t="s">
        <v>670</v>
      </c>
      <c r="C23" s="2596"/>
      <c r="D23" s="2525"/>
      <c r="E23" s="2597"/>
      <c r="F23" s="2598" t="s">
        <v>400</v>
      </c>
      <c r="G23" s="2599"/>
      <c r="H23" s="2549"/>
      <c r="I23" s="2550"/>
      <c r="J23" s="2549"/>
      <c r="K23" s="2549"/>
      <c r="L23" s="2550"/>
      <c r="M23" s="2549"/>
      <c r="N23" s="2549"/>
      <c r="O23" s="2550"/>
      <c r="P23" s="2549"/>
      <c r="Q23" s="2549"/>
      <c r="R23" s="2551"/>
    </row>
    <row r="24" spans="1:18" s="2132" customFormat="1">
      <c r="A24" s="2600"/>
      <c r="B24" s="2598" t="s">
        <v>666</v>
      </c>
      <c r="C24" s="2601">
        <f>C10</f>
        <v>0</v>
      </c>
      <c r="D24" s="2525"/>
      <c r="E24" s="2602"/>
      <c r="F24" s="2602"/>
      <c r="G24" s="2603"/>
      <c r="H24" s="2549"/>
      <c r="I24" s="2550"/>
      <c r="J24" s="2549"/>
      <c r="K24" s="2549"/>
      <c r="L24" s="2550"/>
      <c r="M24" s="2549"/>
      <c r="N24" s="2549"/>
      <c r="O24" s="2550"/>
      <c r="P24" s="2549"/>
      <c r="Q24" s="2549"/>
      <c r="R24" s="2551"/>
    </row>
    <row r="25" spans="1:18" s="2132" customFormat="1">
      <c r="B25" s="2549"/>
      <c r="C25" s="2549"/>
      <c r="D25" s="2549"/>
      <c r="H25" s="2549"/>
      <c r="I25" s="2550"/>
      <c r="J25" s="2549"/>
      <c r="K25" s="2549"/>
      <c r="L25" s="2550"/>
      <c r="M25" s="2549"/>
      <c r="N25" s="2549"/>
      <c r="O25" s="2550"/>
      <c r="P25" s="2549"/>
      <c r="Q25" s="2549"/>
      <c r="R25" s="2551"/>
    </row>
    <row r="26" spans="1:18" s="2132" customFormat="1">
      <c r="B26" s="2549"/>
      <c r="C26" s="2549"/>
      <c r="D26" s="2549"/>
      <c r="H26" s="2549"/>
      <c r="I26" s="2550"/>
      <c r="J26" s="2549"/>
      <c r="K26" s="2549"/>
      <c r="L26" s="2550"/>
      <c r="M26" s="2549"/>
      <c r="N26" s="2549"/>
      <c r="O26" s="2550"/>
      <c r="P26" s="2549"/>
      <c r="Q26" s="2549"/>
      <c r="R26" s="2551"/>
    </row>
    <row r="27" spans="1:18" s="2132" customFormat="1">
      <c r="B27" s="2549"/>
      <c r="C27" s="2549"/>
      <c r="D27" s="2549"/>
      <c r="H27" s="2549"/>
      <c r="I27" s="2550"/>
      <c r="J27" s="2549"/>
      <c r="K27" s="2549"/>
      <c r="L27" s="2550"/>
      <c r="M27" s="2549"/>
      <c r="N27" s="2549"/>
      <c r="O27" s="2550"/>
      <c r="P27" s="2549"/>
      <c r="Q27" s="2549"/>
      <c r="R27" s="2551"/>
    </row>
    <row r="28" spans="1:18" s="2132" customFormat="1">
      <c r="B28" s="2549"/>
      <c r="C28" s="2549"/>
      <c r="D28" s="2549"/>
      <c r="H28" s="2549"/>
      <c r="I28" s="2550"/>
      <c r="J28" s="2549"/>
      <c r="K28" s="2549"/>
      <c r="L28" s="2550"/>
      <c r="M28" s="2549"/>
      <c r="N28" s="2549"/>
      <c r="O28" s="2550"/>
      <c r="P28" s="2549"/>
      <c r="Q28" s="2549"/>
      <c r="R28" s="2551"/>
    </row>
    <row r="29" spans="1:18" s="2132" customFormat="1">
      <c r="B29" s="2549"/>
      <c r="C29" s="2549"/>
      <c r="D29" s="2549"/>
      <c r="H29" s="2549"/>
      <c r="I29" s="2550"/>
      <c r="J29" s="2549"/>
      <c r="K29" s="2549"/>
      <c r="L29" s="2550"/>
      <c r="M29" s="2549"/>
      <c r="N29" s="2549"/>
      <c r="O29" s="2550"/>
      <c r="P29" s="2549"/>
      <c r="Q29" s="2549"/>
      <c r="R29" s="2551"/>
    </row>
    <row r="30" spans="1:18" s="2132" customFormat="1">
      <c r="B30" s="2549"/>
      <c r="C30" s="2549"/>
      <c r="D30" s="2549"/>
      <c r="H30" s="2549"/>
      <c r="I30" s="2550"/>
      <c r="J30" s="2549"/>
      <c r="K30" s="2549"/>
      <c r="L30" s="2550"/>
      <c r="M30" s="2549"/>
      <c r="N30" s="2549"/>
      <c r="O30" s="2550"/>
      <c r="P30" s="2549"/>
      <c r="Q30" s="2549"/>
      <c r="R30" s="2551"/>
    </row>
    <row r="31" spans="1:18" s="2132" customFormat="1">
      <c r="B31" s="2549"/>
      <c r="C31" s="2549"/>
      <c r="D31" s="2549"/>
      <c r="H31" s="2549"/>
      <c r="I31" s="2550"/>
      <c r="J31" s="2549"/>
      <c r="K31" s="2549"/>
      <c r="L31" s="2550"/>
      <c r="M31" s="2549"/>
      <c r="N31" s="2549"/>
      <c r="O31" s="2550"/>
      <c r="P31" s="2549"/>
      <c r="Q31" s="2549"/>
      <c r="R31" s="2551"/>
    </row>
    <row r="32" spans="1:18" s="2132" customFormat="1">
      <c r="B32" s="2549"/>
      <c r="C32" s="2549"/>
      <c r="D32" s="2549"/>
      <c r="H32" s="2549"/>
      <c r="I32" s="2550"/>
      <c r="J32" s="2549"/>
      <c r="K32" s="2549"/>
      <c r="L32" s="2550"/>
      <c r="M32" s="2549"/>
      <c r="N32" s="2549"/>
      <c r="O32" s="2550"/>
      <c r="P32" s="2549"/>
      <c r="Q32" s="2549"/>
      <c r="R32" s="2551"/>
    </row>
    <row r="33" spans="2:18" s="2132" customFormat="1">
      <c r="B33" s="2549"/>
      <c r="C33" s="2549"/>
      <c r="D33" s="2549"/>
      <c r="H33" s="2549"/>
      <c r="I33" s="2550"/>
      <c r="J33" s="2549"/>
      <c r="K33" s="2549"/>
      <c r="L33" s="2550"/>
      <c r="M33" s="2549"/>
      <c r="N33" s="2549"/>
      <c r="O33" s="2550"/>
      <c r="P33" s="2549"/>
      <c r="Q33" s="2549"/>
      <c r="R33" s="2551"/>
    </row>
    <row r="34" spans="2:18" s="2132" customFormat="1">
      <c r="B34" s="2549"/>
      <c r="C34" s="2549"/>
      <c r="D34" s="2549"/>
      <c r="H34" s="2549"/>
      <c r="I34" s="2550"/>
      <c r="J34" s="2549"/>
      <c r="K34" s="2549"/>
      <c r="L34" s="2550"/>
      <c r="M34" s="2549"/>
      <c r="N34" s="2549"/>
      <c r="O34" s="2550"/>
      <c r="P34" s="2549"/>
      <c r="Q34" s="2549"/>
      <c r="R34" s="2551"/>
    </row>
    <row r="35" spans="2:18" s="2132" customFormat="1">
      <c r="B35" s="2549"/>
      <c r="C35" s="2549"/>
      <c r="D35" s="2549"/>
      <c r="H35" s="2549"/>
      <c r="I35" s="2550"/>
      <c r="J35" s="2549"/>
      <c r="K35" s="2549"/>
      <c r="L35" s="2550"/>
      <c r="M35" s="2549"/>
      <c r="N35" s="2549"/>
      <c r="O35" s="2550"/>
      <c r="P35" s="2549"/>
      <c r="Q35" s="2549"/>
      <c r="R35" s="2551"/>
    </row>
    <row r="36" spans="2:18" s="2132" customFormat="1">
      <c r="B36" s="2549"/>
      <c r="C36" s="2549"/>
      <c r="D36" s="2549"/>
      <c r="H36" s="2549"/>
      <c r="I36" s="2550"/>
      <c r="J36" s="2549"/>
      <c r="K36" s="2549"/>
      <c r="L36" s="2550"/>
      <c r="M36" s="2549"/>
      <c r="N36" s="2549"/>
      <c r="O36" s="2550"/>
      <c r="P36" s="2549"/>
      <c r="Q36" s="2549"/>
      <c r="R36" s="2551"/>
    </row>
    <row r="37" spans="2:18" s="2132" customFormat="1">
      <c r="B37" s="2549"/>
      <c r="C37" s="2549"/>
      <c r="D37" s="2549"/>
      <c r="H37" s="2549"/>
      <c r="I37" s="2550"/>
      <c r="J37" s="2549"/>
      <c r="K37" s="2549"/>
      <c r="L37" s="2550"/>
      <c r="M37" s="2549"/>
      <c r="N37" s="2549"/>
      <c r="O37" s="2550"/>
      <c r="P37" s="2549"/>
      <c r="Q37" s="2549"/>
      <c r="R37" s="2551"/>
    </row>
    <row r="38" spans="2:18" s="2132" customFormat="1">
      <c r="B38" s="2549"/>
      <c r="C38" s="2549"/>
      <c r="D38" s="2549"/>
      <c r="E38" s="2549"/>
      <c r="F38" s="2549"/>
      <c r="G38" s="2550"/>
      <c r="H38" s="2549"/>
      <c r="I38" s="2550"/>
      <c r="J38" s="2549"/>
      <c r="K38" s="2549"/>
      <c r="L38" s="2550"/>
      <c r="M38" s="2549"/>
      <c r="N38" s="2549"/>
      <c r="O38" s="2550"/>
      <c r="P38" s="2549"/>
      <c r="Q38" s="2549"/>
      <c r="R38" s="2551"/>
    </row>
    <row r="39" spans="2:18" s="2132" customFormat="1">
      <c r="B39" s="2549"/>
      <c r="C39" s="2549"/>
      <c r="D39" s="2549"/>
      <c r="E39" s="2549"/>
      <c r="F39" s="2549"/>
      <c r="G39" s="2550"/>
      <c r="H39" s="2549"/>
      <c r="I39" s="2550"/>
      <c r="J39" s="2549"/>
      <c r="K39" s="2549"/>
      <c r="L39" s="2550"/>
      <c r="M39" s="2549"/>
      <c r="N39" s="2549"/>
      <c r="O39" s="2550"/>
      <c r="P39" s="2549"/>
      <c r="Q39" s="2549"/>
      <c r="R39" s="2551"/>
    </row>
    <row r="40" spans="2:18" s="2132" customFormat="1">
      <c r="B40" s="2549"/>
      <c r="C40" s="2549"/>
      <c r="D40" s="2549"/>
      <c r="E40" s="2549"/>
      <c r="F40" s="2549"/>
      <c r="G40" s="2550"/>
      <c r="H40" s="2549"/>
      <c r="I40" s="2550"/>
      <c r="J40" s="2549"/>
      <c r="K40" s="2549"/>
      <c r="L40" s="2550"/>
      <c r="M40" s="2549"/>
      <c r="N40" s="2549"/>
      <c r="O40" s="2550"/>
      <c r="P40" s="2549"/>
      <c r="Q40" s="2549"/>
      <c r="R40" s="2551"/>
    </row>
    <row r="41" spans="2:18" s="2132" customFormat="1">
      <c r="B41" s="2549"/>
      <c r="C41" s="2549"/>
      <c r="D41" s="2549"/>
      <c r="E41" s="2549"/>
      <c r="F41" s="2549"/>
      <c r="G41" s="2550"/>
      <c r="H41" s="2549"/>
      <c r="I41" s="2550"/>
      <c r="J41" s="2549"/>
      <c r="K41" s="2549"/>
      <c r="L41" s="2550"/>
      <c r="M41" s="2549"/>
      <c r="N41" s="2549"/>
      <c r="O41" s="2550"/>
      <c r="P41" s="2549"/>
      <c r="Q41" s="2549"/>
      <c r="R41" s="2551"/>
    </row>
    <row r="42" spans="2:18" s="2132" customFormat="1">
      <c r="B42" s="2549"/>
      <c r="C42" s="2549"/>
      <c r="D42" s="2549"/>
      <c r="E42" s="2549"/>
      <c r="F42" s="2549"/>
      <c r="G42" s="2550"/>
      <c r="H42" s="2549"/>
      <c r="I42" s="2550"/>
      <c r="J42" s="2549"/>
      <c r="K42" s="2549"/>
      <c r="L42" s="2550"/>
      <c r="M42" s="2549"/>
      <c r="N42" s="2549"/>
      <c r="O42" s="2550"/>
      <c r="P42" s="2549"/>
      <c r="Q42" s="2549"/>
      <c r="R42" s="2551"/>
    </row>
    <row r="43" spans="2:18" s="2132" customFormat="1">
      <c r="B43" s="2549"/>
      <c r="C43" s="2549"/>
      <c r="D43" s="2549"/>
      <c r="E43" s="2549"/>
      <c r="F43" s="2549"/>
      <c r="G43" s="2550"/>
      <c r="H43" s="2549"/>
      <c r="I43" s="2550"/>
      <c r="J43" s="2549"/>
      <c r="K43" s="2549"/>
      <c r="L43" s="2550"/>
      <c r="M43" s="2549"/>
      <c r="N43" s="2549"/>
      <c r="O43" s="2550"/>
      <c r="P43" s="2549"/>
      <c r="Q43" s="2549"/>
      <c r="R43" s="2551"/>
    </row>
    <row r="44" spans="2:18" s="2132" customFormat="1">
      <c r="B44" s="2549"/>
      <c r="C44" s="2549"/>
      <c r="D44" s="2549"/>
      <c r="E44" s="2549"/>
      <c r="F44" s="2549"/>
      <c r="G44" s="2550"/>
      <c r="H44" s="2549"/>
      <c r="I44" s="2550"/>
      <c r="J44" s="2549"/>
      <c r="K44" s="2549"/>
      <c r="L44" s="2550"/>
      <c r="M44" s="2549"/>
      <c r="N44" s="2549"/>
      <c r="O44" s="2550"/>
      <c r="P44" s="2549"/>
      <c r="Q44" s="2549"/>
      <c r="R44" s="2551"/>
    </row>
    <row r="45" spans="2:18" s="2132" customFormat="1">
      <c r="B45" s="2549"/>
      <c r="C45" s="2549"/>
      <c r="D45" s="2549"/>
      <c r="E45" s="2549"/>
      <c r="F45" s="2549"/>
      <c r="G45" s="2550"/>
      <c r="H45" s="2549"/>
      <c r="I45" s="2550"/>
      <c r="J45" s="2549"/>
      <c r="K45" s="2549"/>
      <c r="L45" s="2550"/>
      <c r="M45" s="2549"/>
      <c r="N45" s="2549"/>
      <c r="O45" s="2550"/>
      <c r="P45" s="2549"/>
      <c r="Q45" s="2549"/>
      <c r="R45" s="2551"/>
    </row>
    <row r="46" spans="2:18" s="2132" customFormat="1">
      <c r="B46" s="2549"/>
      <c r="C46" s="2549"/>
      <c r="D46" s="2549"/>
      <c r="E46" s="2549"/>
      <c r="F46" s="2549"/>
      <c r="G46" s="2550"/>
      <c r="H46" s="2549"/>
      <c r="I46" s="2550"/>
      <c r="J46" s="2549"/>
      <c r="K46" s="2549"/>
      <c r="L46" s="2550"/>
      <c r="M46" s="2549"/>
      <c r="N46" s="2549"/>
      <c r="O46" s="2550"/>
      <c r="P46" s="2549"/>
      <c r="Q46" s="2549"/>
      <c r="R46" s="2551"/>
    </row>
    <row r="47" spans="2:18" s="2132" customFormat="1">
      <c r="B47" s="2549"/>
      <c r="C47" s="2549"/>
      <c r="D47" s="2549"/>
      <c r="E47" s="2549"/>
      <c r="F47" s="2549"/>
      <c r="G47" s="2550"/>
      <c r="H47" s="2549"/>
      <c r="I47" s="2550"/>
      <c r="J47" s="2549"/>
      <c r="K47" s="2549"/>
      <c r="L47" s="2550"/>
      <c r="M47" s="2549"/>
      <c r="N47" s="2549"/>
      <c r="O47" s="2550"/>
      <c r="P47" s="2549"/>
      <c r="Q47" s="2549"/>
      <c r="R47" s="2551"/>
    </row>
    <row r="48" spans="2:18" s="2132" customFormat="1">
      <c r="B48" s="2549"/>
      <c r="C48" s="2549"/>
      <c r="D48" s="2549"/>
      <c r="E48" s="2549"/>
      <c r="F48" s="2549"/>
      <c r="G48" s="2550"/>
      <c r="H48" s="2549"/>
      <c r="I48" s="2550"/>
      <c r="J48" s="2549"/>
      <c r="K48" s="2549"/>
      <c r="L48" s="2550"/>
      <c r="M48" s="2549"/>
      <c r="N48" s="2549"/>
      <c r="O48" s="2550"/>
      <c r="P48" s="2549"/>
      <c r="Q48" s="2549"/>
      <c r="R48" s="2551"/>
    </row>
    <row r="49" spans="2:18" s="2132" customFormat="1">
      <c r="B49" s="2549"/>
      <c r="C49" s="2549"/>
      <c r="D49" s="2549"/>
      <c r="E49" s="2549"/>
      <c r="F49" s="2549"/>
      <c r="G49" s="2550"/>
      <c r="H49" s="2549"/>
      <c r="I49" s="2550"/>
      <c r="J49" s="2549"/>
      <c r="K49" s="2549"/>
      <c r="L49" s="2550"/>
      <c r="M49" s="2549"/>
      <c r="N49" s="2549"/>
      <c r="O49" s="2550"/>
      <c r="P49" s="2549"/>
      <c r="Q49" s="2549"/>
      <c r="R49" s="2551"/>
    </row>
    <row r="50" spans="2:18" s="2132" customFormat="1">
      <c r="B50" s="2549"/>
      <c r="C50" s="2549"/>
      <c r="D50" s="2549"/>
      <c r="E50" s="2549"/>
      <c r="F50" s="2549"/>
      <c r="G50" s="2550"/>
      <c r="H50" s="2549"/>
      <c r="I50" s="2550"/>
      <c r="J50" s="2549"/>
      <c r="K50" s="2549"/>
      <c r="L50" s="2550"/>
      <c r="M50" s="2549"/>
      <c r="N50" s="2549"/>
      <c r="O50" s="2550"/>
      <c r="P50" s="2549"/>
      <c r="Q50" s="2549"/>
      <c r="R50" s="2551"/>
    </row>
    <row r="51" spans="2:18" s="2132" customFormat="1">
      <c r="B51" s="2549"/>
      <c r="C51" s="2549"/>
      <c r="D51" s="2549"/>
      <c r="E51" s="2549"/>
      <c r="F51" s="2549"/>
      <c r="G51" s="2550"/>
      <c r="H51" s="2549"/>
      <c r="I51" s="2550"/>
      <c r="J51" s="2549"/>
      <c r="K51" s="2549"/>
      <c r="L51" s="2550"/>
      <c r="M51" s="2549"/>
      <c r="N51" s="2549"/>
      <c r="O51" s="2550"/>
      <c r="P51" s="2549"/>
      <c r="Q51" s="2549"/>
      <c r="R51" s="2551"/>
    </row>
    <row r="52" spans="2:18" s="2132" customFormat="1">
      <c r="B52" s="2549"/>
      <c r="C52" s="2549"/>
      <c r="D52" s="2549"/>
      <c r="E52" s="2549"/>
      <c r="F52" s="2549"/>
      <c r="G52" s="2550"/>
      <c r="H52" s="2549"/>
      <c r="I52" s="2550"/>
      <c r="J52" s="2549"/>
      <c r="K52" s="2549"/>
      <c r="L52" s="2550"/>
      <c r="M52" s="2549"/>
      <c r="N52" s="2549"/>
      <c r="O52" s="2550"/>
      <c r="P52" s="2549"/>
      <c r="Q52" s="2549"/>
      <c r="R52" s="2551"/>
    </row>
    <row r="53" spans="2:18" s="2132" customFormat="1">
      <c r="B53" s="2549"/>
      <c r="C53" s="2549"/>
      <c r="D53" s="2549"/>
      <c r="E53" s="2549"/>
      <c r="F53" s="2549"/>
      <c r="G53" s="2550"/>
      <c r="H53" s="2549"/>
      <c r="I53" s="2550"/>
      <c r="J53" s="2549"/>
      <c r="K53" s="2549"/>
      <c r="L53" s="2550"/>
      <c r="M53" s="2549"/>
      <c r="N53" s="2549"/>
      <c r="O53" s="2550"/>
      <c r="P53" s="2549"/>
      <c r="Q53" s="2549"/>
      <c r="R53" s="2551"/>
    </row>
    <row r="54" spans="2:18" s="2132" customFormat="1">
      <c r="B54" s="2549"/>
      <c r="C54" s="2549"/>
      <c r="D54" s="2549"/>
      <c r="E54" s="2549"/>
      <c r="F54" s="2549"/>
      <c r="G54" s="2550"/>
      <c r="H54" s="2549"/>
      <c r="I54" s="2550"/>
      <c r="J54" s="2549"/>
      <c r="K54" s="2549"/>
      <c r="L54" s="2550"/>
      <c r="M54" s="2549"/>
      <c r="N54" s="2549"/>
      <c r="O54" s="2550"/>
      <c r="P54" s="2549"/>
      <c r="Q54" s="2549"/>
      <c r="R54" s="2551"/>
    </row>
    <row r="55" spans="2:18" s="2132" customFormat="1">
      <c r="B55" s="2549"/>
      <c r="C55" s="2549"/>
      <c r="D55" s="2549"/>
      <c r="E55" s="2549"/>
      <c r="F55" s="2549"/>
      <c r="G55" s="2550"/>
      <c r="H55" s="2549"/>
      <c r="I55" s="2550"/>
      <c r="J55" s="2549"/>
      <c r="K55" s="2549"/>
      <c r="L55" s="2550"/>
      <c r="M55" s="2549"/>
      <c r="N55" s="2549"/>
      <c r="O55" s="2550"/>
      <c r="P55" s="2549"/>
      <c r="Q55" s="2549"/>
      <c r="R55" s="2551"/>
    </row>
    <row r="56" spans="2:18" s="2132" customFormat="1">
      <c r="B56" s="2549"/>
      <c r="C56" s="2549"/>
      <c r="D56" s="2549"/>
      <c r="E56" s="2549"/>
      <c r="F56" s="2549"/>
      <c r="G56" s="2550"/>
      <c r="H56" s="2549"/>
      <c r="I56" s="2550"/>
      <c r="J56" s="2549"/>
      <c r="K56" s="2549"/>
      <c r="L56" s="2550"/>
      <c r="M56" s="2549"/>
      <c r="N56" s="2549"/>
      <c r="O56" s="2550"/>
      <c r="P56" s="2549"/>
      <c r="Q56" s="2549"/>
      <c r="R56" s="2551"/>
    </row>
    <row r="57" spans="2:18" s="2132" customFormat="1">
      <c r="B57" s="2549"/>
      <c r="C57" s="2549"/>
      <c r="D57" s="2549"/>
      <c r="E57" s="2549"/>
      <c r="F57" s="2549"/>
      <c r="G57" s="2550"/>
      <c r="H57" s="2549"/>
      <c r="I57" s="2550"/>
      <c r="J57" s="2549"/>
      <c r="K57" s="2549"/>
      <c r="L57" s="2550"/>
      <c r="M57" s="2549"/>
      <c r="N57" s="2549"/>
      <c r="O57" s="2550"/>
      <c r="P57" s="2549"/>
      <c r="Q57" s="2549"/>
      <c r="R57" s="2551"/>
    </row>
    <row r="58" spans="2:18" s="2132" customFormat="1">
      <c r="B58" s="2549"/>
      <c r="C58" s="2549"/>
      <c r="D58" s="2549"/>
      <c r="E58" s="2549"/>
      <c r="F58" s="2549"/>
      <c r="G58" s="2550"/>
      <c r="H58" s="2549"/>
      <c r="I58" s="2550"/>
      <c r="J58" s="2549"/>
      <c r="K58" s="2549"/>
      <c r="L58" s="2550"/>
      <c r="M58" s="2549"/>
      <c r="N58" s="2549"/>
      <c r="O58" s="2550"/>
      <c r="P58" s="2549"/>
      <c r="Q58" s="2549"/>
      <c r="R58" s="2551"/>
    </row>
    <row r="59" spans="2:18" s="2132" customFormat="1">
      <c r="B59" s="2549"/>
      <c r="C59" s="2549"/>
      <c r="D59" s="2549"/>
      <c r="E59" s="2549"/>
      <c r="F59" s="2549"/>
      <c r="G59" s="2550"/>
      <c r="H59" s="2549"/>
      <c r="I59" s="2550"/>
      <c r="J59" s="2549"/>
      <c r="K59" s="2549"/>
      <c r="L59" s="2550"/>
      <c r="M59" s="2549"/>
      <c r="N59" s="2549"/>
      <c r="O59" s="2550"/>
      <c r="P59" s="2549"/>
      <c r="Q59" s="2549"/>
      <c r="R59" s="2551"/>
    </row>
    <row r="60" spans="2:18" s="2132" customFormat="1">
      <c r="B60" s="2549"/>
      <c r="C60" s="2549"/>
      <c r="D60" s="2549"/>
      <c r="E60" s="2549"/>
      <c r="F60" s="2549"/>
      <c r="G60" s="2550"/>
      <c r="H60" s="2549"/>
      <c r="I60" s="2550"/>
      <c r="J60" s="2549"/>
      <c r="K60" s="2549"/>
      <c r="L60" s="2550"/>
      <c r="M60" s="2549"/>
      <c r="N60" s="2549"/>
      <c r="O60" s="2550"/>
      <c r="P60" s="2549"/>
      <c r="Q60" s="2549"/>
      <c r="R60" s="2551"/>
    </row>
    <row r="61" spans="2:18" s="2132" customFormat="1">
      <c r="B61" s="2549"/>
      <c r="C61" s="2549"/>
      <c r="D61" s="2549"/>
      <c r="E61" s="2549"/>
      <c r="F61" s="2549"/>
      <c r="G61" s="2550"/>
      <c r="H61" s="2549"/>
      <c r="I61" s="2550"/>
      <c r="J61" s="2549"/>
      <c r="K61" s="2549"/>
      <c r="L61" s="2550"/>
      <c r="M61" s="2549"/>
      <c r="N61" s="2549"/>
      <c r="O61" s="2550"/>
      <c r="P61" s="2549"/>
      <c r="Q61" s="2549"/>
      <c r="R61" s="2551"/>
    </row>
    <row r="62" spans="2:18" s="2132" customFormat="1">
      <c r="B62" s="2549"/>
      <c r="C62" s="2549"/>
      <c r="D62" s="2549"/>
      <c r="E62" s="2549"/>
      <c r="F62" s="2549"/>
      <c r="G62" s="2550"/>
      <c r="H62" s="2549"/>
      <c r="I62" s="2550"/>
      <c r="J62" s="2549"/>
      <c r="K62" s="2549"/>
      <c r="L62" s="2550"/>
      <c r="M62" s="2549"/>
      <c r="N62" s="2549"/>
      <c r="O62" s="2550"/>
      <c r="P62" s="2549"/>
      <c r="Q62" s="2549"/>
      <c r="R62" s="2551"/>
    </row>
    <row r="63" spans="2:18" s="2132" customFormat="1">
      <c r="B63" s="2549"/>
      <c r="C63" s="2549"/>
      <c r="D63" s="2549"/>
      <c r="E63" s="2549"/>
      <c r="F63" s="2549"/>
      <c r="G63" s="2550"/>
      <c r="H63" s="2549"/>
      <c r="I63" s="2550"/>
      <c r="J63" s="2549"/>
      <c r="K63" s="2549"/>
      <c r="L63" s="2550"/>
      <c r="M63" s="2549"/>
      <c r="N63" s="2549"/>
      <c r="O63" s="2550"/>
      <c r="P63" s="2549"/>
      <c r="Q63" s="2549"/>
      <c r="R63" s="2551"/>
    </row>
    <row r="64" spans="2:18" s="2132" customFormat="1">
      <c r="B64" s="2549"/>
      <c r="C64" s="2549"/>
      <c r="D64" s="2549"/>
      <c r="E64" s="2549"/>
      <c r="F64" s="2549"/>
      <c r="G64" s="2550"/>
      <c r="H64" s="2549"/>
      <c r="I64" s="2550"/>
      <c r="J64" s="2549"/>
      <c r="K64" s="2549"/>
      <c r="L64" s="2550"/>
      <c r="M64" s="2549"/>
      <c r="N64" s="2549"/>
      <c r="O64" s="2550"/>
      <c r="P64" s="2549"/>
      <c r="Q64" s="2549"/>
      <c r="R64" s="2551"/>
    </row>
    <row r="65" spans="2:18" s="2132" customFormat="1">
      <c r="B65" s="2549"/>
      <c r="C65" s="2549"/>
      <c r="D65" s="2549"/>
      <c r="E65" s="2549"/>
      <c r="F65" s="2549"/>
      <c r="G65" s="2550"/>
      <c r="H65" s="2549"/>
      <c r="I65" s="2550"/>
      <c r="J65" s="2549"/>
      <c r="K65" s="2549"/>
      <c r="L65" s="2550"/>
      <c r="M65" s="2549"/>
      <c r="N65" s="2549"/>
      <c r="O65" s="2550"/>
      <c r="P65" s="2549"/>
      <c r="Q65" s="2549"/>
      <c r="R65" s="2551"/>
    </row>
    <row r="66" spans="2:18" s="2132" customFormat="1">
      <c r="B66" s="2549"/>
      <c r="C66" s="2549"/>
      <c r="D66" s="2549"/>
      <c r="E66" s="2549"/>
      <c r="F66" s="2549"/>
      <c r="G66" s="2550"/>
      <c r="H66" s="2549"/>
      <c r="I66" s="2550"/>
      <c r="J66" s="2549"/>
      <c r="K66" s="2549"/>
      <c r="L66" s="2550"/>
      <c r="M66" s="2549"/>
      <c r="N66" s="2549"/>
      <c r="O66" s="2550"/>
      <c r="P66" s="2549"/>
      <c r="Q66" s="2549"/>
      <c r="R66" s="2551"/>
    </row>
    <row r="67" spans="2:18" s="2132" customFormat="1">
      <c r="B67" s="2549"/>
      <c r="C67" s="2549"/>
      <c r="D67" s="2549"/>
      <c r="E67" s="2549"/>
      <c r="F67" s="2549"/>
      <c r="G67" s="2550"/>
      <c r="H67" s="2549"/>
      <c r="I67" s="2550"/>
      <c r="J67" s="2549"/>
      <c r="K67" s="2549"/>
      <c r="L67" s="2550"/>
      <c r="M67" s="2549"/>
      <c r="N67" s="2549"/>
      <c r="O67" s="2550"/>
      <c r="P67" s="2549"/>
      <c r="Q67" s="2549"/>
      <c r="R67" s="2551"/>
    </row>
    <row r="68" spans="2:18" s="2132" customFormat="1">
      <c r="B68" s="2549"/>
      <c r="C68" s="2549"/>
      <c r="D68" s="2549"/>
      <c r="E68" s="2549"/>
      <c r="F68" s="2549"/>
      <c r="G68" s="2550"/>
      <c r="H68" s="2549"/>
      <c r="I68" s="2550"/>
      <c r="J68" s="2549"/>
      <c r="K68" s="2549"/>
      <c r="L68" s="2550"/>
      <c r="M68" s="2549"/>
      <c r="N68" s="2549"/>
      <c r="O68" s="2550"/>
      <c r="P68" s="2549"/>
      <c r="Q68" s="2549"/>
      <c r="R68" s="2551"/>
    </row>
    <row r="69" spans="2:18" s="2132" customFormat="1">
      <c r="B69" s="2549"/>
      <c r="C69" s="2549"/>
      <c r="D69" s="2549"/>
      <c r="E69" s="2549"/>
      <c r="F69" s="2549"/>
      <c r="G69" s="2550"/>
      <c r="H69" s="2549"/>
      <c r="I69" s="2550"/>
      <c r="J69" s="2549"/>
      <c r="K69" s="2549"/>
      <c r="L69" s="2550"/>
      <c r="M69" s="2549"/>
      <c r="N69" s="2549"/>
      <c r="O69" s="2550"/>
      <c r="P69" s="2549"/>
      <c r="Q69" s="2549"/>
      <c r="R69" s="2551"/>
    </row>
    <row r="70" spans="2:18" s="2132" customFormat="1">
      <c r="B70" s="2549"/>
      <c r="C70" s="2549"/>
      <c r="D70" s="2549"/>
      <c r="E70" s="2549"/>
      <c r="F70" s="2549"/>
      <c r="G70" s="2550"/>
      <c r="H70" s="2549"/>
      <c r="I70" s="2550"/>
      <c r="J70" s="2549"/>
      <c r="K70" s="2549"/>
      <c r="L70" s="2550"/>
      <c r="M70" s="2549"/>
      <c r="N70" s="2549"/>
      <c r="O70" s="2550"/>
      <c r="P70" s="2549"/>
      <c r="Q70" s="2549"/>
      <c r="R70" s="2551"/>
    </row>
    <row r="71" spans="2:18" s="2132" customFormat="1">
      <c r="B71" s="2549"/>
      <c r="C71" s="2549"/>
      <c r="D71" s="2549"/>
      <c r="E71" s="2549"/>
      <c r="F71" s="2549"/>
      <c r="G71" s="2550"/>
      <c r="H71" s="2549"/>
      <c r="I71" s="2550"/>
      <c r="J71" s="2549"/>
      <c r="K71" s="2549"/>
      <c r="L71" s="2550"/>
      <c r="M71" s="2549"/>
      <c r="N71" s="2549"/>
      <c r="O71" s="2550"/>
      <c r="P71" s="2549"/>
      <c r="Q71" s="2549"/>
      <c r="R71" s="2551"/>
    </row>
    <row r="72" spans="2:18" s="2132" customFormat="1">
      <c r="B72" s="2549"/>
      <c r="C72" s="2549"/>
      <c r="D72" s="2549"/>
      <c r="E72" s="2549"/>
      <c r="F72" s="2549"/>
      <c r="G72" s="2550"/>
      <c r="H72" s="2549"/>
      <c r="I72" s="2550"/>
      <c r="J72" s="2549"/>
      <c r="K72" s="2549"/>
      <c r="L72" s="2550"/>
      <c r="M72" s="2549"/>
      <c r="N72" s="2549"/>
      <c r="O72" s="2550"/>
      <c r="P72" s="2549"/>
      <c r="Q72" s="2549"/>
      <c r="R72" s="2551"/>
    </row>
    <row r="73" spans="2:18" s="2132" customFormat="1">
      <c r="B73" s="2549"/>
      <c r="C73" s="2549"/>
      <c r="D73" s="2549"/>
      <c r="E73" s="2549"/>
      <c r="F73" s="2549"/>
      <c r="G73" s="2550"/>
      <c r="H73" s="2549"/>
      <c r="I73" s="2550"/>
      <c r="J73" s="2549"/>
      <c r="K73" s="2549"/>
      <c r="L73" s="2550"/>
      <c r="M73" s="2549"/>
      <c r="N73" s="2549"/>
      <c r="O73" s="2550"/>
      <c r="P73" s="2549"/>
      <c r="Q73" s="2549"/>
      <c r="R73" s="2551"/>
    </row>
    <row r="74" spans="2:18" s="2132" customFormat="1">
      <c r="B74" s="2549"/>
      <c r="C74" s="2549"/>
      <c r="D74" s="2549"/>
      <c r="E74" s="2549"/>
      <c r="F74" s="2549"/>
      <c r="G74" s="2550"/>
      <c r="H74" s="2549"/>
      <c r="I74" s="2550"/>
      <c r="J74" s="2549"/>
      <c r="K74" s="2549"/>
      <c r="L74" s="2550"/>
      <c r="M74" s="2549"/>
      <c r="N74" s="2549"/>
      <c r="O74" s="2550"/>
      <c r="P74" s="2549"/>
      <c r="Q74" s="2549"/>
      <c r="R74" s="2551"/>
    </row>
    <row r="75" spans="2:18" s="2132" customFormat="1">
      <c r="B75" s="2549"/>
      <c r="C75" s="2549"/>
      <c r="D75" s="2549"/>
      <c r="E75" s="2549"/>
      <c r="F75" s="2549"/>
      <c r="G75" s="2550"/>
      <c r="H75" s="2549"/>
      <c r="I75" s="2550"/>
      <c r="J75" s="2549"/>
      <c r="K75" s="2549"/>
      <c r="L75" s="2550"/>
      <c r="M75" s="2549"/>
      <c r="N75" s="2549"/>
      <c r="O75" s="2550"/>
      <c r="P75" s="2549"/>
      <c r="Q75" s="2549"/>
      <c r="R75" s="2551"/>
    </row>
    <row r="76" spans="2:18" s="2132" customFormat="1">
      <c r="B76" s="2549"/>
      <c r="C76" s="2549"/>
      <c r="D76" s="2549"/>
      <c r="E76" s="2549"/>
      <c r="F76" s="2549"/>
      <c r="G76" s="2550"/>
      <c r="H76" s="2549"/>
      <c r="I76" s="2550"/>
      <c r="J76" s="2549"/>
      <c r="K76" s="2549"/>
      <c r="L76" s="2550"/>
      <c r="M76" s="2549"/>
      <c r="N76" s="2549"/>
      <c r="O76" s="2550"/>
      <c r="P76" s="2549"/>
      <c r="Q76" s="2549"/>
      <c r="R76" s="2551"/>
    </row>
    <row r="77" spans="2:18" s="2132" customFormat="1">
      <c r="B77" s="2549"/>
      <c r="C77" s="2549"/>
      <c r="D77" s="2549"/>
      <c r="E77" s="2549"/>
      <c r="F77" s="2549"/>
      <c r="G77" s="2550"/>
      <c r="H77" s="2549"/>
      <c r="I77" s="2550"/>
      <c r="J77" s="2549"/>
      <c r="K77" s="2549"/>
      <c r="L77" s="2550"/>
      <c r="M77" s="2549"/>
      <c r="N77" s="2549"/>
      <c r="O77" s="2550"/>
      <c r="P77" s="2549"/>
      <c r="Q77" s="2549"/>
      <c r="R77" s="2551"/>
    </row>
    <row r="78" spans="2:18" s="2132" customFormat="1">
      <c r="B78" s="2549"/>
      <c r="C78" s="2549"/>
      <c r="D78" s="2549"/>
      <c r="E78" s="2549"/>
      <c r="F78" s="2549"/>
      <c r="G78" s="2550"/>
      <c r="H78" s="2549"/>
      <c r="I78" s="2550"/>
      <c r="J78" s="2549"/>
      <c r="K78" s="2549"/>
      <c r="L78" s="2550"/>
      <c r="M78" s="2549"/>
      <c r="N78" s="2549"/>
      <c r="O78" s="2550"/>
      <c r="P78" s="2549"/>
      <c r="Q78" s="2549"/>
      <c r="R78" s="2551"/>
    </row>
    <row r="79" spans="2:18" s="2132" customFormat="1">
      <c r="B79" s="2549"/>
      <c r="C79" s="2549"/>
      <c r="D79" s="2549"/>
      <c r="E79" s="2549"/>
      <c r="F79" s="2549"/>
      <c r="G79" s="2550"/>
      <c r="H79" s="2549"/>
      <c r="I79" s="2550"/>
      <c r="J79" s="2549"/>
      <c r="K79" s="2549"/>
      <c r="L79" s="2550"/>
      <c r="M79" s="2549"/>
      <c r="N79" s="2549"/>
      <c r="O79" s="2550"/>
      <c r="P79" s="2549"/>
      <c r="Q79" s="2549"/>
      <c r="R79" s="2551"/>
    </row>
    <row r="80" spans="2:18" s="2132" customFormat="1">
      <c r="B80" s="2549"/>
      <c r="C80" s="2549"/>
      <c r="D80" s="2549"/>
      <c r="E80" s="2549"/>
      <c r="F80" s="2549"/>
      <c r="G80" s="2550"/>
      <c r="H80" s="2549"/>
      <c r="I80" s="2550"/>
      <c r="J80" s="2549"/>
      <c r="K80" s="2549"/>
      <c r="L80" s="2550"/>
      <c r="M80" s="2549"/>
      <c r="N80" s="2549"/>
      <c r="O80" s="2550"/>
      <c r="P80" s="2549"/>
      <c r="Q80" s="2549"/>
      <c r="R80" s="2551"/>
    </row>
    <row r="81" spans="2:18" s="2132" customFormat="1">
      <c r="B81" s="2549"/>
      <c r="C81" s="2549"/>
      <c r="D81" s="2549"/>
      <c r="E81" s="2549"/>
      <c r="F81" s="2549"/>
      <c r="G81" s="2550"/>
      <c r="H81" s="2549"/>
      <c r="I81" s="2550"/>
      <c r="J81" s="2549"/>
      <c r="K81" s="2549"/>
      <c r="L81" s="2550"/>
      <c r="M81" s="2549"/>
      <c r="N81" s="2549"/>
      <c r="O81" s="2550"/>
      <c r="P81" s="2549"/>
      <c r="Q81" s="2549"/>
      <c r="R81" s="2551"/>
    </row>
    <row r="82" spans="2:18" s="2132" customFormat="1">
      <c r="B82" s="2549"/>
      <c r="C82" s="2549"/>
      <c r="D82" s="2549"/>
      <c r="E82" s="2549"/>
      <c r="F82" s="2549"/>
      <c r="G82" s="2550"/>
      <c r="H82" s="2549"/>
      <c r="I82" s="2550"/>
      <c r="J82" s="2549"/>
      <c r="K82" s="2549"/>
      <c r="L82" s="2550"/>
      <c r="M82" s="2549"/>
      <c r="N82" s="2549"/>
      <c r="O82" s="2550"/>
      <c r="P82" s="2549"/>
      <c r="Q82" s="2549"/>
      <c r="R82" s="2551"/>
    </row>
    <row r="83" spans="2:18" s="2132" customFormat="1">
      <c r="B83" s="2549"/>
      <c r="C83" s="2549"/>
      <c r="D83" s="2549"/>
      <c r="E83" s="2549"/>
      <c r="F83" s="2549"/>
      <c r="G83" s="2550"/>
      <c r="H83" s="2549"/>
      <c r="I83" s="2550"/>
      <c r="J83" s="2549"/>
      <c r="K83" s="2549"/>
      <c r="L83" s="2550"/>
      <c r="M83" s="2549"/>
      <c r="N83" s="2549"/>
      <c r="O83" s="2550"/>
      <c r="P83" s="2549"/>
      <c r="Q83" s="2549"/>
      <c r="R83" s="2551"/>
    </row>
    <row r="84" spans="2:18" s="2132" customFormat="1">
      <c r="B84" s="2549"/>
      <c r="C84" s="2549"/>
      <c r="D84" s="2549"/>
      <c r="E84" s="2549"/>
      <c r="F84" s="2549"/>
      <c r="G84" s="2550"/>
      <c r="H84" s="2549"/>
      <c r="I84" s="2550"/>
      <c r="J84" s="2549"/>
      <c r="K84" s="2549"/>
      <c r="L84" s="2550"/>
      <c r="M84" s="2549"/>
      <c r="N84" s="2549"/>
      <c r="O84" s="2550"/>
      <c r="P84" s="2549"/>
      <c r="Q84" s="2549"/>
      <c r="R84" s="2551"/>
    </row>
    <row r="85" spans="2:18" s="2132" customFormat="1">
      <c r="B85" s="2549"/>
      <c r="C85" s="2549"/>
      <c r="D85" s="2549"/>
      <c r="E85" s="2549"/>
      <c r="F85" s="2549"/>
      <c r="G85" s="2550"/>
      <c r="H85" s="2549"/>
      <c r="I85" s="2550"/>
      <c r="J85" s="2549"/>
      <c r="K85" s="2549"/>
      <c r="L85" s="2550"/>
      <c r="M85" s="2549"/>
      <c r="N85" s="2549"/>
      <c r="O85" s="2550"/>
      <c r="P85" s="2549"/>
      <c r="Q85" s="2549"/>
      <c r="R85" s="2551"/>
    </row>
    <row r="86" spans="2:18" s="2132" customFormat="1">
      <c r="B86" s="2549"/>
      <c r="C86" s="2549"/>
      <c r="D86" s="2549"/>
      <c r="E86" s="2549"/>
      <c r="F86" s="2549"/>
      <c r="G86" s="2550"/>
      <c r="H86" s="2549"/>
      <c r="I86" s="2550"/>
      <c r="J86" s="2549"/>
      <c r="K86" s="2549"/>
      <c r="L86" s="2550"/>
      <c r="M86" s="2549"/>
      <c r="N86" s="2549"/>
      <c r="O86" s="2550"/>
      <c r="P86" s="2549"/>
      <c r="Q86" s="2549"/>
      <c r="R86" s="2551"/>
    </row>
    <row r="87" spans="2:18" s="2132" customFormat="1">
      <c r="B87" s="2549"/>
      <c r="C87" s="2549"/>
      <c r="D87" s="2549"/>
      <c r="E87" s="2549"/>
      <c r="F87" s="2549"/>
      <c r="G87" s="2550"/>
      <c r="H87" s="2549"/>
      <c r="I87" s="2550"/>
      <c r="J87" s="2549"/>
      <c r="K87" s="2549"/>
      <c r="L87" s="2550"/>
      <c r="M87" s="2549"/>
      <c r="N87" s="2549"/>
      <c r="O87" s="2550"/>
      <c r="P87" s="2549"/>
      <c r="Q87" s="2549"/>
      <c r="R87" s="2551"/>
    </row>
    <row r="88" spans="2:18" s="2132" customFormat="1">
      <c r="B88" s="2549"/>
      <c r="C88" s="2549"/>
      <c r="D88" s="2549"/>
      <c r="E88" s="2549"/>
      <c r="F88" s="2549"/>
      <c r="G88" s="2550"/>
      <c r="H88" s="2549"/>
      <c r="I88" s="2550"/>
      <c r="J88" s="2549"/>
      <c r="K88" s="2549"/>
      <c r="L88" s="2550"/>
      <c r="M88" s="2549"/>
      <c r="N88" s="2549"/>
      <c r="O88" s="2550"/>
      <c r="P88" s="2549"/>
      <c r="Q88" s="2549"/>
      <c r="R88" s="2551"/>
    </row>
    <row r="89" spans="2:18" s="2132" customFormat="1">
      <c r="B89" s="2549"/>
      <c r="C89" s="2549"/>
      <c r="D89" s="2549"/>
      <c r="E89" s="2549"/>
      <c r="F89" s="2549"/>
      <c r="G89" s="2550"/>
      <c r="H89" s="2549"/>
      <c r="I89" s="2550"/>
      <c r="J89" s="2549"/>
      <c r="K89" s="2549"/>
      <c r="L89" s="2550"/>
      <c r="M89" s="2549"/>
      <c r="N89" s="2549"/>
      <c r="O89" s="2550"/>
      <c r="P89" s="2549"/>
      <c r="Q89" s="2549"/>
      <c r="R89" s="2551"/>
    </row>
    <row r="90" spans="2:18" s="2132" customFormat="1">
      <c r="B90" s="2549"/>
      <c r="C90" s="2549"/>
      <c r="D90" s="2549"/>
      <c r="E90" s="2549"/>
      <c r="F90" s="2549"/>
      <c r="G90" s="2550"/>
      <c r="H90" s="2549"/>
      <c r="I90" s="2550"/>
      <c r="J90" s="2549"/>
      <c r="K90" s="2549"/>
      <c r="L90" s="2550"/>
      <c r="M90" s="2549"/>
      <c r="N90" s="2549"/>
      <c r="O90" s="2550"/>
      <c r="P90" s="2549"/>
      <c r="Q90" s="2549"/>
      <c r="R90" s="2551"/>
    </row>
    <row r="91" spans="2:18" s="2132" customFormat="1">
      <c r="B91" s="2549"/>
      <c r="C91" s="2549"/>
      <c r="D91" s="2549"/>
      <c r="E91" s="2549"/>
      <c r="F91" s="2549"/>
      <c r="G91" s="2550"/>
      <c r="H91" s="2549"/>
      <c r="I91" s="2550"/>
      <c r="J91" s="2549"/>
      <c r="K91" s="2549"/>
      <c r="L91" s="2550"/>
      <c r="M91" s="2549"/>
      <c r="N91" s="2549"/>
      <c r="O91" s="2550"/>
      <c r="P91" s="2549"/>
      <c r="Q91" s="2549"/>
      <c r="R91" s="2551"/>
    </row>
    <row r="92" spans="2:18" s="2132" customFormat="1">
      <c r="B92" s="2549"/>
      <c r="C92" s="2549"/>
      <c r="D92" s="2549"/>
      <c r="E92" s="2549"/>
      <c r="F92" s="2549"/>
      <c r="G92" s="2550"/>
      <c r="H92" s="2549"/>
      <c r="I92" s="2550"/>
      <c r="J92" s="2549"/>
      <c r="K92" s="2549"/>
      <c r="L92" s="2550"/>
      <c r="M92" s="2549"/>
      <c r="N92" s="2549"/>
      <c r="O92" s="2550"/>
      <c r="P92" s="2549"/>
      <c r="Q92" s="2549"/>
      <c r="R92" s="2551"/>
    </row>
    <row r="93" spans="2:18" s="2132" customFormat="1">
      <c r="B93" s="2549"/>
      <c r="C93" s="2549"/>
      <c r="D93" s="2549"/>
      <c r="E93" s="2549"/>
      <c r="F93" s="2549"/>
      <c r="G93" s="2550"/>
      <c r="H93" s="2549"/>
      <c r="I93" s="2550"/>
      <c r="J93" s="2549"/>
      <c r="K93" s="2549"/>
      <c r="L93" s="2550"/>
      <c r="M93" s="2549"/>
      <c r="N93" s="2549"/>
      <c r="O93" s="2550"/>
      <c r="P93" s="2549"/>
      <c r="Q93" s="2549"/>
      <c r="R93" s="2551"/>
    </row>
    <row r="94" spans="2:18" s="2132" customFormat="1">
      <c r="B94" s="2549"/>
      <c r="C94" s="2549"/>
      <c r="D94" s="2549"/>
      <c r="E94" s="2549"/>
      <c r="F94" s="2549"/>
      <c r="G94" s="2550"/>
      <c r="H94" s="2549"/>
      <c r="I94" s="2550"/>
      <c r="J94" s="2549"/>
      <c r="K94" s="2549"/>
      <c r="L94" s="2550"/>
      <c r="M94" s="2549"/>
      <c r="N94" s="2549"/>
      <c r="O94" s="2550"/>
      <c r="P94" s="2549"/>
      <c r="Q94" s="2549"/>
      <c r="R94" s="2551"/>
    </row>
    <row r="95" spans="2:18" s="2132" customFormat="1">
      <c r="B95" s="2549"/>
      <c r="C95" s="2549"/>
      <c r="D95" s="2549"/>
      <c r="E95" s="2549"/>
      <c r="F95" s="2549"/>
      <c r="G95" s="2550"/>
      <c r="H95" s="2549"/>
      <c r="I95" s="2550"/>
      <c r="J95" s="2549"/>
      <c r="K95" s="2549"/>
      <c r="L95" s="2550"/>
      <c r="M95" s="2549"/>
      <c r="N95" s="2549"/>
      <c r="O95" s="2550"/>
      <c r="P95" s="2549"/>
      <c r="Q95" s="2549"/>
      <c r="R95" s="2551"/>
    </row>
    <row r="96" spans="2:18" s="2132" customFormat="1">
      <c r="B96" s="2549"/>
      <c r="C96" s="2549"/>
      <c r="D96" s="2549"/>
      <c r="E96" s="2549"/>
      <c r="F96" s="2549"/>
      <c r="G96" s="2550"/>
      <c r="H96" s="2549"/>
      <c r="I96" s="2550"/>
      <c r="J96" s="2549"/>
      <c r="K96" s="2549"/>
      <c r="L96" s="2550"/>
      <c r="M96" s="2549"/>
      <c r="N96" s="2549"/>
      <c r="O96" s="2550"/>
      <c r="P96" s="2549"/>
      <c r="Q96" s="2549"/>
      <c r="R96" s="2551"/>
    </row>
    <row r="97" spans="2:18" s="2132" customFormat="1">
      <c r="B97" s="2549"/>
      <c r="C97" s="2549"/>
      <c r="D97" s="2549"/>
      <c r="E97" s="2549"/>
      <c r="F97" s="2549"/>
      <c r="G97" s="2550"/>
      <c r="H97" s="2549"/>
      <c r="I97" s="2550"/>
      <c r="J97" s="2549"/>
      <c r="K97" s="2549"/>
      <c r="L97" s="2550"/>
      <c r="M97" s="2549"/>
      <c r="N97" s="2549"/>
      <c r="O97" s="2550"/>
      <c r="P97" s="2549"/>
      <c r="Q97" s="2549"/>
      <c r="R97" s="2551"/>
    </row>
    <row r="98" spans="2:18" s="2132" customFormat="1">
      <c r="B98" s="2549"/>
      <c r="C98" s="2549"/>
      <c r="D98" s="2549"/>
      <c r="E98" s="2549"/>
      <c r="F98" s="2549"/>
      <c r="G98" s="2550"/>
      <c r="H98" s="2549"/>
      <c r="I98" s="2550"/>
      <c r="J98" s="2549"/>
      <c r="K98" s="2549"/>
      <c r="L98" s="2550"/>
      <c r="M98" s="2549"/>
      <c r="N98" s="2549"/>
      <c r="O98" s="2550"/>
      <c r="P98" s="2549"/>
      <c r="Q98" s="2549"/>
      <c r="R98" s="2551"/>
    </row>
    <row r="99" spans="2:18" s="2132" customFormat="1">
      <c r="B99" s="2549"/>
      <c r="C99" s="2549"/>
      <c r="D99" s="2549"/>
      <c r="E99" s="2549"/>
      <c r="F99" s="2549"/>
      <c r="G99" s="2550"/>
      <c r="H99" s="2549"/>
      <c r="I99" s="2550"/>
      <c r="J99" s="2549"/>
      <c r="K99" s="2549"/>
      <c r="L99" s="2550"/>
      <c r="M99" s="2549"/>
      <c r="N99" s="2549"/>
      <c r="O99" s="2550"/>
      <c r="P99" s="2549"/>
      <c r="Q99" s="2549"/>
      <c r="R99" s="2551"/>
    </row>
    <row r="100" spans="2:18" s="2132" customFormat="1">
      <c r="B100" s="2549"/>
      <c r="C100" s="2549"/>
      <c r="D100" s="2549"/>
      <c r="E100" s="2549"/>
      <c r="F100" s="2549"/>
      <c r="G100" s="2550"/>
      <c r="H100" s="2549"/>
      <c r="I100" s="2550"/>
      <c r="J100" s="2549"/>
      <c r="K100" s="2549"/>
      <c r="L100" s="2550"/>
      <c r="M100" s="2549"/>
      <c r="N100" s="2549"/>
      <c r="O100" s="2550"/>
      <c r="P100" s="2549"/>
      <c r="Q100" s="2549"/>
      <c r="R100" s="2551"/>
    </row>
    <row r="101" spans="2:18" s="2132" customFormat="1">
      <c r="B101" s="2549"/>
      <c r="C101" s="2549"/>
      <c r="D101" s="2549"/>
      <c r="E101" s="2549"/>
      <c r="F101" s="2549"/>
      <c r="G101" s="2550"/>
      <c r="H101" s="2549"/>
      <c r="I101" s="2550"/>
      <c r="J101" s="2549"/>
      <c r="K101" s="2549"/>
      <c r="L101" s="2550"/>
      <c r="M101" s="2549"/>
      <c r="N101" s="2549"/>
      <c r="O101" s="2550"/>
      <c r="P101" s="2549"/>
      <c r="Q101" s="2549"/>
      <c r="R101" s="2551"/>
    </row>
    <row r="102" spans="2:18" s="2132" customFormat="1">
      <c r="B102" s="2549"/>
      <c r="C102" s="2549"/>
      <c r="D102" s="2549"/>
      <c r="E102" s="2549"/>
      <c r="F102" s="2549"/>
      <c r="G102" s="2550"/>
      <c r="H102" s="2549"/>
      <c r="I102" s="2550"/>
      <c r="J102" s="2549"/>
      <c r="K102" s="2549"/>
      <c r="L102" s="2550"/>
      <c r="M102" s="2549"/>
      <c r="N102" s="2549"/>
      <c r="O102" s="2550"/>
      <c r="P102" s="2549"/>
      <c r="Q102" s="2549"/>
      <c r="R102" s="2551"/>
    </row>
    <row r="103" spans="2:18" s="2132" customFormat="1">
      <c r="B103" s="2549"/>
      <c r="C103" s="2549"/>
      <c r="D103" s="2549"/>
      <c r="E103" s="2549"/>
      <c r="F103" s="2549"/>
      <c r="G103" s="2550"/>
      <c r="H103" s="2549"/>
      <c r="I103" s="2550"/>
      <c r="J103" s="2549"/>
      <c r="K103" s="2549"/>
      <c r="L103" s="2550"/>
      <c r="M103" s="2549"/>
      <c r="N103" s="2549"/>
      <c r="O103" s="2550"/>
      <c r="P103" s="2549"/>
      <c r="Q103" s="2549"/>
      <c r="R103" s="2551"/>
    </row>
    <row r="104" spans="2:18" s="2132" customFormat="1">
      <c r="B104" s="2549"/>
      <c r="C104" s="2549"/>
      <c r="D104" s="2549"/>
      <c r="E104" s="2549"/>
      <c r="F104" s="2549"/>
      <c r="G104" s="2550"/>
      <c r="H104" s="2549"/>
      <c r="I104" s="2550"/>
      <c r="J104" s="2549"/>
      <c r="K104" s="2549"/>
      <c r="L104" s="2550"/>
      <c r="M104" s="2549"/>
      <c r="N104" s="2549"/>
      <c r="O104" s="2550"/>
      <c r="P104" s="2549"/>
      <c r="Q104" s="2549"/>
      <c r="R104" s="2551"/>
    </row>
    <row r="105" spans="2:18" s="2132" customFormat="1">
      <c r="B105" s="2549"/>
      <c r="C105" s="2549"/>
      <c r="D105" s="2549"/>
      <c r="E105" s="2549"/>
      <c r="F105" s="2549"/>
      <c r="G105" s="2550"/>
      <c r="H105" s="2549"/>
      <c r="I105" s="2550"/>
      <c r="J105" s="2549"/>
      <c r="K105" s="2549"/>
      <c r="L105" s="2550"/>
      <c r="M105" s="2549"/>
      <c r="N105" s="2549"/>
      <c r="O105" s="2550"/>
      <c r="P105" s="2549"/>
      <c r="Q105" s="2549"/>
      <c r="R105" s="2551"/>
    </row>
    <row r="106" spans="2:18" s="2132" customFormat="1">
      <c r="B106" s="2549"/>
      <c r="C106" s="2549"/>
      <c r="D106" s="2549"/>
      <c r="E106" s="2549"/>
      <c r="F106" s="2549"/>
      <c r="G106" s="2550"/>
      <c r="H106" s="2549"/>
      <c r="I106" s="2550"/>
      <c r="J106" s="2549"/>
      <c r="K106" s="2549"/>
      <c r="L106" s="2550"/>
      <c r="M106" s="2549"/>
      <c r="N106" s="2549"/>
      <c r="O106" s="2550"/>
      <c r="P106" s="2549"/>
      <c r="Q106" s="2549"/>
      <c r="R106" s="2551"/>
    </row>
    <row r="107" spans="2:18" s="2132" customFormat="1">
      <c r="B107" s="2549"/>
      <c r="C107" s="2549"/>
      <c r="D107" s="2549"/>
      <c r="E107" s="2549"/>
      <c r="F107" s="2549"/>
      <c r="G107" s="2550"/>
      <c r="H107" s="2549"/>
      <c r="I107" s="2550"/>
      <c r="J107" s="2549"/>
      <c r="K107" s="2549"/>
      <c r="L107" s="2550"/>
      <c r="M107" s="2549"/>
      <c r="N107" s="2549"/>
      <c r="O107" s="2550"/>
      <c r="P107" s="2549"/>
      <c r="Q107" s="2549"/>
      <c r="R107" s="2551"/>
    </row>
    <row r="108" spans="2:18" s="2132" customFormat="1">
      <c r="B108" s="2549"/>
      <c r="C108" s="2549"/>
      <c r="D108" s="2549"/>
      <c r="E108" s="2549"/>
      <c r="F108" s="2549"/>
      <c r="G108" s="2550"/>
      <c r="H108" s="2549"/>
      <c r="I108" s="2550"/>
      <c r="J108" s="2549"/>
      <c r="K108" s="2549"/>
      <c r="L108" s="2550"/>
      <c r="M108" s="2549"/>
      <c r="N108" s="2549"/>
      <c r="O108" s="2550"/>
      <c r="P108" s="2549"/>
      <c r="Q108" s="2549"/>
      <c r="R108" s="2551"/>
    </row>
    <row r="109" spans="2:18" s="2132" customFormat="1">
      <c r="B109" s="2549"/>
      <c r="C109" s="2549"/>
      <c r="D109" s="2549"/>
      <c r="E109" s="2549"/>
      <c r="F109" s="2549"/>
      <c r="G109" s="2550"/>
      <c r="H109" s="2549"/>
      <c r="I109" s="2550"/>
      <c r="J109" s="2549"/>
      <c r="K109" s="2549"/>
      <c r="L109" s="2550"/>
      <c r="M109" s="2549"/>
      <c r="N109" s="2549"/>
      <c r="O109" s="2550"/>
      <c r="P109" s="2549"/>
      <c r="Q109" s="2549"/>
      <c r="R109" s="2551"/>
    </row>
    <row r="110" spans="2:18" s="2132" customFormat="1">
      <c r="B110" s="2549"/>
      <c r="C110" s="2549"/>
      <c r="D110" s="2549"/>
      <c r="E110" s="2549"/>
      <c r="F110" s="2549"/>
      <c r="G110" s="2550"/>
      <c r="H110" s="2549"/>
      <c r="I110" s="2550"/>
      <c r="J110" s="2549"/>
      <c r="K110" s="2549"/>
      <c r="L110" s="2550"/>
      <c r="M110" s="2549"/>
      <c r="N110" s="2549"/>
      <c r="O110" s="2550"/>
      <c r="P110" s="2549"/>
      <c r="Q110" s="2549"/>
      <c r="R110" s="2551"/>
    </row>
    <row r="111" spans="2:18" s="2132" customFormat="1">
      <c r="B111" s="2549"/>
      <c r="C111" s="2549"/>
      <c r="D111" s="2549"/>
      <c r="E111" s="2549"/>
      <c r="F111" s="2549"/>
      <c r="G111" s="2550"/>
      <c r="H111" s="2549"/>
      <c r="I111" s="2550"/>
      <c r="J111" s="2549"/>
      <c r="K111" s="2549"/>
      <c r="L111" s="2550"/>
      <c r="M111" s="2549"/>
      <c r="N111" s="2549"/>
      <c r="O111" s="2550"/>
      <c r="P111" s="2549"/>
      <c r="Q111" s="2549"/>
      <c r="R111" s="2551"/>
    </row>
    <row r="112" spans="2:18" s="2132" customFormat="1">
      <c r="B112" s="2549"/>
      <c r="C112" s="2549"/>
      <c r="D112" s="2549"/>
      <c r="E112" s="2549"/>
      <c r="F112" s="2549"/>
      <c r="G112" s="2550"/>
      <c r="H112" s="2549"/>
      <c r="I112" s="2550"/>
      <c r="J112" s="2549"/>
      <c r="K112" s="2549"/>
      <c r="L112" s="2550"/>
      <c r="M112" s="2549"/>
      <c r="N112" s="2549"/>
      <c r="O112" s="2550"/>
      <c r="P112" s="2549"/>
      <c r="Q112" s="2549"/>
      <c r="R112" s="2551"/>
    </row>
    <row r="113" spans="2:18" s="2132" customFormat="1">
      <c r="B113" s="2549"/>
      <c r="C113" s="2549"/>
      <c r="D113" s="2549"/>
      <c r="E113" s="2549"/>
      <c r="F113" s="2549"/>
      <c r="G113" s="2550"/>
      <c r="H113" s="2549"/>
      <c r="I113" s="2550"/>
      <c r="J113" s="2549"/>
      <c r="K113" s="2549"/>
      <c r="L113" s="2550"/>
      <c r="M113" s="2549"/>
      <c r="N113" s="2549"/>
      <c r="O113" s="2550"/>
      <c r="P113" s="2549"/>
      <c r="Q113" s="2549"/>
      <c r="R113" s="2551"/>
    </row>
    <row r="114" spans="2:18" s="2132" customFormat="1">
      <c r="B114" s="2549"/>
      <c r="C114" s="2549"/>
      <c r="D114" s="2549"/>
      <c r="E114" s="2549"/>
      <c r="F114" s="2549"/>
      <c r="G114" s="2550"/>
      <c r="H114" s="2549"/>
      <c r="I114" s="2550"/>
      <c r="J114" s="2549"/>
      <c r="K114" s="2549"/>
      <c r="L114" s="2550"/>
      <c r="M114" s="2549"/>
      <c r="N114" s="2549"/>
      <c r="O114" s="2550"/>
      <c r="P114" s="2549"/>
      <c r="Q114" s="2549"/>
      <c r="R114" s="2551"/>
    </row>
    <row r="115" spans="2:18" s="2132" customFormat="1">
      <c r="B115" s="2549"/>
      <c r="C115" s="2549"/>
      <c r="D115" s="2549"/>
      <c r="E115" s="2549"/>
      <c r="F115" s="2549"/>
      <c r="G115" s="2550"/>
      <c r="H115" s="2549"/>
      <c r="I115" s="2550"/>
      <c r="J115" s="2549"/>
      <c r="K115" s="2549"/>
      <c r="L115" s="2550"/>
      <c r="M115" s="2549"/>
      <c r="N115" s="2549"/>
      <c r="O115" s="2550"/>
      <c r="P115" s="2549"/>
      <c r="Q115" s="2549"/>
      <c r="R115" s="2551"/>
    </row>
    <row r="116" spans="2:18" s="2132" customFormat="1">
      <c r="B116" s="2549"/>
      <c r="C116" s="2549"/>
      <c r="D116" s="2549"/>
      <c r="E116" s="2549"/>
      <c r="F116" s="2549"/>
      <c r="G116" s="2550"/>
      <c r="H116" s="2549"/>
      <c r="I116" s="2550"/>
      <c r="J116" s="2549"/>
      <c r="K116" s="2549"/>
      <c r="L116" s="2550"/>
      <c r="M116" s="2549"/>
      <c r="N116" s="2549"/>
      <c r="O116" s="2550"/>
      <c r="P116" s="2549"/>
      <c r="Q116" s="2549"/>
      <c r="R116" s="2551"/>
    </row>
    <row r="117" spans="2:18" s="2132" customFormat="1">
      <c r="B117" s="2549"/>
      <c r="C117" s="2549"/>
      <c r="D117" s="2549"/>
      <c r="E117" s="2549"/>
      <c r="F117" s="2549"/>
      <c r="G117" s="2550"/>
      <c r="H117" s="2549"/>
      <c r="I117" s="2550"/>
      <c r="J117" s="2549"/>
      <c r="K117" s="2549"/>
      <c r="L117" s="2550"/>
      <c r="M117" s="2549"/>
      <c r="N117" s="2549"/>
      <c r="O117" s="2550"/>
      <c r="P117" s="2549"/>
      <c r="Q117" s="2549"/>
      <c r="R117" s="2551"/>
    </row>
    <row r="118" spans="2:18" s="2132" customFormat="1">
      <c r="B118" s="2549"/>
      <c r="C118" s="2549"/>
      <c r="D118" s="2549"/>
      <c r="E118" s="2549"/>
      <c r="F118" s="2549"/>
      <c r="G118" s="2550"/>
      <c r="H118" s="2549"/>
      <c r="I118" s="2550"/>
      <c r="J118" s="2549"/>
      <c r="K118" s="2549"/>
      <c r="L118" s="2550"/>
      <c r="M118" s="2549"/>
      <c r="N118" s="2549"/>
      <c r="O118" s="2550"/>
      <c r="P118" s="2549"/>
      <c r="Q118" s="2549"/>
      <c r="R118" s="2551"/>
    </row>
    <row r="119" spans="2:18" s="2132" customFormat="1">
      <c r="B119" s="2549"/>
      <c r="C119" s="2549"/>
      <c r="D119" s="2549"/>
      <c r="E119" s="2549"/>
      <c r="F119" s="2549"/>
      <c r="G119" s="2550"/>
      <c r="H119" s="2549"/>
      <c r="I119" s="2550"/>
      <c r="J119" s="2549"/>
      <c r="K119" s="2549"/>
      <c r="L119" s="2550"/>
      <c r="M119" s="2549"/>
      <c r="N119" s="2549"/>
      <c r="O119" s="2550"/>
      <c r="P119" s="2549"/>
      <c r="Q119" s="2549"/>
      <c r="R119" s="2551"/>
    </row>
    <row r="120" spans="2:18" s="2132" customFormat="1">
      <c r="B120" s="2549"/>
      <c r="C120" s="2549"/>
      <c r="D120" s="2549"/>
      <c r="E120" s="2549"/>
      <c r="F120" s="2549"/>
      <c r="G120" s="2550"/>
      <c r="H120" s="2549"/>
      <c r="I120" s="2550"/>
      <c r="J120" s="2549"/>
      <c r="K120" s="2549"/>
      <c r="L120" s="2550"/>
      <c r="M120" s="2549"/>
      <c r="N120" s="2549"/>
      <c r="O120" s="2550"/>
      <c r="P120" s="2549"/>
      <c r="Q120" s="2549"/>
      <c r="R120" s="2551"/>
    </row>
    <row r="121" spans="2:18" s="2132" customFormat="1">
      <c r="B121" s="2549"/>
      <c r="C121" s="2549"/>
      <c r="D121" s="2549"/>
      <c r="E121" s="2549"/>
      <c r="F121" s="2549"/>
      <c r="G121" s="2550"/>
      <c r="H121" s="2549"/>
      <c r="I121" s="2550"/>
      <c r="J121" s="2549"/>
      <c r="K121" s="2549"/>
      <c r="L121" s="2550"/>
      <c r="M121" s="2549"/>
      <c r="N121" s="2549"/>
      <c r="O121" s="2550"/>
      <c r="P121" s="2549"/>
      <c r="Q121" s="2549"/>
      <c r="R121" s="2551"/>
    </row>
    <row r="122" spans="2:18" s="2132" customFormat="1">
      <c r="B122" s="2549"/>
      <c r="C122" s="2549"/>
      <c r="D122" s="2549"/>
      <c r="E122" s="2549"/>
      <c r="F122" s="2549"/>
      <c r="G122" s="2550"/>
      <c r="H122" s="2549"/>
      <c r="I122" s="2550"/>
      <c r="J122" s="2549"/>
      <c r="K122" s="2549"/>
      <c r="L122" s="2550"/>
      <c r="M122" s="2549"/>
      <c r="N122" s="2549"/>
      <c r="O122" s="2550"/>
      <c r="P122" s="2549"/>
      <c r="Q122" s="2549"/>
      <c r="R122" s="2551"/>
    </row>
    <row r="123" spans="2:18" s="2132" customFormat="1">
      <c r="B123" s="2549"/>
      <c r="C123" s="2549"/>
      <c r="D123" s="2549"/>
      <c r="E123" s="2549"/>
      <c r="F123" s="2549"/>
      <c r="G123" s="2550"/>
      <c r="H123" s="2549"/>
      <c r="I123" s="2550"/>
      <c r="J123" s="2549"/>
      <c r="K123" s="2549"/>
      <c r="L123" s="2550"/>
      <c r="M123" s="2549"/>
      <c r="N123" s="2549"/>
      <c r="O123" s="2550"/>
      <c r="P123" s="2549"/>
      <c r="Q123" s="2549"/>
      <c r="R123" s="2551"/>
    </row>
    <row r="124" spans="2:18" s="2132" customFormat="1">
      <c r="B124" s="2549"/>
      <c r="C124" s="2549"/>
      <c r="D124" s="2549"/>
      <c r="E124" s="2549"/>
      <c r="F124" s="2549"/>
      <c r="G124" s="2550"/>
      <c r="H124" s="2549"/>
      <c r="I124" s="2550"/>
      <c r="J124" s="2549"/>
      <c r="K124" s="2549"/>
      <c r="L124" s="2550"/>
      <c r="M124" s="2549"/>
      <c r="N124" s="2549"/>
      <c r="O124" s="2550"/>
      <c r="P124" s="2549"/>
      <c r="Q124" s="2549"/>
      <c r="R124" s="2551"/>
    </row>
    <row r="125" spans="2:18" s="2132" customFormat="1">
      <c r="B125" s="2549"/>
      <c r="C125" s="2549"/>
      <c r="D125" s="2549"/>
      <c r="E125" s="2549"/>
      <c r="F125" s="2549"/>
      <c r="G125" s="2550"/>
      <c r="H125" s="2549"/>
      <c r="I125" s="2550"/>
      <c r="J125" s="2549"/>
      <c r="K125" s="2549"/>
      <c r="L125" s="2550"/>
      <c r="M125" s="2549"/>
      <c r="N125" s="2549"/>
      <c r="O125" s="2550"/>
      <c r="P125" s="2549"/>
      <c r="Q125" s="2549"/>
      <c r="R125" s="2551"/>
    </row>
    <row r="126" spans="2:18" s="2132" customFormat="1">
      <c r="B126" s="2549"/>
      <c r="C126" s="2549"/>
      <c r="D126" s="2549"/>
      <c r="E126" s="2549"/>
      <c r="F126" s="2549"/>
      <c r="G126" s="2550"/>
      <c r="H126" s="2549"/>
      <c r="I126" s="2550"/>
      <c r="J126" s="2549"/>
      <c r="K126" s="2549"/>
      <c r="L126" s="2550"/>
      <c r="M126" s="2549"/>
      <c r="N126" s="2549"/>
      <c r="O126" s="2550"/>
      <c r="P126" s="2549"/>
      <c r="Q126" s="2549"/>
      <c r="R126" s="2551"/>
    </row>
    <row r="127" spans="2:18" s="2132" customFormat="1">
      <c r="B127" s="2549"/>
      <c r="C127" s="2549"/>
      <c r="D127" s="2549"/>
      <c r="E127" s="2549"/>
      <c r="F127" s="2549"/>
      <c r="G127" s="2550"/>
      <c r="H127" s="2549"/>
      <c r="I127" s="2550"/>
      <c r="J127" s="2549"/>
      <c r="K127" s="2549"/>
      <c r="L127" s="2550"/>
      <c r="M127" s="2549"/>
      <c r="N127" s="2549"/>
      <c r="O127" s="2550"/>
      <c r="P127" s="2549"/>
      <c r="Q127" s="2549"/>
      <c r="R127" s="2551"/>
    </row>
    <row r="128" spans="2:18" s="2132" customFormat="1">
      <c r="B128" s="2549"/>
      <c r="C128" s="2549"/>
      <c r="D128" s="2549"/>
      <c r="E128" s="2549"/>
      <c r="F128" s="2549"/>
      <c r="G128" s="2550"/>
      <c r="H128" s="2549"/>
      <c r="I128" s="2550"/>
      <c r="J128" s="2549"/>
      <c r="K128" s="2549"/>
      <c r="L128" s="2550"/>
      <c r="M128" s="2549"/>
      <c r="N128" s="2549"/>
      <c r="O128" s="2550"/>
      <c r="P128" s="2549"/>
      <c r="Q128" s="2549"/>
      <c r="R128" s="2551"/>
    </row>
    <row r="129" spans="2:18" s="2132" customFormat="1">
      <c r="B129" s="2549"/>
      <c r="C129" s="2549"/>
      <c r="D129" s="2549"/>
      <c r="E129" s="2549"/>
      <c r="F129" s="2549"/>
      <c r="G129" s="2550"/>
      <c r="H129" s="2549"/>
      <c r="I129" s="2550"/>
      <c r="J129" s="2549"/>
      <c r="K129" s="2549"/>
      <c r="L129" s="2550"/>
      <c r="M129" s="2549"/>
      <c r="N129" s="2549"/>
      <c r="O129" s="2550"/>
      <c r="P129" s="2549"/>
      <c r="Q129" s="2549"/>
      <c r="R129" s="2551"/>
    </row>
    <row r="130" spans="2:18" s="2132" customFormat="1">
      <c r="B130" s="2549"/>
      <c r="C130" s="2549"/>
      <c r="D130" s="2549"/>
      <c r="E130" s="2549"/>
      <c r="F130" s="2549"/>
      <c r="G130" s="2550"/>
      <c r="H130" s="2549"/>
      <c r="I130" s="2550"/>
      <c r="J130" s="2549"/>
      <c r="K130" s="2549"/>
      <c r="L130" s="2550"/>
      <c r="M130" s="2549"/>
      <c r="N130" s="2549"/>
      <c r="O130" s="2550"/>
      <c r="P130" s="2549"/>
      <c r="Q130" s="2549"/>
      <c r="R130" s="2551"/>
    </row>
    <row r="131" spans="2:18" s="2132" customFormat="1">
      <c r="B131" s="2549"/>
      <c r="C131" s="2549"/>
      <c r="D131" s="2549"/>
      <c r="E131" s="2549"/>
      <c r="F131" s="2549"/>
      <c r="G131" s="2550"/>
      <c r="H131" s="2549"/>
      <c r="I131" s="2550"/>
      <c r="J131" s="2549"/>
      <c r="K131" s="2549"/>
      <c r="L131" s="2550"/>
      <c r="M131" s="2549"/>
      <c r="N131" s="2549"/>
      <c r="O131" s="2550"/>
      <c r="P131" s="2549"/>
      <c r="Q131" s="2549"/>
      <c r="R131" s="2551"/>
    </row>
    <row r="132" spans="2:18" s="2132" customFormat="1">
      <c r="B132" s="2549"/>
      <c r="C132" s="2549"/>
      <c r="D132" s="2549"/>
      <c r="E132" s="2549"/>
      <c r="F132" s="2549"/>
      <c r="G132" s="2550"/>
      <c r="H132" s="2549"/>
      <c r="I132" s="2550"/>
      <c r="J132" s="2549"/>
      <c r="K132" s="2549"/>
      <c r="L132" s="2550"/>
      <c r="M132" s="2549"/>
      <c r="N132" s="2549"/>
      <c r="O132" s="2550"/>
      <c r="P132" s="2549"/>
      <c r="Q132" s="2549"/>
      <c r="R132" s="2551"/>
    </row>
    <row r="133" spans="2:18" s="2132" customFormat="1">
      <c r="B133" s="2549"/>
      <c r="C133" s="2549"/>
      <c r="D133" s="2549"/>
      <c r="E133" s="2549"/>
      <c r="F133" s="2549"/>
      <c r="G133" s="2550"/>
      <c r="H133" s="2549"/>
      <c r="I133" s="2550"/>
      <c r="J133" s="2549"/>
      <c r="K133" s="2549"/>
      <c r="L133" s="2550"/>
      <c r="M133" s="2549"/>
      <c r="N133" s="2549"/>
      <c r="O133" s="2550"/>
      <c r="P133" s="2549"/>
      <c r="Q133" s="2549"/>
      <c r="R133" s="2551"/>
    </row>
    <row r="134" spans="2:18" s="2132" customFormat="1">
      <c r="B134" s="2549"/>
      <c r="C134" s="2549"/>
      <c r="D134" s="2549"/>
      <c r="E134" s="2549"/>
      <c r="F134" s="2549"/>
      <c r="G134" s="2550"/>
      <c r="H134" s="2549"/>
      <c r="I134" s="2550"/>
      <c r="J134" s="2549"/>
      <c r="K134" s="2549"/>
      <c r="L134" s="2550"/>
      <c r="M134" s="2549"/>
      <c r="N134" s="2549"/>
      <c r="O134" s="2550"/>
      <c r="P134" s="2549"/>
      <c r="Q134" s="2549"/>
      <c r="R134" s="2551"/>
    </row>
    <row r="135" spans="2:18" s="2132" customFormat="1">
      <c r="B135" s="2549"/>
      <c r="C135" s="2549"/>
      <c r="D135" s="2549"/>
      <c r="E135" s="2549"/>
      <c r="F135" s="2549"/>
      <c r="G135" s="2550"/>
      <c r="H135" s="2549"/>
      <c r="I135" s="2550"/>
      <c r="J135" s="2549"/>
      <c r="K135" s="2549"/>
      <c r="L135" s="2550"/>
      <c r="M135" s="2549"/>
      <c r="N135" s="2549"/>
      <c r="O135" s="2550"/>
      <c r="P135" s="2549"/>
      <c r="Q135" s="2549"/>
      <c r="R135" s="2551"/>
    </row>
    <row r="136" spans="2:18" s="2132" customFormat="1">
      <c r="B136" s="2549"/>
      <c r="C136" s="2549"/>
      <c r="D136" s="2549"/>
      <c r="E136" s="2549"/>
      <c r="F136" s="2549"/>
      <c r="G136" s="2550"/>
      <c r="H136" s="2549"/>
      <c r="I136" s="2550"/>
      <c r="J136" s="2549"/>
      <c r="K136" s="2549"/>
      <c r="L136" s="2550"/>
      <c r="M136" s="2549"/>
      <c r="N136" s="2549"/>
      <c r="O136" s="2550"/>
      <c r="P136" s="2549"/>
      <c r="Q136" s="2549"/>
      <c r="R136" s="2551"/>
    </row>
    <row r="137" spans="2:18" s="2132" customFormat="1">
      <c r="B137" s="2549"/>
      <c r="C137" s="2549"/>
      <c r="D137" s="2549"/>
      <c r="E137" s="2549"/>
      <c r="F137" s="2549"/>
      <c r="G137" s="2550"/>
      <c r="H137" s="2549"/>
      <c r="I137" s="2550"/>
      <c r="J137" s="2549"/>
      <c r="K137" s="2549"/>
      <c r="L137" s="2550"/>
      <c r="M137" s="2549"/>
      <c r="N137" s="2549"/>
      <c r="O137" s="2550"/>
      <c r="P137" s="2549"/>
      <c r="Q137" s="2549"/>
      <c r="R137" s="2551"/>
    </row>
    <row r="138" spans="2:18" s="2132" customFormat="1">
      <c r="B138" s="2549"/>
      <c r="C138" s="2549"/>
      <c r="D138" s="2549"/>
      <c r="E138" s="2549"/>
      <c r="F138" s="2549"/>
      <c r="G138" s="2550"/>
      <c r="H138" s="2549"/>
      <c r="I138" s="2550"/>
      <c r="J138" s="2549"/>
      <c r="K138" s="2549"/>
      <c r="L138" s="2550"/>
      <c r="M138" s="2549"/>
      <c r="N138" s="2549"/>
      <c r="O138" s="2550"/>
      <c r="P138" s="2549"/>
      <c r="Q138" s="2549"/>
      <c r="R138" s="2551"/>
    </row>
    <row r="139" spans="2:18" s="2132" customFormat="1">
      <c r="B139" s="2549"/>
      <c r="C139" s="2549"/>
      <c r="D139" s="2549"/>
      <c r="E139" s="2549"/>
      <c r="F139" s="2549"/>
      <c r="G139" s="2550"/>
      <c r="H139" s="2549"/>
      <c r="I139" s="2550"/>
      <c r="J139" s="2549"/>
      <c r="K139" s="2549"/>
      <c r="L139" s="2550"/>
      <c r="M139" s="2549"/>
      <c r="N139" s="2549"/>
      <c r="O139" s="2550"/>
      <c r="P139" s="2549"/>
      <c r="Q139" s="2549"/>
      <c r="R139" s="2551"/>
    </row>
    <row r="140" spans="2:18" s="2132" customFormat="1">
      <c r="B140" s="2549"/>
      <c r="C140" s="2549"/>
      <c r="D140" s="2549"/>
      <c r="E140" s="2549"/>
      <c r="F140" s="2549"/>
      <c r="G140" s="2550"/>
      <c r="H140" s="2549"/>
      <c r="I140" s="2550"/>
      <c r="J140" s="2549"/>
      <c r="K140" s="2549"/>
      <c r="L140" s="2550"/>
      <c r="M140" s="2549"/>
      <c r="N140" s="2549"/>
      <c r="O140" s="2550"/>
      <c r="P140" s="2549"/>
      <c r="Q140" s="2549"/>
      <c r="R140" s="2551"/>
    </row>
    <row r="141" spans="2:18" s="2132" customFormat="1">
      <c r="B141" s="2549"/>
      <c r="C141" s="2549"/>
      <c r="D141" s="2549"/>
      <c r="E141" s="2549"/>
      <c r="F141" s="2549"/>
      <c r="G141" s="2550"/>
      <c r="H141" s="2549"/>
      <c r="I141" s="2550"/>
      <c r="J141" s="2549"/>
      <c r="K141" s="2549"/>
      <c r="L141" s="2550"/>
      <c r="M141" s="2549"/>
      <c r="N141" s="2549"/>
      <c r="O141" s="2550"/>
      <c r="P141" s="2549"/>
      <c r="Q141" s="2549"/>
      <c r="R141" s="2551"/>
    </row>
    <row r="142" spans="2:18" s="2132" customFormat="1">
      <c r="B142" s="2549"/>
      <c r="C142" s="2549"/>
      <c r="D142" s="2549"/>
      <c r="E142" s="2549"/>
      <c r="F142" s="2549"/>
      <c r="G142" s="2550"/>
      <c r="H142" s="2549"/>
      <c r="I142" s="2550"/>
      <c r="J142" s="2549"/>
      <c r="K142" s="2549"/>
      <c r="L142" s="2550"/>
      <c r="M142" s="2549"/>
      <c r="N142" s="2549"/>
      <c r="O142" s="2550"/>
      <c r="P142" s="2549"/>
      <c r="Q142" s="2549"/>
      <c r="R142" s="2551"/>
    </row>
    <row r="143" spans="2:18" s="2132" customFormat="1">
      <c r="B143" s="2549"/>
      <c r="C143" s="2549"/>
      <c r="D143" s="2549"/>
      <c r="E143" s="2549"/>
      <c r="F143" s="2549"/>
      <c r="G143" s="2550"/>
      <c r="H143" s="2549"/>
      <c r="I143" s="2550"/>
      <c r="J143" s="2549"/>
      <c r="K143" s="2549"/>
      <c r="L143" s="2550"/>
      <c r="M143" s="2549"/>
      <c r="N143" s="2549"/>
      <c r="O143" s="2550"/>
      <c r="P143" s="2549"/>
      <c r="Q143" s="2549"/>
      <c r="R143" s="2551"/>
    </row>
    <row r="144" spans="2:18" s="2132" customFormat="1">
      <c r="B144" s="2549"/>
      <c r="C144" s="2549"/>
      <c r="D144" s="2549"/>
      <c r="E144" s="2549"/>
      <c r="F144" s="2549"/>
      <c r="G144" s="2550"/>
      <c r="H144" s="2549"/>
      <c r="I144" s="2550"/>
      <c r="J144" s="2549"/>
      <c r="K144" s="2549"/>
      <c r="L144" s="2550"/>
      <c r="M144" s="2549"/>
      <c r="N144" s="2549"/>
      <c r="O144" s="2550"/>
      <c r="P144" s="2549"/>
      <c r="Q144" s="2549"/>
      <c r="R144" s="2551"/>
    </row>
    <row r="145" spans="2:18" s="2132" customFormat="1">
      <c r="B145" s="2549"/>
      <c r="C145" s="2549"/>
      <c r="D145" s="2549"/>
      <c r="E145" s="2549"/>
      <c r="F145" s="2549"/>
      <c r="G145" s="2550"/>
      <c r="H145" s="2549"/>
      <c r="I145" s="2550"/>
      <c r="J145" s="2549"/>
      <c r="K145" s="2549"/>
      <c r="L145" s="2550"/>
      <c r="M145" s="2549"/>
      <c r="N145" s="2549"/>
      <c r="O145" s="2550"/>
      <c r="P145" s="2549"/>
      <c r="Q145" s="2549"/>
      <c r="R145" s="2551"/>
    </row>
    <row r="146" spans="2:18" s="2132" customFormat="1">
      <c r="B146" s="2549"/>
      <c r="C146" s="2549"/>
      <c r="D146" s="2549"/>
      <c r="E146" s="2549"/>
      <c r="F146" s="2549"/>
      <c r="G146" s="2550"/>
      <c r="H146" s="2549"/>
      <c r="I146" s="2550"/>
      <c r="J146" s="2549"/>
      <c r="K146" s="2549"/>
      <c r="L146" s="2550"/>
      <c r="M146" s="2549"/>
      <c r="N146" s="2549"/>
      <c r="O146" s="2550"/>
      <c r="P146" s="2549"/>
      <c r="Q146" s="2549"/>
      <c r="R146" s="2551"/>
    </row>
    <row r="147" spans="2:18" s="2132" customFormat="1">
      <c r="B147" s="2549"/>
      <c r="C147" s="2549"/>
      <c r="D147" s="2549"/>
      <c r="E147" s="2549"/>
      <c r="F147" s="2549"/>
      <c r="G147" s="2550"/>
      <c r="H147" s="2549"/>
      <c r="I147" s="2550"/>
      <c r="J147" s="2549"/>
      <c r="K147" s="2549"/>
      <c r="L147" s="2550"/>
      <c r="M147" s="2549"/>
      <c r="N147" s="2549"/>
      <c r="O147" s="2550"/>
      <c r="P147" s="2549"/>
      <c r="Q147" s="2549"/>
      <c r="R147" s="2551"/>
    </row>
    <row r="148" spans="2:18" s="2132" customFormat="1">
      <c r="B148" s="2549"/>
      <c r="C148" s="2549"/>
      <c r="D148" s="2549"/>
      <c r="E148" s="2549"/>
      <c r="F148" s="2549"/>
      <c r="G148" s="2550"/>
      <c r="H148" s="2549"/>
      <c r="I148" s="2550"/>
      <c r="J148" s="2549"/>
      <c r="K148" s="2549"/>
      <c r="L148" s="2550"/>
      <c r="M148" s="2549"/>
      <c r="N148" s="2549"/>
      <c r="O148" s="2550"/>
      <c r="P148" s="2549"/>
      <c r="Q148" s="2549"/>
      <c r="R148" s="2551"/>
    </row>
    <row r="149" spans="2:18" s="2132" customFormat="1">
      <c r="B149" s="2549"/>
      <c r="C149" s="2549"/>
      <c r="D149" s="2549"/>
      <c r="E149" s="2549"/>
      <c r="F149" s="2549"/>
      <c r="G149" s="2550"/>
      <c r="H149" s="2549"/>
      <c r="I149" s="2550"/>
      <c r="J149" s="2549"/>
      <c r="K149" s="2549"/>
      <c r="L149" s="2550"/>
      <c r="M149" s="2549"/>
      <c r="N149" s="2549"/>
      <c r="O149" s="2550"/>
      <c r="P149" s="2549"/>
      <c r="Q149" s="2549"/>
      <c r="R149" s="2551"/>
    </row>
    <row r="150" spans="2:18" s="2132" customFormat="1">
      <c r="B150" s="2549"/>
      <c r="C150" s="2549"/>
      <c r="D150" s="2549"/>
      <c r="E150" s="2549"/>
      <c r="F150" s="2549"/>
      <c r="G150" s="2550"/>
      <c r="H150" s="2549"/>
      <c r="I150" s="2550"/>
      <c r="J150" s="2549"/>
      <c r="K150" s="2549"/>
      <c r="L150" s="2550"/>
      <c r="M150" s="2549"/>
      <c r="N150" s="2549"/>
      <c r="O150" s="2550"/>
      <c r="P150" s="2549"/>
      <c r="Q150" s="2549"/>
      <c r="R150" s="2551"/>
    </row>
    <row r="151" spans="2:18" s="2132" customFormat="1">
      <c r="B151" s="2549"/>
      <c r="C151" s="2549"/>
      <c r="D151" s="2549"/>
      <c r="E151" s="2549"/>
      <c r="F151" s="2549"/>
      <c r="G151" s="2550"/>
      <c r="H151" s="2549"/>
      <c r="I151" s="2550"/>
      <c r="J151" s="2549"/>
      <c r="K151" s="2549"/>
      <c r="L151" s="2550"/>
      <c r="M151" s="2549"/>
      <c r="N151" s="2549"/>
      <c r="O151" s="2550"/>
      <c r="P151" s="2549"/>
      <c r="Q151" s="2549"/>
      <c r="R151" s="2551"/>
    </row>
    <row r="152" spans="2:18" s="2132" customFormat="1">
      <c r="B152" s="2549"/>
      <c r="C152" s="2549"/>
      <c r="D152" s="2549"/>
      <c r="E152" s="2549"/>
      <c r="F152" s="2549"/>
      <c r="G152" s="2550"/>
      <c r="H152" s="2549"/>
      <c r="I152" s="2550"/>
      <c r="J152" s="2549"/>
      <c r="K152" s="2549"/>
      <c r="L152" s="2550"/>
      <c r="M152" s="2549"/>
      <c r="N152" s="2549"/>
      <c r="O152" s="2550"/>
      <c r="P152" s="2549"/>
      <c r="Q152" s="2549"/>
      <c r="R152" s="2551"/>
    </row>
    <row r="153" spans="2:18" s="2132" customFormat="1">
      <c r="B153" s="2549"/>
      <c r="C153" s="2549"/>
      <c r="D153" s="2549"/>
      <c r="E153" s="2549"/>
      <c r="F153" s="2549"/>
      <c r="G153" s="2550"/>
      <c r="H153" s="2549"/>
      <c r="I153" s="2550"/>
      <c r="J153" s="2549"/>
      <c r="K153" s="2549"/>
      <c r="L153" s="2550"/>
      <c r="M153" s="2549"/>
      <c r="N153" s="2549"/>
      <c r="O153" s="2550"/>
      <c r="P153" s="2549"/>
      <c r="Q153" s="2549"/>
      <c r="R153" s="2551"/>
    </row>
    <row r="154" spans="2:18" s="2132" customFormat="1">
      <c r="B154" s="2549"/>
      <c r="C154" s="2549"/>
      <c r="D154" s="2549"/>
      <c r="E154" s="2549"/>
      <c r="F154" s="2549"/>
      <c r="G154" s="2550"/>
      <c r="H154" s="2549"/>
      <c r="I154" s="2550"/>
      <c r="J154" s="2549"/>
      <c r="K154" s="2549"/>
      <c r="L154" s="2550"/>
      <c r="M154" s="2549"/>
      <c r="N154" s="2549"/>
      <c r="O154" s="2550"/>
      <c r="P154" s="2549"/>
      <c r="Q154" s="2549"/>
      <c r="R154" s="2551"/>
    </row>
    <row r="155" spans="2:18" s="2132" customFormat="1">
      <c r="B155" s="2549"/>
      <c r="C155" s="2549"/>
      <c r="D155" s="2549"/>
      <c r="E155" s="2549"/>
      <c r="F155" s="2549"/>
      <c r="G155" s="2550"/>
      <c r="H155" s="2549"/>
      <c r="I155" s="2550"/>
      <c r="J155" s="2549"/>
      <c r="K155" s="2549"/>
      <c r="L155" s="2550"/>
      <c r="M155" s="2549"/>
      <c r="N155" s="2549"/>
      <c r="O155" s="2550"/>
      <c r="P155" s="2549"/>
      <c r="Q155" s="2549"/>
      <c r="R155" s="2551"/>
    </row>
    <row r="156" spans="2:18" s="2132" customFormat="1">
      <c r="B156" s="2549"/>
      <c r="C156" s="2549"/>
      <c r="D156" s="2549"/>
      <c r="E156" s="2549"/>
      <c r="F156" s="2549"/>
      <c r="G156" s="2550"/>
      <c r="H156" s="2549"/>
      <c r="I156" s="2550"/>
      <c r="J156" s="2549"/>
      <c r="K156" s="2549"/>
      <c r="L156" s="2550"/>
      <c r="M156" s="2549"/>
      <c r="N156" s="2549"/>
      <c r="O156" s="2550"/>
      <c r="P156" s="2549"/>
      <c r="Q156" s="2549"/>
      <c r="R156" s="2551"/>
    </row>
    <row r="157" spans="2:18" s="2132" customFormat="1">
      <c r="B157" s="2549"/>
      <c r="C157" s="2549"/>
      <c r="D157" s="2549"/>
      <c r="E157" s="2549"/>
      <c r="F157" s="2549"/>
      <c r="G157" s="2550"/>
      <c r="H157" s="2549"/>
      <c r="I157" s="2550"/>
      <c r="J157" s="2549"/>
      <c r="K157" s="2549"/>
      <c r="L157" s="2550"/>
      <c r="M157" s="2549"/>
      <c r="N157" s="2549"/>
      <c r="O157" s="2550"/>
      <c r="P157" s="2549"/>
      <c r="Q157" s="2549"/>
      <c r="R157" s="2551"/>
    </row>
    <row r="158" spans="2:18" s="2132" customFormat="1">
      <c r="B158" s="2549"/>
      <c r="C158" s="2549"/>
      <c r="D158" s="2549"/>
      <c r="E158" s="2549"/>
      <c r="F158" s="2549"/>
      <c r="G158" s="2550"/>
      <c r="H158" s="2549"/>
      <c r="I158" s="2550"/>
      <c r="J158" s="2549"/>
      <c r="K158" s="2549"/>
      <c r="L158" s="2550"/>
      <c r="M158" s="2549"/>
      <c r="N158" s="2549"/>
      <c r="O158" s="2550"/>
      <c r="P158" s="2549"/>
      <c r="Q158" s="2549"/>
      <c r="R158" s="2551"/>
    </row>
    <row r="159" spans="2:18" s="2132" customFormat="1">
      <c r="B159" s="2549"/>
      <c r="C159" s="2549"/>
      <c r="D159" s="2549"/>
      <c r="E159" s="2549"/>
      <c r="F159" s="2549"/>
      <c r="G159" s="2550"/>
      <c r="H159" s="2549"/>
      <c r="I159" s="2550"/>
      <c r="J159" s="2549"/>
      <c r="K159" s="2549"/>
      <c r="L159" s="2550"/>
      <c r="M159" s="2549"/>
      <c r="N159" s="2549"/>
      <c r="O159" s="2550"/>
      <c r="P159" s="2549"/>
      <c r="Q159" s="2549"/>
      <c r="R159" s="2551"/>
    </row>
    <row r="160" spans="2:18" s="2132" customFormat="1">
      <c r="B160" s="2549"/>
      <c r="C160" s="2549"/>
      <c r="D160" s="2549"/>
      <c r="E160" s="2549"/>
      <c r="F160" s="2549"/>
      <c r="G160" s="2550"/>
      <c r="H160" s="2549"/>
      <c r="I160" s="2550"/>
      <c r="J160" s="2549"/>
      <c r="K160" s="2549"/>
      <c r="L160" s="2550"/>
      <c r="M160" s="2549"/>
      <c r="N160" s="2549"/>
      <c r="O160" s="2550"/>
      <c r="P160" s="2549"/>
      <c r="Q160" s="2549"/>
      <c r="R160" s="2551"/>
    </row>
    <row r="161" spans="2:18" s="2132" customFormat="1">
      <c r="B161" s="2549"/>
      <c r="C161" s="2549"/>
      <c r="D161" s="2549"/>
      <c r="E161" s="2549"/>
      <c r="F161" s="2549"/>
      <c r="G161" s="2550"/>
      <c r="H161" s="2549"/>
      <c r="I161" s="2550"/>
      <c r="J161" s="2549"/>
      <c r="K161" s="2549"/>
      <c r="L161" s="2550"/>
      <c r="M161" s="2549"/>
      <c r="N161" s="2549"/>
      <c r="O161" s="2550"/>
      <c r="P161" s="2549"/>
      <c r="Q161" s="2549"/>
      <c r="R161" s="2551"/>
    </row>
    <row r="162" spans="2:18" s="2132" customFormat="1">
      <c r="B162" s="2549"/>
      <c r="C162" s="2549"/>
      <c r="D162" s="2549"/>
      <c r="E162" s="2549"/>
      <c r="F162" s="2549"/>
      <c r="G162" s="2550"/>
      <c r="H162" s="2549"/>
      <c r="I162" s="2550"/>
      <c r="J162" s="2549"/>
      <c r="K162" s="2549"/>
      <c r="L162" s="2550"/>
      <c r="M162" s="2549"/>
      <c r="N162" s="2549"/>
      <c r="O162" s="2550"/>
      <c r="P162" s="2549"/>
      <c r="Q162" s="2549"/>
      <c r="R162" s="2551"/>
    </row>
    <row r="163" spans="2:18" s="2132" customFormat="1">
      <c r="B163" s="2549"/>
      <c r="C163" s="2549"/>
      <c r="D163" s="2549"/>
      <c r="E163" s="2549"/>
      <c r="F163" s="2549"/>
      <c r="G163" s="2550"/>
      <c r="H163" s="2549"/>
      <c r="I163" s="2550"/>
      <c r="J163" s="2549"/>
      <c r="K163" s="2549"/>
      <c r="L163" s="2550"/>
      <c r="M163" s="2549"/>
      <c r="N163" s="2549"/>
      <c r="O163" s="2550"/>
      <c r="P163" s="2549"/>
      <c r="Q163" s="2549"/>
      <c r="R163" s="2551"/>
    </row>
    <row r="164" spans="2:18" s="2132" customFormat="1">
      <c r="B164" s="2549"/>
      <c r="C164" s="2549"/>
      <c r="D164" s="2549"/>
      <c r="E164" s="2549"/>
      <c r="F164" s="2549"/>
      <c r="G164" s="2550"/>
      <c r="H164" s="2549"/>
      <c r="I164" s="2550"/>
      <c r="J164" s="2549"/>
      <c r="K164" s="2549"/>
      <c r="L164" s="2550"/>
      <c r="M164" s="2549"/>
      <c r="N164" s="2549"/>
      <c r="O164" s="2550"/>
      <c r="P164" s="2549"/>
      <c r="Q164" s="2549"/>
      <c r="R164" s="2551"/>
    </row>
    <row r="165" spans="2:18" s="2132" customFormat="1">
      <c r="B165" s="2549"/>
      <c r="C165" s="2549"/>
      <c r="D165" s="2549"/>
      <c r="E165" s="2549"/>
      <c r="F165" s="2549"/>
      <c r="G165" s="2550"/>
      <c r="H165" s="2549"/>
      <c r="I165" s="2550"/>
      <c r="J165" s="2549"/>
      <c r="K165" s="2549"/>
      <c r="L165" s="2550"/>
      <c r="M165" s="2549"/>
      <c r="N165" s="2549"/>
      <c r="O165" s="2550"/>
      <c r="P165" s="2549"/>
      <c r="Q165" s="2549"/>
      <c r="R165" s="2551"/>
    </row>
    <row r="166" spans="2:18" s="2132" customFormat="1">
      <c r="B166" s="2549"/>
      <c r="C166" s="2549"/>
      <c r="D166" s="2549"/>
      <c r="E166" s="2549"/>
      <c r="F166" s="2549"/>
      <c r="G166" s="2550"/>
      <c r="H166" s="2549"/>
      <c r="I166" s="2550"/>
      <c r="J166" s="2549"/>
      <c r="K166" s="2549"/>
      <c r="L166" s="2550"/>
      <c r="M166" s="2549"/>
      <c r="N166" s="2549"/>
      <c r="O166" s="2550"/>
      <c r="P166" s="2549"/>
      <c r="Q166" s="2549"/>
      <c r="R166" s="2551"/>
    </row>
    <row r="167" spans="2:18" s="2132" customFormat="1">
      <c r="B167" s="2549"/>
      <c r="C167" s="2549"/>
      <c r="D167" s="2549"/>
      <c r="E167" s="2549"/>
      <c r="F167" s="2549"/>
      <c r="G167" s="2550"/>
      <c r="H167" s="2549"/>
      <c r="I167" s="2550"/>
      <c r="J167" s="2549"/>
      <c r="K167" s="2549"/>
      <c r="L167" s="2550"/>
      <c r="M167" s="2549"/>
      <c r="N167" s="2549"/>
      <c r="O167" s="2550"/>
      <c r="P167" s="2549"/>
      <c r="Q167" s="2549"/>
      <c r="R167" s="2551"/>
    </row>
    <row r="168" spans="2:18" s="2132" customFormat="1">
      <c r="B168" s="2549"/>
      <c r="C168" s="2549"/>
      <c r="D168" s="2549"/>
      <c r="E168" s="2549"/>
      <c r="F168" s="2549"/>
      <c r="G168" s="2550"/>
      <c r="H168" s="2549"/>
      <c r="I168" s="2550"/>
      <c r="J168" s="2549"/>
      <c r="K168" s="2549"/>
      <c r="L168" s="2550"/>
      <c r="M168" s="2549"/>
      <c r="N168" s="2549"/>
      <c r="O168" s="2550"/>
      <c r="P168" s="2549"/>
      <c r="Q168" s="2549"/>
      <c r="R168" s="2551"/>
    </row>
    <row r="169" spans="2:18" s="2132" customFormat="1">
      <c r="B169" s="2549"/>
      <c r="C169" s="2549"/>
      <c r="D169" s="2549"/>
      <c r="E169" s="2549"/>
      <c r="F169" s="2549"/>
      <c r="G169" s="2550"/>
      <c r="H169" s="2549"/>
      <c r="I169" s="2550"/>
      <c r="J169" s="2549"/>
      <c r="K169" s="2549"/>
      <c r="L169" s="2550"/>
      <c r="M169" s="2549"/>
      <c r="N169" s="2549"/>
      <c r="O169" s="2550"/>
      <c r="P169" s="2549"/>
      <c r="Q169" s="2549"/>
      <c r="R169" s="2551"/>
    </row>
    <row r="170" spans="2:18" s="2132" customFormat="1">
      <c r="B170" s="2549"/>
      <c r="C170" s="2549"/>
      <c r="D170" s="2549"/>
      <c r="E170" s="2549"/>
      <c r="F170" s="2549"/>
      <c r="G170" s="2550"/>
      <c r="H170" s="2549"/>
      <c r="I170" s="2550"/>
      <c r="J170" s="2549"/>
      <c r="K170" s="2549"/>
      <c r="L170" s="2550"/>
      <c r="M170" s="2549"/>
      <c r="N170" s="2549"/>
      <c r="O170" s="2550"/>
      <c r="P170" s="2549"/>
      <c r="Q170" s="2549"/>
      <c r="R170" s="2551"/>
    </row>
    <row r="171" spans="2:18" s="2132" customFormat="1">
      <c r="B171" s="2549"/>
      <c r="C171" s="2549"/>
      <c r="D171" s="2549"/>
      <c r="E171" s="2549"/>
      <c r="F171" s="2549"/>
      <c r="G171" s="2550"/>
      <c r="H171" s="2549"/>
      <c r="I171" s="2550"/>
      <c r="J171" s="2549"/>
      <c r="K171" s="2549"/>
      <c r="L171" s="2550"/>
      <c r="M171" s="2549"/>
      <c r="N171" s="2549"/>
      <c r="O171" s="2550"/>
      <c r="P171" s="2549"/>
      <c r="Q171" s="2549"/>
      <c r="R171" s="2551"/>
    </row>
    <row r="172" spans="2:18" s="2132" customFormat="1">
      <c r="B172" s="2549"/>
      <c r="C172" s="2549"/>
      <c r="D172" s="2549"/>
      <c r="E172" s="2549"/>
      <c r="F172" s="2549"/>
      <c r="G172" s="2550"/>
      <c r="H172" s="2549"/>
      <c r="I172" s="2550"/>
      <c r="J172" s="2549"/>
      <c r="K172" s="2549"/>
      <c r="L172" s="2550"/>
      <c r="M172" s="2549"/>
      <c r="N172" s="2549"/>
      <c r="O172" s="2550"/>
      <c r="P172" s="2549"/>
      <c r="Q172" s="2549"/>
      <c r="R172" s="2551"/>
    </row>
    <row r="173" spans="2:18" s="2132" customFormat="1">
      <c r="B173" s="2549"/>
      <c r="C173" s="2549"/>
      <c r="D173" s="2549"/>
      <c r="E173" s="2549"/>
      <c r="F173" s="2549"/>
      <c r="G173" s="2550"/>
      <c r="H173" s="2549"/>
      <c r="I173" s="2550"/>
      <c r="J173" s="2549"/>
      <c r="K173" s="2549"/>
      <c r="L173" s="2550"/>
      <c r="M173" s="2549"/>
      <c r="N173" s="2549"/>
      <c r="O173" s="2550"/>
      <c r="P173" s="2549"/>
      <c r="Q173" s="2549"/>
      <c r="R173" s="2551"/>
    </row>
    <row r="174" spans="2:18" s="2132" customFormat="1">
      <c r="B174" s="2549"/>
      <c r="C174" s="2549"/>
      <c r="D174" s="2549"/>
      <c r="E174" s="2549"/>
      <c r="F174" s="2549"/>
      <c r="G174" s="2550"/>
      <c r="H174" s="2549"/>
      <c r="I174" s="2550"/>
      <c r="J174" s="2549"/>
      <c r="K174" s="2549"/>
      <c r="L174" s="2550"/>
      <c r="M174" s="2549"/>
      <c r="N174" s="2549"/>
      <c r="O174" s="2550"/>
      <c r="P174" s="2549"/>
      <c r="Q174" s="2549"/>
      <c r="R174" s="2551"/>
    </row>
    <row r="175" spans="2:18" s="2132" customFormat="1">
      <c r="B175" s="2549"/>
      <c r="C175" s="2549"/>
      <c r="D175" s="2549"/>
      <c r="E175" s="2549"/>
      <c r="F175" s="2549"/>
      <c r="G175" s="2550"/>
      <c r="H175" s="2549"/>
      <c r="I175" s="2550"/>
      <c r="J175" s="2549"/>
      <c r="K175" s="2549"/>
      <c r="L175" s="2550"/>
      <c r="M175" s="2549"/>
      <c r="N175" s="2549"/>
      <c r="O175" s="2550"/>
      <c r="P175" s="2549"/>
      <c r="Q175" s="2549"/>
      <c r="R175" s="2551"/>
    </row>
    <row r="176" spans="2:18" s="2132" customFormat="1">
      <c r="B176" s="2549"/>
      <c r="C176" s="2549"/>
      <c r="D176" s="2549"/>
      <c r="E176" s="2549"/>
      <c r="F176" s="2549"/>
      <c r="G176" s="2550"/>
      <c r="H176" s="2549"/>
      <c r="I176" s="2550"/>
      <c r="J176" s="2549"/>
      <c r="K176" s="2549"/>
      <c r="L176" s="2550"/>
      <c r="M176" s="2549"/>
      <c r="N176" s="2549"/>
      <c r="O176" s="2550"/>
      <c r="P176" s="2549"/>
      <c r="Q176" s="2549"/>
      <c r="R176" s="2551"/>
    </row>
    <row r="177" spans="1:18" s="2132" customFormat="1">
      <c r="B177" s="2549"/>
      <c r="C177" s="2549"/>
      <c r="D177" s="2549"/>
      <c r="E177" s="2549"/>
      <c r="F177" s="2549"/>
      <c r="G177" s="2550"/>
      <c r="H177" s="2549"/>
      <c r="I177" s="2550"/>
      <c r="J177" s="2549"/>
      <c r="K177" s="2549"/>
      <c r="L177" s="2550"/>
      <c r="M177" s="2549"/>
      <c r="N177" s="2549"/>
      <c r="O177" s="2550"/>
      <c r="P177" s="2549"/>
      <c r="Q177" s="2549"/>
      <c r="R177" s="2551"/>
    </row>
    <row r="178" spans="1:18" s="2132" customFormat="1">
      <c r="B178" s="2549"/>
      <c r="C178" s="2549"/>
      <c r="D178" s="2549"/>
      <c r="E178" s="2549"/>
      <c r="F178" s="2549"/>
      <c r="G178" s="2550"/>
      <c r="H178" s="2549"/>
      <c r="I178" s="2550"/>
      <c r="J178" s="2549"/>
      <c r="K178" s="2549"/>
      <c r="L178" s="2550"/>
      <c r="M178" s="2549"/>
      <c r="N178" s="2549"/>
      <c r="O178" s="2550"/>
      <c r="P178" s="2549"/>
      <c r="Q178" s="2549"/>
      <c r="R178" s="2551"/>
    </row>
    <row r="179" spans="1:18" s="2132" customFormat="1">
      <c r="B179" s="2549"/>
      <c r="C179" s="2549"/>
      <c r="D179" s="2549"/>
      <c r="E179" s="2549"/>
      <c r="F179" s="2549"/>
      <c r="G179" s="2550"/>
      <c r="H179" s="2549"/>
      <c r="I179" s="2550"/>
      <c r="J179" s="2549"/>
      <c r="K179" s="2549"/>
      <c r="L179" s="2550"/>
      <c r="M179" s="2549"/>
      <c r="N179" s="2549"/>
      <c r="O179" s="2550"/>
      <c r="P179" s="2549"/>
      <c r="Q179" s="2549"/>
      <c r="R179" s="2551"/>
    </row>
    <row r="180" spans="1:18" s="2132" customFormat="1">
      <c r="B180" s="2549"/>
      <c r="C180" s="2549"/>
      <c r="D180" s="2549"/>
      <c r="E180" s="2549"/>
      <c r="F180" s="2549"/>
      <c r="G180" s="2550"/>
      <c r="H180" s="2549"/>
      <c r="I180" s="2550"/>
      <c r="J180" s="2549"/>
      <c r="K180" s="2549"/>
      <c r="L180" s="2550"/>
      <c r="M180" s="2549"/>
      <c r="N180" s="2549"/>
      <c r="O180" s="2550"/>
      <c r="P180" s="2549"/>
      <c r="Q180" s="2549"/>
      <c r="R180" s="2551"/>
    </row>
    <row r="181" spans="1:18" s="2132" customFormat="1">
      <c r="B181" s="2549"/>
      <c r="C181" s="2549"/>
      <c r="D181" s="2549"/>
      <c r="E181" s="2549"/>
      <c r="F181" s="2549"/>
      <c r="G181" s="2550"/>
      <c r="H181" s="2549"/>
      <c r="I181" s="2550"/>
      <c r="J181" s="2549"/>
      <c r="K181" s="2549"/>
      <c r="L181" s="2550"/>
      <c r="M181" s="2549"/>
      <c r="N181" s="2549"/>
      <c r="O181" s="2550"/>
      <c r="P181" s="2549"/>
      <c r="Q181" s="2549"/>
      <c r="R181" s="2551"/>
    </row>
    <row r="182" spans="1:18" s="2132" customFormat="1">
      <c r="B182" s="2549"/>
      <c r="C182" s="2549"/>
      <c r="D182" s="2549"/>
      <c r="E182" s="2549"/>
      <c r="F182" s="2549"/>
      <c r="G182" s="2550"/>
      <c r="H182" s="2549"/>
      <c r="I182" s="2550"/>
      <c r="J182" s="2549"/>
      <c r="K182" s="2549"/>
      <c r="L182" s="2550"/>
      <c r="M182" s="2549"/>
      <c r="N182" s="2549"/>
      <c r="O182" s="2550"/>
      <c r="P182" s="2549"/>
      <c r="Q182" s="2549"/>
      <c r="R182" s="2551"/>
    </row>
    <row r="183" spans="1:18" s="2132" customFormat="1">
      <c r="B183" s="2549"/>
      <c r="C183" s="2549"/>
      <c r="D183" s="2549"/>
      <c r="E183" s="2549"/>
      <c r="F183" s="2549"/>
      <c r="G183" s="2550"/>
      <c r="H183" s="2549"/>
      <c r="I183" s="2550"/>
      <c r="J183" s="2549"/>
      <c r="K183" s="2549"/>
      <c r="L183" s="2550"/>
      <c r="M183" s="2549"/>
      <c r="N183" s="2549"/>
      <c r="O183" s="2550"/>
      <c r="P183" s="2549"/>
      <c r="Q183" s="2549"/>
      <c r="R183" s="2551"/>
    </row>
    <row r="184" spans="1:18" s="2132" customFormat="1">
      <c r="B184" s="2549"/>
      <c r="C184" s="2549"/>
      <c r="D184" s="2549"/>
      <c r="E184" s="2549"/>
      <c r="F184" s="2549"/>
      <c r="G184" s="2550"/>
      <c r="H184" s="2549"/>
      <c r="I184" s="2550"/>
      <c r="J184" s="2549"/>
      <c r="K184" s="2549"/>
      <c r="L184" s="2550"/>
      <c r="M184" s="2549"/>
      <c r="N184" s="2549"/>
      <c r="O184" s="2550"/>
      <c r="P184" s="2549"/>
      <c r="Q184" s="2549"/>
      <c r="R184" s="2551"/>
    </row>
    <row r="185" spans="1:18" s="2132" customFormat="1">
      <c r="B185" s="2549"/>
      <c r="C185" s="2549"/>
      <c r="D185" s="2549"/>
      <c r="E185" s="2549"/>
      <c r="F185" s="2549"/>
      <c r="G185" s="2550"/>
      <c r="H185" s="2549"/>
      <c r="I185" s="2550"/>
      <c r="J185" s="2549"/>
      <c r="K185" s="2549"/>
      <c r="L185" s="2550"/>
      <c r="M185" s="2549"/>
      <c r="N185" s="2549"/>
      <c r="O185" s="2550"/>
      <c r="P185" s="2549"/>
      <c r="Q185" s="2549"/>
      <c r="R185" s="2551"/>
    </row>
    <row r="186" spans="1:18">
      <c r="A186" s="2132"/>
      <c r="B186" s="2549"/>
      <c r="C186" s="2549"/>
      <c r="E186" s="2549"/>
      <c r="F186" s="2549"/>
      <c r="G186" s="2550"/>
    </row>
    <row r="187" spans="1:18">
      <c r="A187" s="2132"/>
      <c r="B187" s="2549"/>
      <c r="C187" s="2549"/>
      <c r="E187" s="2549"/>
      <c r="F187" s="2549"/>
      <c r="G187" s="2550"/>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C34" sqref="C34"/>
    </sheetView>
  </sheetViews>
  <sheetFormatPr defaultColWidth="9" defaultRowHeight="13.5"/>
  <cols>
    <col min="1" max="1" width="25" style="2530" customWidth="1"/>
    <col min="2" max="9" width="15.75" style="2530" customWidth="1"/>
    <col min="10" max="16384" width="9" style="2530"/>
  </cols>
  <sheetData>
    <row r="1" spans="1:11">
      <c r="A1" s="2531" t="s">
        <v>671</v>
      </c>
      <c r="B1" s="2531">
        <f>SUM(B14:B23)</f>
        <v>16578.28</v>
      </c>
      <c r="C1" s="2532"/>
      <c r="D1" s="2532"/>
      <c r="E1" s="2532"/>
      <c r="F1" s="2532"/>
      <c r="G1" s="2533"/>
      <c r="H1" s="2534"/>
      <c r="I1" s="2534"/>
      <c r="J1" s="2534"/>
      <c r="K1" s="2534"/>
    </row>
    <row r="2" spans="1:11">
      <c r="A2" s="2531" t="s">
        <v>672</v>
      </c>
      <c r="B2" s="2531">
        <f>SUM(C14:C23)</f>
        <v>5788.26</v>
      </c>
      <c r="C2" s="2532"/>
      <c r="D2" s="2532"/>
      <c r="E2" s="2532"/>
      <c r="F2" s="2532"/>
      <c r="G2" s="2533"/>
      <c r="H2" s="2534"/>
      <c r="I2" s="2534"/>
      <c r="J2" s="2534"/>
      <c r="K2" s="2534"/>
    </row>
    <row r="3" spans="1:11">
      <c r="A3" s="2531" t="s">
        <v>673</v>
      </c>
      <c r="B3" s="2535">
        <f>项目基本情况!D3</f>
        <v>44755</v>
      </c>
      <c r="C3" s="2532"/>
      <c r="D3" s="2532"/>
      <c r="E3" s="2532"/>
      <c r="F3" s="2532"/>
      <c r="G3" s="2533"/>
      <c r="H3" s="2534"/>
      <c r="I3" s="2534"/>
      <c r="J3" s="2534"/>
      <c r="K3" s="2534"/>
    </row>
    <row r="4" spans="1:11" ht="27">
      <c r="A4" s="2531" t="s">
        <v>674</v>
      </c>
      <c r="B4" s="2531" t="s">
        <v>675</v>
      </c>
      <c r="C4" s="2531" t="s">
        <v>676</v>
      </c>
      <c r="D4" s="2531" t="s">
        <v>677</v>
      </c>
      <c r="E4" s="2532"/>
      <c r="F4" s="2533"/>
      <c r="G4" s="2533"/>
      <c r="H4" s="2534"/>
      <c r="I4" s="2534"/>
      <c r="J4" s="2534"/>
      <c r="K4" s="2534"/>
    </row>
    <row r="5" spans="1:11">
      <c r="A5" s="2531" t="s">
        <v>678</v>
      </c>
      <c r="B5" s="2531">
        <f ca="1">SUM(D14:D23)</f>
        <v>23305</v>
      </c>
      <c r="C5" s="2531">
        <f ca="1">ROUND(B5*10000/$B$1,0)</f>
        <v>14058</v>
      </c>
      <c r="D5" s="2531">
        <f ca="1">ROUND(B5*10000/$B$2,0)</f>
        <v>40263</v>
      </c>
      <c r="E5" s="2532"/>
      <c r="F5" s="2533"/>
      <c r="G5" s="2533"/>
      <c r="H5" s="2534"/>
      <c r="I5" s="2534"/>
      <c r="J5" s="2534"/>
      <c r="K5" s="2534"/>
    </row>
    <row r="6" spans="1:11">
      <c r="A6" s="2531" t="s">
        <v>679</v>
      </c>
      <c r="B6" s="2531">
        <f ca="1">SUM(G14:G23)</f>
        <v>23305</v>
      </c>
      <c r="C6" s="2531">
        <f ca="1">ROUND(B6*10000/$B$1,0)</f>
        <v>14058</v>
      </c>
      <c r="D6" s="2531">
        <f ca="1">ROUND(B6*10000/$B$2,0)</f>
        <v>40263</v>
      </c>
      <c r="E6" s="2532"/>
      <c r="F6" s="2533"/>
      <c r="G6" s="2533"/>
      <c r="H6" s="2534"/>
      <c r="I6" s="2534"/>
      <c r="J6" s="2534"/>
      <c r="K6" s="2534"/>
    </row>
    <row r="7" spans="1:11">
      <c r="A7" s="2531" t="s">
        <v>680</v>
      </c>
      <c r="B7" s="2531">
        <f>SUM(H14:H23)</f>
        <v>0</v>
      </c>
      <c r="C7" s="2531">
        <f>ROUND(B7*10000/$B$1,0)</f>
        <v>0</v>
      </c>
      <c r="D7" s="2531">
        <f>ROUND(B7*10000/$B$2,0)</f>
        <v>0</v>
      </c>
      <c r="E7" s="2532"/>
      <c r="F7" s="2533"/>
      <c r="G7" s="2533"/>
      <c r="H7" s="2534"/>
      <c r="I7" s="2534"/>
      <c r="J7" s="2534"/>
      <c r="K7" s="2534"/>
    </row>
    <row r="8" spans="1:11">
      <c r="A8" s="2531" t="s">
        <v>328</v>
      </c>
      <c r="B8" s="2531">
        <f ca="1">SUM(I14:I23)</f>
        <v>9891</v>
      </c>
      <c r="C8" s="2531">
        <f ca="1">ROUND(B8*10000/$B$1,0)</f>
        <v>5966</v>
      </c>
      <c r="D8" s="2531">
        <f ca="1">ROUND(B8*10000/$B$2,0)</f>
        <v>17088</v>
      </c>
      <c r="E8" s="2532"/>
      <c r="F8" s="2533"/>
      <c r="G8" s="2533"/>
      <c r="H8" s="2534"/>
      <c r="I8" s="2534"/>
      <c r="J8" s="2534"/>
      <c r="K8" s="2534"/>
    </row>
    <row r="9" spans="1:11">
      <c r="A9" s="2531" t="s">
        <v>681</v>
      </c>
      <c r="B9" s="2536"/>
      <c r="C9" s="2532"/>
      <c r="D9" s="2532"/>
      <c r="E9" s="2532"/>
      <c r="F9" s="2533"/>
      <c r="G9" s="2533"/>
      <c r="H9" s="2534"/>
      <c r="I9" s="2534"/>
      <c r="J9" s="2534"/>
      <c r="K9" s="2534"/>
    </row>
    <row r="10" spans="1:11">
      <c r="A10" s="2531" t="s">
        <v>682</v>
      </c>
      <c r="B10" s="2536"/>
      <c r="C10" s="2532"/>
      <c r="D10" s="2532"/>
      <c r="E10" s="2532"/>
      <c r="F10" s="2533"/>
      <c r="G10" s="2533"/>
      <c r="H10" s="2534"/>
      <c r="I10" s="2534"/>
      <c r="J10" s="2534"/>
      <c r="K10" s="2534"/>
    </row>
    <row r="11" spans="1:11">
      <c r="A11" s="2531" t="s">
        <v>683</v>
      </c>
      <c r="B11" s="2536"/>
      <c r="C11" s="2532"/>
      <c r="D11" s="2532"/>
      <c r="E11" s="2532"/>
      <c r="F11" s="2533"/>
      <c r="G11" s="2533"/>
      <c r="H11" s="2534"/>
      <c r="I11" s="2534"/>
      <c r="J11" s="2534"/>
      <c r="K11" s="2534"/>
    </row>
    <row r="12" spans="1:11">
      <c r="A12" s="2532"/>
      <c r="B12" s="2532"/>
      <c r="C12" s="2532"/>
      <c r="D12" s="2532"/>
      <c r="E12" s="2532"/>
      <c r="F12" s="2533"/>
      <c r="G12" s="2533"/>
      <c r="H12" s="2534"/>
      <c r="I12" s="2534"/>
      <c r="J12" s="2534"/>
      <c r="K12" s="2534"/>
    </row>
    <row r="13" spans="1:11" ht="27">
      <c r="A13" s="2537" t="s">
        <v>684</v>
      </c>
      <c r="B13" s="2538" t="s">
        <v>671</v>
      </c>
      <c r="C13" s="2538" t="s">
        <v>672</v>
      </c>
      <c r="D13" s="2538" t="s">
        <v>685</v>
      </c>
      <c r="E13" s="2531" t="s">
        <v>676</v>
      </c>
      <c r="F13" s="2531" t="s">
        <v>677</v>
      </c>
      <c r="G13" s="2538" t="s">
        <v>686</v>
      </c>
      <c r="H13" s="2538" t="s">
        <v>687</v>
      </c>
      <c r="I13" s="2538" t="s">
        <v>688</v>
      </c>
      <c r="J13" s="2533"/>
      <c r="K13" s="2534"/>
    </row>
    <row r="14" spans="1:11">
      <c r="A14" s="2539" t="s">
        <v>689</v>
      </c>
      <c r="B14" s="2540">
        <f>结果表!B118</f>
        <v>16578.28</v>
      </c>
      <c r="C14" s="2540">
        <f>结果表!C118</f>
        <v>5788.26</v>
      </c>
      <c r="D14" s="2540">
        <f ca="1">结果表!H118</f>
        <v>23305</v>
      </c>
      <c r="E14" s="2540">
        <f ca="1">ROUND(D14*10000/B14,0)</f>
        <v>14058</v>
      </c>
      <c r="F14" s="2540">
        <f ca="1">ROUND(D14*10000/C14,0)</f>
        <v>40263</v>
      </c>
      <c r="G14" s="2540">
        <f ca="1">结果表!D122</f>
        <v>23305</v>
      </c>
      <c r="H14" s="2540" t="str">
        <f>结果表!D124</f>
        <v>——</v>
      </c>
      <c r="I14" s="2540">
        <f ca="1">结果表!D126</f>
        <v>9891</v>
      </c>
      <c r="J14" s="2533"/>
      <c r="K14" s="2534"/>
    </row>
    <row r="15" spans="1:11">
      <c r="A15" s="2539" t="s">
        <v>690</v>
      </c>
      <c r="B15" s="2541"/>
      <c r="C15" s="2541"/>
      <c r="D15" s="2541"/>
      <c r="E15" s="2540" t="e">
        <f t="shared" ref="E15:E23" si="0">ROUND(D15*10000/B15,0)</f>
        <v>#DIV/0!</v>
      </c>
      <c r="F15" s="2540" t="e">
        <f t="shared" ref="F15:F23" si="1">ROUND(D15*10000/C15,0)</f>
        <v>#DIV/0!</v>
      </c>
      <c r="G15" s="2542"/>
      <c r="H15" s="2542"/>
      <c r="I15" s="2541"/>
      <c r="J15" s="2533"/>
      <c r="K15" s="2534"/>
    </row>
    <row r="16" spans="1:11">
      <c r="A16" s="2539" t="s">
        <v>691</v>
      </c>
      <c r="B16" s="2541"/>
      <c r="C16" s="2541"/>
      <c r="D16" s="2541"/>
      <c r="E16" s="2540" t="e">
        <f t="shared" si="0"/>
        <v>#DIV/0!</v>
      </c>
      <c r="F16" s="2540" t="e">
        <f t="shared" si="1"/>
        <v>#DIV/0!</v>
      </c>
      <c r="G16" s="2542"/>
      <c r="H16" s="2542"/>
      <c r="I16" s="2541"/>
      <c r="J16" s="2534"/>
      <c r="K16" s="2534"/>
    </row>
    <row r="17" spans="1:11">
      <c r="A17" s="2539" t="s">
        <v>692</v>
      </c>
      <c r="B17" s="2541"/>
      <c r="C17" s="2541"/>
      <c r="D17" s="2541"/>
      <c r="E17" s="2540" t="e">
        <f t="shared" si="0"/>
        <v>#DIV/0!</v>
      </c>
      <c r="F17" s="2540" t="e">
        <f t="shared" si="1"/>
        <v>#DIV/0!</v>
      </c>
      <c r="G17" s="2542"/>
      <c r="H17" s="2542"/>
      <c r="I17" s="2541"/>
      <c r="J17" s="2534"/>
      <c r="K17" s="2534"/>
    </row>
    <row r="18" spans="1:11">
      <c r="A18" s="2539" t="s">
        <v>693</v>
      </c>
      <c r="B18" s="2541"/>
      <c r="C18" s="2541"/>
      <c r="D18" s="2541"/>
      <c r="E18" s="2540" t="e">
        <f t="shared" si="0"/>
        <v>#DIV/0!</v>
      </c>
      <c r="F18" s="2540" t="e">
        <f t="shared" si="1"/>
        <v>#DIV/0!</v>
      </c>
      <c r="G18" s="2541"/>
      <c r="H18" s="2541"/>
      <c r="I18" s="2541"/>
      <c r="J18" s="2534"/>
      <c r="K18" s="2534"/>
    </row>
    <row r="19" spans="1:11">
      <c r="A19" s="2539" t="s">
        <v>694</v>
      </c>
      <c r="B19" s="2541"/>
      <c r="C19" s="2541"/>
      <c r="D19" s="2541"/>
      <c r="E19" s="2540" t="e">
        <f t="shared" si="0"/>
        <v>#DIV/0!</v>
      </c>
      <c r="F19" s="2540" t="e">
        <f t="shared" si="1"/>
        <v>#DIV/0!</v>
      </c>
      <c r="G19" s="2541"/>
      <c r="H19" s="2541"/>
      <c r="I19" s="2541"/>
      <c r="J19" s="2534"/>
      <c r="K19" s="2534"/>
    </row>
    <row r="20" spans="1:11">
      <c r="A20" s="2539" t="s">
        <v>695</v>
      </c>
      <c r="B20" s="2541"/>
      <c r="C20" s="2541"/>
      <c r="D20" s="2541"/>
      <c r="E20" s="2540" t="e">
        <f t="shared" si="0"/>
        <v>#DIV/0!</v>
      </c>
      <c r="F20" s="2540" t="e">
        <f t="shared" si="1"/>
        <v>#DIV/0!</v>
      </c>
      <c r="G20" s="2541"/>
      <c r="H20" s="2541"/>
      <c r="I20" s="2541"/>
      <c r="J20" s="2534"/>
      <c r="K20" s="2534"/>
    </row>
    <row r="21" spans="1:11">
      <c r="A21" s="2539" t="s">
        <v>696</v>
      </c>
      <c r="B21" s="2541"/>
      <c r="C21" s="2541"/>
      <c r="D21" s="2541"/>
      <c r="E21" s="2540" t="e">
        <f t="shared" si="0"/>
        <v>#DIV/0!</v>
      </c>
      <c r="F21" s="2540" t="e">
        <f t="shared" si="1"/>
        <v>#DIV/0!</v>
      </c>
      <c r="G21" s="2541"/>
      <c r="H21" s="2541"/>
      <c r="I21" s="2541"/>
      <c r="J21" s="2534"/>
      <c r="K21" s="2534"/>
    </row>
    <row r="22" spans="1:11">
      <c r="A22" s="2539" t="s">
        <v>697</v>
      </c>
      <c r="B22" s="2541"/>
      <c r="C22" s="2541"/>
      <c r="D22" s="2541"/>
      <c r="E22" s="2540" t="e">
        <f t="shared" si="0"/>
        <v>#DIV/0!</v>
      </c>
      <c r="F22" s="2540" t="e">
        <f t="shared" si="1"/>
        <v>#DIV/0!</v>
      </c>
      <c r="G22" s="2541"/>
      <c r="H22" s="2541"/>
      <c r="I22" s="2541"/>
      <c r="J22" s="2534"/>
      <c r="K22" s="2534"/>
    </row>
    <row r="23" spans="1:11">
      <c r="A23" s="2539" t="s">
        <v>698</v>
      </c>
      <c r="B23" s="2541"/>
      <c r="C23" s="2541"/>
      <c r="D23" s="2541"/>
      <c r="E23" s="2536" t="e">
        <f t="shared" si="0"/>
        <v>#DIV/0!</v>
      </c>
      <c r="F23" s="2536" t="e">
        <f t="shared" si="1"/>
        <v>#DIV/0!</v>
      </c>
      <c r="G23" s="2541"/>
      <c r="H23" s="2541"/>
      <c r="I23" s="2541"/>
      <c r="J23" s="2534"/>
      <c r="K23" s="2534"/>
    </row>
    <row r="24" spans="1:11">
      <c r="A24" s="2534"/>
      <c r="B24" s="2534"/>
      <c r="C24" s="2534"/>
      <c r="D24" s="2534"/>
      <c r="E24" s="2534"/>
      <c r="F24" s="2534"/>
      <c r="G24" s="2534"/>
      <c r="H24" s="2534"/>
      <c r="I24" s="2534"/>
      <c r="J24" s="2534"/>
      <c r="K24" s="2534"/>
    </row>
    <row r="25" spans="1:11">
      <c r="A25" s="2534"/>
      <c r="B25" s="2534"/>
      <c r="C25" s="2534"/>
      <c r="D25" s="2534"/>
      <c r="E25" s="2534"/>
      <c r="F25" s="2534"/>
      <c r="G25" s="2534"/>
      <c r="H25" s="2534"/>
      <c r="I25" s="2534"/>
      <c r="J25" s="2534"/>
      <c r="K25" s="2534"/>
    </row>
    <row r="26" spans="1:11">
      <c r="A26" s="2534"/>
      <c r="B26" s="2534"/>
      <c r="C26" s="2534"/>
      <c r="D26" s="2534"/>
      <c r="E26" s="2534"/>
      <c r="F26" s="2534"/>
      <c r="G26" s="2534"/>
      <c r="H26" s="2534"/>
      <c r="I26" s="2534"/>
      <c r="J26" s="2534"/>
      <c r="K26" s="2534"/>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J77" sqref="J77"/>
    </sheetView>
  </sheetViews>
  <sheetFormatPr defaultColWidth="12.625" defaultRowHeight="21.75" customHeight="1"/>
  <cols>
    <col min="1" max="2" width="12.625" style="2246"/>
    <col min="3" max="4" width="12.625" style="2246" customWidth="1"/>
    <col min="5" max="9" width="12.625" style="2246"/>
    <col min="10" max="11" width="12.625" style="239" customWidth="1"/>
    <col min="12" max="12" width="12.625" style="239"/>
    <col min="13" max="13" width="14.125" style="239" customWidth="1"/>
    <col min="14" max="26" width="12.625" style="239"/>
    <col min="27" max="35" width="12.625" style="2245"/>
    <col min="36" max="16384" width="12.625" style="2246"/>
  </cols>
  <sheetData>
    <row r="1" spans="1:12" ht="21.75" customHeight="1">
      <c r="A1" s="2247" t="s">
        <v>699</v>
      </c>
      <c r="B1" s="2248"/>
      <c r="C1" s="2249"/>
      <c r="D1" s="2248"/>
      <c r="E1" s="2248"/>
      <c r="F1" s="2250" t="s">
        <v>700</v>
      </c>
      <c r="G1" s="2251"/>
      <c r="H1" s="2252" t="str">
        <f>IF(G1="现房","——","估价对象范围")</f>
        <v>估价对象范围</v>
      </c>
      <c r="I1" s="2385"/>
    </row>
    <row r="2" spans="1:12" ht="21.75" customHeight="1">
      <c r="A2" s="3448" t="str">
        <f>项目基本情况!S2</f>
        <v>北京市房地产</v>
      </c>
      <c r="B2" s="3449"/>
      <c r="C2" s="3449"/>
      <c r="D2" s="3449"/>
      <c r="E2" s="3449"/>
      <c r="F2" s="3449"/>
      <c r="G2" s="3449"/>
      <c r="H2" s="3449"/>
      <c r="I2" s="3450"/>
    </row>
    <row r="3" spans="1:12" ht="12.75">
      <c r="A3" s="3451" t="s">
        <v>701</v>
      </c>
      <c r="B3" s="3452"/>
      <c r="C3" s="3452"/>
      <c r="D3" s="3452"/>
      <c r="E3" s="3452"/>
      <c r="F3" s="3452"/>
      <c r="G3" s="3452"/>
      <c r="H3" s="3452"/>
      <c r="I3" s="3452"/>
    </row>
    <row r="4" spans="1:12" ht="14.25">
      <c r="A4" s="2253" t="s">
        <v>702</v>
      </c>
      <c r="B4" s="2254" t="s">
        <v>703</v>
      </c>
      <c r="C4" s="2255" t="s">
        <v>272</v>
      </c>
      <c r="D4" s="2255" t="s">
        <v>704</v>
      </c>
      <c r="E4" s="3453" t="s">
        <v>705</v>
      </c>
      <c r="F4" s="3454"/>
      <c r="G4" s="3454"/>
      <c r="H4" s="3454"/>
      <c r="I4" s="3455"/>
      <c r="K4" s="240" t="str">
        <f>IF(ISNUMBER(FIND("比较法",结果表!C4)),"比较法",IF(ISNUMBER(FIND("成本法",结果表!C4)),"成本法",IF(ISNUMBER(FIND("假设开发法",结果表!C4)),"假设开发法",IF(ISNUMBER(FIND("收益法",结果表!C4)),"收益法","基准地价系数修正法"))))</f>
        <v>收益法</v>
      </c>
      <c r="L4" s="240" t="str">
        <f>IF(ISNUMBER(FIND("比较法",结果表!D4)),"比较法",IF(ISNUMBER(FIND("成本法",结果表!D4)),"成本法",IF(ISNUMBER(FIND("假设开发法",结果表!D4)),"假设开发法",IF(ISNUMBER(FIND("收益法",结果表!D4)),"收益法","基准地价系数修正法"))))</f>
        <v>成本法</v>
      </c>
    </row>
    <row r="5" spans="1:12" ht="12.75">
      <c r="A5" s="3372" t="s">
        <v>706</v>
      </c>
      <c r="B5" s="3380">
        <v>25</v>
      </c>
      <c r="C5" s="3465"/>
      <c r="D5" s="3383"/>
      <c r="E5" s="1857" t="s">
        <v>707</v>
      </c>
      <c r="F5" s="2260"/>
      <c r="G5" s="2260"/>
      <c r="H5" s="2260"/>
      <c r="I5" s="2126"/>
    </row>
    <row r="6" spans="1:12" ht="12.75">
      <c r="A6" s="3372"/>
      <c r="B6" s="3380"/>
      <c r="C6" s="3466"/>
      <c r="D6" s="3383"/>
      <c r="E6" s="1857" t="s">
        <v>708</v>
      </c>
      <c r="F6" s="2260"/>
      <c r="G6" s="2260"/>
      <c r="H6" s="2260"/>
      <c r="I6" s="2126"/>
    </row>
    <row r="7" spans="1:12" ht="12.75">
      <c r="A7" s="3372"/>
      <c r="B7" s="3380"/>
      <c r="C7" s="3467"/>
      <c r="D7" s="3383"/>
      <c r="E7" s="1857" t="s">
        <v>709</v>
      </c>
      <c r="F7" s="2260"/>
      <c r="G7" s="2260"/>
      <c r="H7" s="2260"/>
      <c r="I7" s="2126"/>
    </row>
    <row r="8" spans="1:12" ht="12.75">
      <c r="A8" s="3372" t="s">
        <v>710</v>
      </c>
      <c r="B8" s="3380">
        <v>15</v>
      </c>
      <c r="C8" s="3465"/>
      <c r="D8" s="3383"/>
      <c r="E8" s="1857" t="s">
        <v>711</v>
      </c>
      <c r="F8" s="2260"/>
      <c r="G8" s="2260"/>
      <c r="H8" s="2260"/>
      <c r="I8" s="2126"/>
    </row>
    <row r="9" spans="1:12" ht="12.75">
      <c r="A9" s="3372"/>
      <c r="B9" s="3380"/>
      <c r="C9" s="3467"/>
      <c r="D9" s="3383"/>
      <c r="E9" s="1857" t="s">
        <v>712</v>
      </c>
      <c r="F9" s="2260"/>
      <c r="G9" s="2260"/>
      <c r="H9" s="2260"/>
      <c r="I9" s="2126"/>
    </row>
    <row r="10" spans="1:12" ht="12.75">
      <c r="A10" s="3372" t="s">
        <v>713</v>
      </c>
      <c r="B10" s="3380">
        <v>15</v>
      </c>
      <c r="C10" s="3465"/>
      <c r="D10" s="3383"/>
      <c r="E10" s="1857" t="s">
        <v>714</v>
      </c>
      <c r="F10" s="2260"/>
      <c r="G10" s="2260"/>
      <c r="H10" s="2260"/>
      <c r="I10" s="2126"/>
    </row>
    <row r="11" spans="1:12" ht="12.75">
      <c r="A11" s="3372"/>
      <c r="B11" s="3380"/>
      <c r="C11" s="3467"/>
      <c r="D11" s="3383"/>
      <c r="E11" s="1857" t="s">
        <v>715</v>
      </c>
      <c r="F11" s="2260"/>
      <c r="G11" s="2260"/>
      <c r="H11" s="2260"/>
      <c r="I11" s="2126"/>
    </row>
    <row r="12" spans="1:12" ht="12.75">
      <c r="A12" s="3372" t="s">
        <v>716</v>
      </c>
      <c r="B12" s="3380">
        <v>15</v>
      </c>
      <c r="C12" s="3465"/>
      <c r="D12" s="3383"/>
      <c r="E12" s="1857" t="s">
        <v>717</v>
      </c>
      <c r="F12" s="2260"/>
      <c r="G12" s="2260"/>
      <c r="H12" s="2260"/>
      <c r="I12" s="2126"/>
    </row>
    <row r="13" spans="1:12" ht="12.75">
      <c r="A13" s="3372"/>
      <c r="B13" s="3380"/>
      <c r="C13" s="3467"/>
      <c r="D13" s="3383"/>
      <c r="E13" s="1857" t="s">
        <v>718</v>
      </c>
      <c r="F13" s="2260"/>
      <c r="G13" s="2260"/>
      <c r="H13" s="2260"/>
      <c r="I13" s="2126"/>
    </row>
    <row r="14" spans="1:12" ht="12.75">
      <c r="A14" s="3372" t="s">
        <v>719</v>
      </c>
      <c r="B14" s="3380">
        <v>30</v>
      </c>
      <c r="C14" s="3465">
        <v>4</v>
      </c>
      <c r="D14" s="3383">
        <v>6</v>
      </c>
      <c r="E14" s="1857" t="s">
        <v>720</v>
      </c>
      <c r="F14" s="2260"/>
      <c r="G14" s="2260"/>
      <c r="H14" s="2260"/>
      <c r="I14" s="2126"/>
    </row>
    <row r="15" spans="1:12" ht="12.75">
      <c r="A15" s="3372"/>
      <c r="B15" s="3380"/>
      <c r="C15" s="3466"/>
      <c r="D15" s="3383"/>
      <c r="E15" s="1857" t="s">
        <v>721</v>
      </c>
      <c r="F15" s="2260"/>
      <c r="G15" s="2260"/>
      <c r="H15" s="2260"/>
      <c r="I15" s="2126"/>
    </row>
    <row r="16" spans="1:12" ht="12.75">
      <c r="A16" s="3372"/>
      <c r="B16" s="3380"/>
      <c r="C16" s="3467"/>
      <c r="D16" s="3383"/>
      <c r="E16" s="1857" t="s">
        <v>722</v>
      </c>
      <c r="F16" s="2260"/>
      <c r="G16" s="2260"/>
      <c r="H16" s="2260"/>
      <c r="I16" s="2126"/>
    </row>
    <row r="17" spans="1:36" ht="15">
      <c r="A17" s="2261" t="s">
        <v>723</v>
      </c>
      <c r="B17" s="2262"/>
      <c r="C17" s="2263">
        <f>SUM(C5:C16)</f>
        <v>4</v>
      </c>
      <c r="D17" s="2263">
        <f>SUM(D5:D16)</f>
        <v>6</v>
      </c>
      <c r="E17" s="282"/>
      <c r="F17" s="282"/>
      <c r="G17" s="282"/>
      <c r="H17" s="282"/>
      <c r="I17" s="282"/>
      <c r="K17" s="1817"/>
      <c r="L17" s="1817" t="s">
        <v>724</v>
      </c>
      <c r="M17" s="1817" t="s">
        <v>725</v>
      </c>
    </row>
    <row r="18" spans="1:36" ht="31.9" customHeight="1">
      <c r="A18" s="2264" t="s">
        <v>726</v>
      </c>
      <c r="B18" s="2265"/>
      <c r="C18" s="2266">
        <f>ROUND(C17/SUM(C17:D17),2)</f>
        <v>0.4</v>
      </c>
      <c r="D18" s="2266">
        <f>1-C18</f>
        <v>0.6</v>
      </c>
      <c r="E18" s="3456" t="s">
        <v>727</v>
      </c>
      <c r="F18" s="3457"/>
      <c r="G18" s="3457"/>
      <c r="H18" s="3457"/>
      <c r="I18" s="3457"/>
      <c r="K18" s="1817" t="s">
        <v>361</v>
      </c>
      <c r="L18" s="1817">
        <f>IF(C1="",'数据-汇总表'!E3,SUMIF(项目类型,C1,'数据-汇总表'!E17:E26)+SUMIF(项目类型,C1,'数据-汇总表'!I17:I26))</f>
        <v>16578.28</v>
      </c>
      <c r="M18" s="1817">
        <f>IF(C1="",'数据-汇总表'!E3,SUMIF(项目类型,C1,'数据-汇总表'!E17:E26))</f>
        <v>16578.28</v>
      </c>
    </row>
    <row r="19" spans="1:36" ht="15">
      <c r="A19" s="2267" t="s">
        <v>728</v>
      </c>
      <c r="B19" s="2268" t="s">
        <v>729</v>
      </c>
      <c r="C19" s="2269">
        <f ca="1">SUMIF(INDIRECT("'"&amp;C4&amp;"'"&amp;"!A:A"),结果表!B19,INDIRECT("'"&amp;C4&amp;"'"&amp;"!B:B"))</f>
        <v>30460</v>
      </c>
      <c r="D19" s="1268">
        <f ca="1">SUMIF(INDIRECT("'"&amp;D4&amp;"'"&amp;"!A:A"),结果表!B19,INDIRECT("'"&amp;D4&amp;"'"&amp;"!B:B"))</f>
        <v>18535</v>
      </c>
      <c r="E19" s="2267" t="s">
        <v>730</v>
      </c>
      <c r="F19" s="2268" t="s">
        <v>729</v>
      </c>
      <c r="G19" s="2270">
        <f ca="1">ROUND(C19*$C$18+D19*$D$18,0)</f>
        <v>23305</v>
      </c>
      <c r="H19" s="2271" t="s">
        <v>731</v>
      </c>
      <c r="I19" s="282"/>
      <c r="K19" s="1817" t="s">
        <v>365</v>
      </c>
      <c r="L19" s="1817">
        <f>IF(C1="",'数据-汇总表'!D3,SUMIF(项目类型,C1,'数据-汇总表'!D17:D26)+SUMIF(项目类型,C1,'数据-汇总表'!H17:H27))</f>
        <v>5788.26</v>
      </c>
      <c r="M19" s="1817">
        <f>IF(C1="",'数据-汇总表'!D3,SUMIF(项目类型,C1,'数据-汇总表'!D17:D26))</f>
        <v>5788.26</v>
      </c>
    </row>
    <row r="20" spans="1:36" ht="15">
      <c r="A20" s="2272"/>
      <c r="B20" s="2273" t="s">
        <v>732</v>
      </c>
      <c r="C20" s="1553">
        <f ca="1">SUMIF(INDIRECT("'"&amp;C4&amp;"'"&amp;"!A:A"),结果表!B20,INDIRECT("'"&amp;C4&amp;"'"&amp;"!B:B"))</f>
        <v>18373</v>
      </c>
      <c r="D20" s="1556">
        <f ca="1">SUMIF(INDIRECT("'"&amp;D4&amp;"'"&amp;"!A:A"),结果表!B20,INDIRECT("'"&amp;D4&amp;"'"&amp;"!B:B"))</f>
        <v>17629</v>
      </c>
      <c r="E20" s="2272"/>
      <c r="F20" s="2273" t="s">
        <v>732</v>
      </c>
      <c r="G20" s="2274">
        <f ca="1">ROUND(C20*$C$18+D20*$D$18,0)</f>
        <v>17927</v>
      </c>
      <c r="H20" s="1972" t="s">
        <v>733</v>
      </c>
      <c r="I20" s="282"/>
    </row>
    <row r="21" spans="1:36" ht="15" customHeight="1">
      <c r="A21" s="2208"/>
      <c r="B21" s="2275" t="s">
        <v>734</v>
      </c>
      <c r="C21" s="2276">
        <f ca="1">ROUND(C19*10000/L19,0)</f>
        <v>52624</v>
      </c>
      <c r="D21" s="2277">
        <f ca="1">ROUND(D19*10000/L19,0)</f>
        <v>32022</v>
      </c>
      <c r="E21" s="2208"/>
      <c r="F21" s="2275" t="s">
        <v>734</v>
      </c>
      <c r="G21" s="2278">
        <f ca="1">ROUND(G19*10000/L19,0)</f>
        <v>40263</v>
      </c>
      <c r="H21" s="2279" t="s">
        <v>733</v>
      </c>
      <c r="I21" s="282"/>
    </row>
    <row r="22" spans="1:36" ht="14.25">
      <c r="A22" s="2280" t="s">
        <v>735</v>
      </c>
      <c r="B22" s="2281"/>
      <c r="C22" s="2282"/>
      <c r="D22" s="2283">
        <f ca="1">IF(C19&lt;D19,D19/C19-1,C19/D19-1)</f>
        <v>0.64337739411923378</v>
      </c>
      <c r="E22" s="282"/>
      <c r="F22" s="282"/>
      <c r="G22" s="282"/>
      <c r="H22" s="282"/>
      <c r="I22" s="282"/>
    </row>
    <row r="23" spans="1:36" ht="12.75">
      <c r="A23" s="2248"/>
      <c r="B23" s="2248"/>
      <c r="C23" s="2248"/>
      <c r="D23" s="2248"/>
      <c r="E23" s="282"/>
      <c r="F23" s="282"/>
      <c r="G23" s="282"/>
      <c r="H23" s="282"/>
      <c r="I23" s="282"/>
    </row>
    <row r="24" spans="1:36" ht="14.25">
      <c r="A24" s="3373" t="s">
        <v>736</v>
      </c>
      <c r="B24" s="2268" t="s">
        <v>729</v>
      </c>
      <c r="C24" s="2270">
        <f>IF(B30=0,0,D30)</f>
        <v>0</v>
      </c>
      <c r="D24" s="2284"/>
      <c r="E24" s="282"/>
      <c r="F24" s="282"/>
      <c r="G24" s="282"/>
      <c r="H24" s="282"/>
      <c r="I24" s="282"/>
    </row>
    <row r="25" spans="1:36" ht="14.25">
      <c r="A25" s="3374"/>
      <c r="B25" s="2273" t="s">
        <v>732</v>
      </c>
      <c r="C25" s="2285">
        <f>IF(B30=0,0,C30)</f>
        <v>0</v>
      </c>
      <c r="D25" s="2286"/>
      <c r="E25" s="282"/>
      <c r="F25" s="282"/>
      <c r="G25" s="282"/>
      <c r="H25" s="282"/>
      <c r="I25" s="282"/>
    </row>
    <row r="26" spans="1:36" ht="13.5" customHeight="1">
      <c r="A26" s="2287" t="s">
        <v>737</v>
      </c>
      <c r="B26" s="2288" t="s">
        <v>738</v>
      </c>
      <c r="C26" s="2288" t="s">
        <v>739</v>
      </c>
      <c r="D26" s="2289" t="s">
        <v>740</v>
      </c>
      <c r="E26" s="282"/>
      <c r="F26" s="282"/>
      <c r="G26" s="282"/>
      <c r="H26" s="282"/>
      <c r="I26" s="282"/>
    </row>
    <row r="27" spans="1:36" ht="14.25">
      <c r="A27" s="2287"/>
      <c r="B27" s="2288">
        <v>0</v>
      </c>
      <c r="C27" s="2288">
        <v>0</v>
      </c>
      <c r="D27" s="2289">
        <f>ROUND(C27*B27/10000,0)</f>
        <v>0</v>
      </c>
      <c r="E27" s="282"/>
      <c r="F27" s="282"/>
      <c r="G27" s="282"/>
      <c r="H27" s="282"/>
      <c r="I27" s="282"/>
    </row>
    <row r="28" spans="1:36" ht="14.25">
      <c r="A28" s="2287"/>
      <c r="B28" s="2288"/>
      <c r="C28" s="2288"/>
      <c r="D28" s="2289"/>
      <c r="E28" s="282"/>
      <c r="F28" s="282"/>
      <c r="G28" s="282"/>
      <c r="H28" s="282"/>
      <c r="I28" s="282"/>
    </row>
    <row r="29" spans="1:36" ht="14.25">
      <c r="A29" s="2287"/>
      <c r="B29" s="2288"/>
      <c r="C29" s="2288"/>
      <c r="D29" s="2289"/>
      <c r="E29" s="282"/>
      <c r="F29" s="282"/>
      <c r="G29" s="282"/>
      <c r="H29" s="282"/>
      <c r="I29" s="282"/>
    </row>
    <row r="30" spans="1:36" ht="14.25">
      <c r="A30" s="2288" t="s">
        <v>741</v>
      </c>
      <c r="B30" s="2288"/>
      <c r="C30" s="2288"/>
      <c r="D30" s="2288"/>
      <c r="E30" s="2290" t="s">
        <v>742</v>
      </c>
      <c r="F30" s="282"/>
      <c r="G30" s="282"/>
      <c r="H30" s="282"/>
      <c r="I30" s="282"/>
    </row>
    <row r="31" spans="1:36" s="2242" customFormat="1" ht="26.45" customHeight="1">
      <c r="A31" s="2291"/>
      <c r="B31" s="2292"/>
      <c r="C31" s="2292"/>
      <c r="D31" s="2292"/>
      <c r="E31" s="2292"/>
      <c r="F31" s="2292"/>
      <c r="G31" s="2292"/>
      <c r="H31" s="2292"/>
      <c r="I31" s="2387" t="s">
        <v>743</v>
      </c>
      <c r="J31" s="2388"/>
      <c r="K31" s="2389"/>
      <c r="L31" s="2389"/>
      <c r="M31" s="2389"/>
      <c r="N31" s="2389"/>
      <c r="O31" s="2389"/>
      <c r="P31" s="2389"/>
      <c r="Q31" s="2389"/>
      <c r="R31" s="2389"/>
      <c r="S31" s="2389"/>
      <c r="T31" s="2389"/>
      <c r="U31" s="2389"/>
      <c r="V31" s="2389"/>
      <c r="W31" s="2389"/>
      <c r="X31" s="2389"/>
      <c r="Y31" s="2389"/>
      <c r="Z31" s="2389"/>
      <c r="AA31" s="2389"/>
      <c r="AB31" s="2420"/>
      <c r="AC31" s="2420"/>
      <c r="AD31" s="2420"/>
      <c r="AE31" s="2420"/>
      <c r="AF31" s="2420"/>
      <c r="AG31" s="2420"/>
      <c r="AH31" s="2420"/>
      <c r="AI31" s="2420"/>
      <c r="AJ31" s="2420"/>
    </row>
    <row r="32" spans="1:36" ht="15">
      <c r="A32" s="2293" t="s">
        <v>744</v>
      </c>
      <c r="B32" s="2294"/>
      <c r="C32" s="2295">
        <f ca="1">IF(D32="总价",G19-C24,G20-C25)</f>
        <v>23305</v>
      </c>
      <c r="D32" s="2296" t="s">
        <v>745</v>
      </c>
      <c r="E32" s="282"/>
      <c r="F32" s="282"/>
      <c r="G32" s="282"/>
      <c r="H32" s="282"/>
      <c r="I32" s="282"/>
    </row>
    <row r="33" spans="1:15" ht="15">
      <c r="A33" s="2148" t="s">
        <v>746</v>
      </c>
      <c r="B33" s="2297"/>
      <c r="C33" s="2298" t="s">
        <v>747</v>
      </c>
      <c r="D33" s="2299" t="s">
        <v>704</v>
      </c>
      <c r="E33" s="2300" t="s">
        <v>748</v>
      </c>
      <c r="F33" s="2301" t="str">
        <f>IF(D32="楼面单价","取值（单价）","取值（总价）")</f>
        <v>取值（总价）</v>
      </c>
      <c r="G33" s="282"/>
      <c r="H33" s="282"/>
      <c r="I33" s="282"/>
    </row>
    <row r="34" spans="1:15" ht="15">
      <c r="A34" s="2302"/>
      <c r="B34" s="2303" t="s">
        <v>749</v>
      </c>
      <c r="C34" s="2304">
        <f ca="1">IF(C33="自定义",F34,C32-C35)</f>
        <v>19180</v>
      </c>
      <c r="D34" s="2305">
        <f ca="1">IF(C33="自定义",ROUND(C34/C32,3),IF(C33="收益比率",SUMIF(INDIRECT("'"&amp;D33&amp;"'"&amp;"!b:b"),"土地收益比率",INDIRECT("'"&amp;D33&amp;"'"&amp;"!c:c")),SUMIF(INDIRECT("'"&amp;D33&amp;"'"&amp;"!b:b"),"土地成本比率",INDIRECT("'"&amp;D33&amp;"'"&amp;"!c:c"))))</f>
        <v>0.82299999999999995</v>
      </c>
      <c r="E34" s="2306" t="s">
        <v>750</v>
      </c>
      <c r="F34" s="2307"/>
      <c r="G34" s="282"/>
      <c r="H34" s="282"/>
      <c r="I34" s="282"/>
    </row>
    <row r="35" spans="1:15" ht="15">
      <c r="A35" s="2308"/>
      <c r="B35" s="2309" t="s">
        <v>751</v>
      </c>
      <c r="C35" s="2310">
        <f ca="1">IF(C33="自定义",F35,ROUND(C32*D35,0))</f>
        <v>4125</v>
      </c>
      <c r="D35" s="2311">
        <f ca="1">IF(C33="自定义",ROUND(C35/C32,3),IF(C33="收益比率",SUMIF(INDIRECT("'"&amp;D33&amp;"'"&amp;"!b:b"),"建筑物收益比率",INDIRECT("'"&amp;D33&amp;"'"&amp;"!c:c")),SUMIF(INDIRECT("'"&amp;D33&amp;"'"&amp;"!b:b"),"建筑物成本比率",INDIRECT("'"&amp;D33&amp;"'"&amp;"!c:c"))))</f>
        <v>0.17699999999999999</v>
      </c>
      <c r="E35" s="2312" t="s">
        <v>752</v>
      </c>
      <c r="F35" s="2313"/>
      <c r="G35" s="282"/>
      <c r="H35" s="282"/>
      <c r="I35" s="282"/>
    </row>
    <row r="36" spans="1:15" ht="15">
      <c r="A36" s="3375" t="s">
        <v>753</v>
      </c>
      <c r="B36" s="2314" t="s">
        <v>754</v>
      </c>
      <c r="C36" s="2315"/>
      <c r="D36" s="2316"/>
      <c r="E36" s="2317"/>
      <c r="F36" s="2318"/>
      <c r="G36" s="282"/>
      <c r="H36" s="282"/>
      <c r="I36" s="282"/>
    </row>
    <row r="37" spans="1:15" ht="15">
      <c r="A37" s="3376"/>
      <c r="B37" s="2319" t="s">
        <v>755</v>
      </c>
      <c r="C37" s="2320"/>
      <c r="D37" s="2321"/>
      <c r="E37" s="2321"/>
      <c r="F37" s="2318"/>
      <c r="G37" s="282"/>
      <c r="H37" s="282"/>
      <c r="I37" s="282"/>
    </row>
    <row r="38" spans="1:15" ht="15">
      <c r="A38" s="3377"/>
      <c r="B38" s="2322" t="s">
        <v>756</v>
      </c>
      <c r="C38" s="2323"/>
      <c r="D38" s="2324" t="s">
        <v>757</v>
      </c>
      <c r="E38" s="2321"/>
      <c r="F38" s="2318"/>
      <c r="G38" s="282"/>
      <c r="H38" s="282"/>
      <c r="I38" s="282"/>
    </row>
    <row r="39" spans="1:15" ht="15">
      <c r="A39" s="2272" t="s">
        <v>758</v>
      </c>
      <c r="B39" s="2325" t="s">
        <v>738</v>
      </c>
      <c r="C39" s="2326" t="s">
        <v>739</v>
      </c>
      <c r="D39" s="2326" t="s">
        <v>759</v>
      </c>
      <c r="E39" s="2327" t="s">
        <v>740</v>
      </c>
      <c r="F39" s="2318"/>
      <c r="G39" s="282"/>
      <c r="H39" s="282"/>
      <c r="I39" s="282"/>
    </row>
    <row r="40" spans="1:15" ht="14.25">
      <c r="A40" s="2328" t="s">
        <v>760</v>
      </c>
      <c r="B40" s="2329"/>
      <c r="C40" s="300"/>
      <c r="D40" s="300"/>
      <c r="E40" s="2330"/>
      <c r="F40" s="2318"/>
      <c r="G40" s="282"/>
      <c r="H40" s="282"/>
      <c r="I40" s="282"/>
    </row>
    <row r="41" spans="1:15" ht="14.25">
      <c r="A41" s="2328" t="s">
        <v>761</v>
      </c>
      <c r="B41" s="2329"/>
      <c r="C41" s="300"/>
      <c r="D41" s="300"/>
      <c r="E41" s="2330"/>
      <c r="F41" s="2318"/>
      <c r="G41" s="282"/>
      <c r="H41" s="282"/>
      <c r="I41" s="282"/>
    </row>
    <row r="42" spans="1:15" ht="14.25">
      <c r="A42" s="2331"/>
      <c r="B42" s="2332"/>
      <c r="C42" s="2333"/>
      <c r="D42" s="2333"/>
      <c r="E42" s="2313"/>
      <c r="F42" s="2318"/>
      <c r="G42" s="282"/>
      <c r="H42" s="282"/>
      <c r="I42" s="282"/>
    </row>
    <row r="43" spans="1:15" ht="12.75">
      <c r="A43" s="2334"/>
      <c r="B43" s="2334"/>
      <c r="C43" s="2334"/>
      <c r="D43" s="2334"/>
      <c r="E43" s="2334"/>
      <c r="F43" s="2335"/>
      <c r="G43" s="2335"/>
      <c r="H43" s="2335"/>
      <c r="I43" s="2390"/>
    </row>
    <row r="44" spans="1:15" ht="18.75">
      <c r="A44" s="2336" t="s">
        <v>762</v>
      </c>
      <c r="B44" s="2337"/>
      <c r="C44" s="2337"/>
      <c r="D44" s="2338"/>
      <c r="E44" s="2338"/>
      <c r="F44" s="2339"/>
      <c r="G44" s="2339"/>
      <c r="H44" s="2339"/>
      <c r="I44" s="2339"/>
      <c r="J44" s="2391" t="s">
        <v>763</v>
      </c>
      <c r="K44" s="2392"/>
      <c r="L44" s="2392"/>
      <c r="M44" s="2392"/>
      <c r="N44" s="2392"/>
      <c r="O44" s="2392"/>
    </row>
    <row r="45" spans="1:15" ht="14.25" customHeight="1">
      <c r="A45" s="3458" t="s">
        <v>764</v>
      </c>
      <c r="B45" s="3459"/>
      <c r="C45" s="3460"/>
      <c r="D45" s="1816">
        <f ca="1">ROUND(H101*F45,0)</f>
        <v>23305</v>
      </c>
      <c r="E45" s="2340" t="s">
        <v>765</v>
      </c>
      <c r="F45" s="2341">
        <v>1</v>
      </c>
      <c r="G45" s="2342" t="s">
        <v>766</v>
      </c>
      <c r="H45" s="282"/>
      <c r="I45" s="282"/>
      <c r="J45" s="3447" t="s">
        <v>767</v>
      </c>
      <c r="K45" s="3447"/>
      <c r="L45" s="3447"/>
      <c r="M45" s="3447"/>
      <c r="N45" s="3447"/>
      <c r="O45" s="3447"/>
    </row>
    <row r="46" spans="1:15" ht="14.25" customHeight="1">
      <c r="A46" s="3461" t="s">
        <v>768</v>
      </c>
      <c r="B46" s="3462"/>
      <c r="C46" s="3462"/>
      <c r="D46" s="3462"/>
      <c r="E46" s="3462"/>
      <c r="F46" s="3462"/>
      <c r="G46" s="3463"/>
      <c r="H46" s="2343"/>
      <c r="I46" s="283"/>
      <c r="J46" s="2393">
        <v>1</v>
      </c>
      <c r="K46" s="3437" t="s">
        <v>769</v>
      </c>
      <c r="L46" s="3437"/>
      <c r="M46" s="3464"/>
      <c r="N46" s="3464"/>
      <c r="O46" s="3464"/>
    </row>
    <row r="47" spans="1:15" ht="12" customHeight="1">
      <c r="A47" s="2344" t="s">
        <v>770</v>
      </c>
      <c r="B47" s="2345"/>
      <c r="C47" s="2346"/>
      <c r="D47" s="1867" t="s">
        <v>771</v>
      </c>
      <c r="E47" s="1817" t="s">
        <v>772</v>
      </c>
      <c r="F47" s="2347" t="s">
        <v>773</v>
      </c>
      <c r="G47" s="2348" t="s">
        <v>774</v>
      </c>
      <c r="H47" s="2349"/>
      <c r="I47" s="283"/>
      <c r="J47" s="2393">
        <v>2</v>
      </c>
      <c r="K47" s="3437" t="s">
        <v>775</v>
      </c>
      <c r="L47" s="3437"/>
      <c r="M47" s="3444">
        <f>'数据-取费表'!B2</f>
        <v>44755</v>
      </c>
      <c r="N47" s="3444"/>
      <c r="O47" s="3444"/>
    </row>
    <row r="48" spans="1:15" ht="25.5">
      <c r="A48" s="3445" t="s">
        <v>776</v>
      </c>
      <c r="B48" s="3439"/>
      <c r="C48" s="3439"/>
      <c r="D48" s="1970" t="b">
        <f>IF(H48="情况1",0,IF(H48="情况2",D52,IF(H48="情况3",D53,IF(H48="情况4",D54))))</f>
        <v>0</v>
      </c>
      <c r="E48" s="1871" t="str">
        <f>IF(H48="情况4","(销售额-原购置价)×税（费）率","销售额×税（费）率")</f>
        <v>销售额×税（费）率</v>
      </c>
      <c r="F48" s="2351">
        <f>IF(H48="情况1","免征",'数据-取费表'!B41)</f>
        <v>5.6000000000000001E-2</v>
      </c>
      <c r="G48" s="2352" t="s">
        <v>777</v>
      </c>
      <c r="H48" s="2353"/>
      <c r="I48" s="2343"/>
      <c r="J48" s="2393">
        <v>3</v>
      </c>
      <c r="K48" s="3437" t="s">
        <v>778</v>
      </c>
      <c r="L48" s="3437"/>
      <c r="M48" s="3446">
        <f ca="1">H101</f>
        <v>23305</v>
      </c>
      <c r="N48" s="3446"/>
      <c r="O48" s="3446"/>
    </row>
    <row r="49" spans="1:35" ht="25.5" customHeight="1">
      <c r="A49" s="2350" t="s">
        <v>779</v>
      </c>
      <c r="B49" s="3410" t="s">
        <v>780</v>
      </c>
      <c r="C49" s="3410"/>
      <c r="D49" s="2354">
        <v>0</v>
      </c>
      <c r="E49" s="1877" t="s">
        <v>781</v>
      </c>
      <c r="F49" s="2355" t="s">
        <v>124</v>
      </c>
      <c r="G49" s="3440"/>
      <c r="H49" s="2356" t="s">
        <v>782</v>
      </c>
      <c r="I49" s="2395"/>
      <c r="J49" s="2393">
        <v>4</v>
      </c>
      <c r="K49" s="3437" t="str">
        <f>IF(项目基本情况!E8="房地产抵押价值","房地产抵押价值","抵押担保权已注销时的房地产抵押价值")</f>
        <v>房地产抵押价值</v>
      </c>
      <c r="L49" s="3437"/>
      <c r="M49" s="3446">
        <f ca="1">IF(项目基本情况!E8="房地产抵押价值",H107,H109)</f>
        <v>23305</v>
      </c>
      <c r="N49" s="3446"/>
      <c r="O49" s="3446"/>
    </row>
    <row r="50" spans="1:35" ht="25.5" customHeight="1">
      <c r="A50" s="2357"/>
      <c r="B50" s="3410" t="s">
        <v>783</v>
      </c>
      <c r="C50" s="3410"/>
      <c r="D50" s="2358"/>
      <c r="E50" s="1892"/>
      <c r="F50" s="2355"/>
      <c r="G50" s="3441"/>
      <c r="H50" s="2359" t="s">
        <v>784</v>
      </c>
      <c r="I50" s="2395"/>
      <c r="J50" s="3447" t="s">
        <v>785</v>
      </c>
      <c r="K50" s="3447"/>
      <c r="L50" s="3447"/>
      <c r="M50" s="3447"/>
      <c r="N50" s="3447"/>
      <c r="O50" s="3447"/>
    </row>
    <row r="51" spans="1:35" ht="20.45" customHeight="1">
      <c r="A51" s="2360"/>
      <c r="B51" s="3410" t="s">
        <v>786</v>
      </c>
      <c r="C51" s="3410"/>
      <c r="D51" s="1867"/>
      <c r="E51" s="1881"/>
      <c r="F51" s="2355"/>
      <c r="G51" s="3442"/>
      <c r="H51" s="2359" t="s">
        <v>787</v>
      </c>
      <c r="I51" s="2395"/>
      <c r="J51" s="2394" t="s">
        <v>788</v>
      </c>
      <c r="K51" s="3437" t="s">
        <v>789</v>
      </c>
      <c r="L51" s="3437"/>
      <c r="M51" s="2394" t="s">
        <v>790</v>
      </c>
      <c r="N51" s="2394" t="s">
        <v>791</v>
      </c>
      <c r="O51" s="2394" t="s">
        <v>792</v>
      </c>
    </row>
    <row r="52" spans="1:35" ht="24" customHeight="1">
      <c r="A52" s="2361" t="s">
        <v>793</v>
      </c>
      <c r="B52" s="3410" t="s">
        <v>794</v>
      </c>
      <c r="C52" s="3410"/>
      <c r="D52" s="1867">
        <f ca="1">ROUND(D45*'数据-取费表'!B41/(1+'数据-取费表'!C42),0)</f>
        <v>1243</v>
      </c>
      <c r="E52" s="1871" t="s">
        <v>795</v>
      </c>
      <c r="F52" s="2362">
        <f>'数据-取费表'!B41</f>
        <v>5.6000000000000001E-2</v>
      </c>
      <c r="G52" s="2363"/>
      <c r="H52" s="1985"/>
      <c r="I52" s="2396"/>
      <c r="J52" s="2393">
        <v>1</v>
      </c>
      <c r="K52" s="3433" t="s">
        <v>796</v>
      </c>
      <c r="L52" s="3433"/>
      <c r="M52" s="2397" t="b">
        <f>D48</f>
        <v>0</v>
      </c>
      <c r="N52" s="2393" t="str">
        <f>E48</f>
        <v>销售额×税（费）率</v>
      </c>
      <c r="O52" s="2398">
        <f>F48</f>
        <v>5.6000000000000001E-2</v>
      </c>
    </row>
    <row r="53" spans="1:35" ht="12" customHeight="1">
      <c r="A53" s="2361" t="s">
        <v>797</v>
      </c>
      <c r="B53" s="3409" t="s">
        <v>798</v>
      </c>
      <c r="C53" s="3429"/>
      <c r="D53" s="1867">
        <f ca="1">ROUND(D45*'数据-取费表'!B41/(1+'数据-取费表'!C42),0)</f>
        <v>1243</v>
      </c>
      <c r="E53" s="1871" t="s">
        <v>795</v>
      </c>
      <c r="F53" s="2362">
        <f>'数据-取费表'!B41</f>
        <v>5.6000000000000001E-2</v>
      </c>
      <c r="G53" s="2363"/>
      <c r="H53" s="1985"/>
      <c r="I53" s="2396"/>
      <c r="J53" s="2393">
        <v>2</v>
      </c>
      <c r="K53" s="3433" t="s">
        <v>799</v>
      </c>
      <c r="L53" s="3433"/>
      <c r="M53" s="2397">
        <f t="shared" ref="M53:O54" ca="1" si="0">D55</f>
        <v>12</v>
      </c>
      <c r="N53" s="2393" t="str">
        <f t="shared" si="0"/>
        <v>销售额×税（费）率</v>
      </c>
      <c r="O53" s="2398" t="str">
        <f t="shared" si="0"/>
        <v>免征</v>
      </c>
    </row>
    <row r="54" spans="1:35" ht="12" customHeight="1">
      <c r="A54" s="2361" t="s">
        <v>800</v>
      </c>
      <c r="B54" s="3409" t="s">
        <v>801</v>
      </c>
      <c r="C54" s="3429"/>
      <c r="D54" s="1867">
        <f ca="1">C68</f>
        <v>1181</v>
      </c>
      <c r="E54" s="1881" t="s">
        <v>802</v>
      </c>
      <c r="F54" s="2362">
        <f>'数据-取费表'!B41</f>
        <v>5.6000000000000001E-2</v>
      </c>
      <c r="G54" s="2363"/>
      <c r="H54" s="2364"/>
      <c r="I54" s="2396"/>
      <c r="J54" s="2393">
        <v>3</v>
      </c>
      <c r="K54" s="3433" t="s">
        <v>803</v>
      </c>
      <c r="L54" s="3433"/>
      <c r="M54" s="2397">
        <f t="shared" ca="1" si="0"/>
        <v>13191</v>
      </c>
      <c r="N54" s="2393" t="str">
        <f t="shared" si="0"/>
        <v>增值额×税（费）率</v>
      </c>
      <c r="O54" s="2399" t="str">
        <f t="shared" si="0"/>
        <v>免征</v>
      </c>
    </row>
    <row r="55" spans="1:35" ht="24" customHeight="1">
      <c r="A55" s="3438" t="s">
        <v>804</v>
      </c>
      <c r="B55" s="3439"/>
      <c r="C55" s="3439"/>
      <c r="D55" s="1970">
        <f ca="1">IF(H55="个人住宅",0,ROUND(D45*I55,0))</f>
        <v>12</v>
      </c>
      <c r="E55" s="1871" t="s">
        <v>805</v>
      </c>
      <c r="F55" s="2362" t="str">
        <f>IF(H55="正常",I55,"免征")</f>
        <v>免征</v>
      </c>
      <c r="G55" s="2363"/>
      <c r="H55" s="2353"/>
      <c r="I55" s="2400">
        <f>'数据-取费表'!B49</f>
        <v>5.0000000000000001E-4</v>
      </c>
      <c r="J55" s="2393">
        <f>IF(H59="非个人房产","",4)</f>
        <v>4</v>
      </c>
      <c r="K55" s="3433" t="str">
        <f>IF(H59="非个人房产","——","个人所得税")</f>
        <v>个人所得税</v>
      </c>
      <c r="L55" s="3433"/>
      <c r="M55" s="2401">
        <f ca="1">D59</f>
        <v>211</v>
      </c>
      <c r="N55" s="635" t="str">
        <f>E59</f>
        <v>差额计税</v>
      </c>
      <c r="O55" s="2402">
        <f>F59</f>
        <v>0.01</v>
      </c>
    </row>
    <row r="56" spans="1:35" ht="24.75">
      <c r="A56" s="3438" t="s">
        <v>806</v>
      </c>
      <c r="B56" s="3439"/>
      <c r="C56" s="3439"/>
      <c r="D56" s="1970">
        <f ca="1">IF(H56="个人住宅",D57,D58)</f>
        <v>13191</v>
      </c>
      <c r="E56" s="1871" t="s">
        <v>807</v>
      </c>
      <c r="F56" s="2362" t="str">
        <f>IF(H56="正常",F58,"免征")</f>
        <v>免征</v>
      </c>
      <c r="G56" s="2365" t="s">
        <v>808</v>
      </c>
      <c r="H56" s="2366"/>
      <c r="I56" s="2375"/>
      <c r="J56" s="2393" t="str">
        <f>IF(项目基本情况!K6="上海银行",IF(J55="",4,J55+1),"")</f>
        <v/>
      </c>
      <c r="K56" s="3427" t="str">
        <f>IF(项目基本情况!K6="上海银行","其他处置费用","")</f>
        <v/>
      </c>
      <c r="L56" s="3443"/>
      <c r="M56" s="2397" t="str">
        <f>IF(项目基本情况!K6="上海银行",M69,"")</f>
        <v/>
      </c>
      <c r="N56" s="3427" t="str">
        <f>IF(项目基本情况!K6="上海银行","包含处置中涉及的律师、诉讼、拍卖、评估等费用","")</f>
        <v/>
      </c>
      <c r="O56" s="3428"/>
    </row>
    <row r="57" spans="1:35" ht="12.75">
      <c r="A57" s="2361" t="s">
        <v>779</v>
      </c>
      <c r="B57" s="3409" t="s">
        <v>809</v>
      </c>
      <c r="C57" s="3429"/>
      <c r="D57" s="2354">
        <v>0</v>
      </c>
      <c r="E57" s="1877" t="s">
        <v>781</v>
      </c>
      <c r="F57" s="1817"/>
      <c r="G57" s="2363"/>
      <c r="H57" s="2367"/>
      <c r="I57" s="2375"/>
      <c r="J57" s="3433">
        <f>IF(AND(J55="",J56=""),4,IF(项目基本情况!K6="上海银行",结果表!J56+1,结果表!J55+1))</f>
        <v>5</v>
      </c>
      <c r="K57" s="3433" t="s">
        <v>810</v>
      </c>
      <c r="L57" s="2403" t="s">
        <v>811</v>
      </c>
      <c r="M57" s="2404"/>
      <c r="N57" s="2405">
        <f ca="1">SUMIF(M52:M56,"&lt;9e307")</f>
        <v>13414</v>
      </c>
      <c r="O57" s="2406"/>
      <c r="P57" s="2407">
        <f ca="1">N57/M49</f>
        <v>0.57558463848959451</v>
      </c>
    </row>
    <row r="58" spans="1:35" ht="24.75">
      <c r="A58" s="2361" t="s">
        <v>793</v>
      </c>
      <c r="B58" s="3409" t="s">
        <v>812</v>
      </c>
      <c r="C58" s="3410"/>
      <c r="D58" s="1970">
        <f ca="1">IF(H58="转让取得",C81,C97)</f>
        <v>13191</v>
      </c>
      <c r="E58" s="1871" t="s">
        <v>807</v>
      </c>
      <c r="F58" s="1817" t="s">
        <v>124</v>
      </c>
      <c r="G58" s="2363"/>
      <c r="H58" s="2366"/>
      <c r="I58" s="2375"/>
      <c r="J58" s="3433"/>
      <c r="K58" s="3433"/>
      <c r="L58" s="2403" t="s">
        <v>813</v>
      </c>
      <c r="M58" s="2408"/>
      <c r="N58" s="2409" t="str">
        <f ca="1">NUMBERSTRING(INT(N57*10000),2)&amp;"元整"</f>
        <v>壹亿叁仟肆佰壹拾肆万元整</v>
      </c>
      <c r="O58" s="2410"/>
    </row>
    <row r="59" spans="1:35" ht="24">
      <c r="A59" s="3430" t="s">
        <v>814</v>
      </c>
      <c r="B59" s="3431"/>
      <c r="C59" s="3431"/>
      <c r="D59" s="2368">
        <f ca="1">IF(H59="非个人房产","——",IF(H59="个人住宅（满五唯一有凭证）",0,IF(H59="个人其他（无凭证）",ROUND(D45*F59,0),ROUND(C67*F59,0))))</f>
        <v>211</v>
      </c>
      <c r="E59" s="2369" t="str">
        <f>IF(H59="非个人房产","——",IF(H59="个人其他（无凭证）","销售额×税（费）率",IF(H59="个人住宅（满五唯一有凭证）","免征","差额计税")))</f>
        <v>差额计税</v>
      </c>
      <c r="F59" s="2370">
        <f>IF(OR(H59="非个人房产",H59="个人住宅（满五唯一有凭证）"),"——",IF(H59="个人其他（有凭证）",20%,1%))</f>
        <v>0.01</v>
      </c>
      <c r="G59" s="2371" t="s">
        <v>808</v>
      </c>
      <c r="H59" s="2372"/>
      <c r="I59" s="2411" t="s">
        <v>815</v>
      </c>
      <c r="J59" s="3434">
        <f>J57+1</f>
        <v>6</v>
      </c>
      <c r="K59" s="3433" t="s">
        <v>816</v>
      </c>
      <c r="L59" s="2393" t="s">
        <v>811</v>
      </c>
      <c r="M59" s="2412"/>
      <c r="N59" s="2413">
        <f ca="1">M49-N57</f>
        <v>9891</v>
      </c>
      <c r="O59" s="2414"/>
    </row>
    <row r="60" spans="1:35" ht="12" customHeight="1">
      <c r="A60" s="2373"/>
      <c r="B60" s="2248"/>
      <c r="C60" s="2248"/>
      <c r="D60" s="2248"/>
      <c r="E60" s="2374"/>
      <c r="F60" s="2375"/>
      <c r="G60" s="2375"/>
      <c r="H60" s="2376"/>
      <c r="I60" s="282"/>
      <c r="J60" s="3435"/>
      <c r="K60" s="3433"/>
      <c r="L60" s="2403" t="s">
        <v>813</v>
      </c>
      <c r="M60" s="2408"/>
      <c r="N60" s="2409" t="str">
        <f ca="1">NUMBERSTRING(INT(N59*10000),2)&amp;"元整"</f>
        <v>玖仟捌佰玖拾壹万元整</v>
      </c>
      <c r="O60" s="2410"/>
    </row>
    <row r="61" spans="1:35" ht="12.75">
      <c r="A61" s="3432" t="s">
        <v>817</v>
      </c>
      <c r="B61" s="3432"/>
      <c r="C61" s="3432"/>
      <c r="D61" s="3432"/>
      <c r="E61" s="3432"/>
      <c r="F61" s="2375"/>
      <c r="G61" s="2375"/>
      <c r="H61" s="2376"/>
      <c r="I61" s="282"/>
      <c r="J61" s="2393">
        <f>J59+1</f>
        <v>7</v>
      </c>
      <c r="K61" s="3433" t="s">
        <v>818</v>
      </c>
      <c r="L61" s="3433"/>
      <c r="M61" s="2415"/>
      <c r="N61" s="2416">
        <f ca="1">ROUND(N59*10000/'数据-汇总表'!E3,0)</f>
        <v>5966</v>
      </c>
      <c r="O61" s="2417"/>
    </row>
    <row r="62" spans="1:35" ht="12.75">
      <c r="A62" s="3407" t="s">
        <v>819</v>
      </c>
      <c r="B62" s="3408"/>
      <c r="C62" s="614"/>
      <c r="D62" s="614" t="s">
        <v>820</v>
      </c>
      <c r="E62" s="2377" t="s">
        <v>774</v>
      </c>
      <c r="F62" s="2375"/>
      <c r="G62" s="2375"/>
      <c r="H62" s="2376"/>
      <c r="I62" s="282"/>
    </row>
    <row r="63" spans="1:35" ht="12.75">
      <c r="A63" s="2378" t="s">
        <v>821</v>
      </c>
      <c r="B63" s="2379" t="s">
        <v>822</v>
      </c>
      <c r="C63" s="2380">
        <f ca="1">ROUND((C64+C65)/(1+'数据-取费表'!C42),0)</f>
        <v>22195</v>
      </c>
      <c r="D63" s="2379"/>
      <c r="E63" s="2381"/>
      <c r="F63" s="2375"/>
      <c r="G63" s="2375"/>
      <c r="H63" s="2376"/>
      <c r="I63" s="282"/>
      <c r="J63" s="3436" t="s">
        <v>823</v>
      </c>
      <c r="K63" s="2418" t="s">
        <v>824</v>
      </c>
      <c r="L63" s="2418">
        <f ca="1">IF(M49&gt;10000,M49*0.5%,IF(AND(M49&gt;1000,M49&lt;=10000),M49*1%,IF(AND(M49&gt;100,M49&lt;=1000),M49*3%,IF(AND(M49&gt;10,M49&lt;=100),M49*5%,M49*8%))))</f>
        <v>116.52500000000001</v>
      </c>
      <c r="M63" s="1817">
        <f ca="1">ROUND(L63,1)</f>
        <v>116.5</v>
      </c>
      <c r="N63" s="2419"/>
      <c r="Z63" s="2245"/>
      <c r="AI63" s="2246"/>
    </row>
    <row r="64" spans="1:35" ht="14.25" customHeight="1">
      <c r="A64" s="2382" t="s">
        <v>825</v>
      </c>
      <c r="B64" s="601" t="s">
        <v>826</v>
      </c>
      <c r="C64" s="2383">
        <f ca="1">D45</f>
        <v>23305</v>
      </c>
      <c r="D64" s="601" t="s">
        <v>124</v>
      </c>
      <c r="E64" s="2384"/>
      <c r="F64" s="2375"/>
      <c r="G64" s="2375"/>
      <c r="H64" s="2376"/>
      <c r="I64" s="282"/>
      <c r="J64" s="3436"/>
      <c r="K64" s="2418" t="s">
        <v>827</v>
      </c>
      <c r="L64" s="2418">
        <f ca="1">IF(M49&gt;2000,M49*0.5%,IF(AND(M49&gt;1000,M49&lt;=2000),M49*0.6%,IF(AND(M49&gt;500,M49&lt;=1000),M49*0.7%,IF(AND(M49&gt;200,M49&lt;=500),M49*0.8%,IF(AND(M49&gt;100,M49&lt;=200),M49*0.9%,IF(AND(M49&gt;50,M49&lt;=100),M49*1%,IF(AND(M49&gt;20,M49&lt;=50),M49*1.5%,IF(AND(M49&gt;10,M49&lt;=20),M49*2%,IF(AND(M49&gt;1,M49&lt;=10),M49*2.5%)))))))))</f>
        <v>116.52500000000001</v>
      </c>
      <c r="M64" s="1817">
        <f t="shared" ref="M64:M65" ca="1" si="1">ROUND(L64,1)</f>
        <v>116.5</v>
      </c>
      <c r="N64" s="1985" t="s">
        <v>828</v>
      </c>
      <c r="Z64" s="2245"/>
      <c r="AI64" s="2246"/>
    </row>
    <row r="65" spans="1:35" ht="14.25" customHeight="1">
      <c r="A65" s="2382" t="s">
        <v>829</v>
      </c>
      <c r="B65" s="601" t="s">
        <v>830</v>
      </c>
      <c r="C65" s="2421"/>
      <c r="D65" s="601"/>
      <c r="E65" s="2384"/>
      <c r="F65" s="2375"/>
      <c r="G65" s="2375"/>
      <c r="H65" s="2376"/>
      <c r="I65" s="282"/>
      <c r="J65" s="3436"/>
      <c r="K65" s="2418" t="s">
        <v>831</v>
      </c>
      <c r="L65" s="2418">
        <f ca="1">IF(M49&gt;1000,M49*0.1%,IF(AND(M49&gt;500,M49&lt;=1000),M49*0.5%,IF(AND(M49&gt;50,M49&lt;=500),M49*1%,IF(AND(M49&gt;1,M49&lt;=50),M49*1.5%))))</f>
        <v>23.305</v>
      </c>
      <c r="M65" s="1817">
        <f t="shared" ca="1" si="1"/>
        <v>23.3</v>
      </c>
      <c r="N65" s="1985" t="s">
        <v>828</v>
      </c>
      <c r="Z65" s="2245"/>
      <c r="AI65" s="2246"/>
    </row>
    <row r="66" spans="1:35" ht="14.25" customHeight="1">
      <c r="A66" s="2378" t="s">
        <v>832</v>
      </c>
      <c r="B66" s="2422" t="s">
        <v>833</v>
      </c>
      <c r="C66" s="2423">
        <v>1113</v>
      </c>
      <c r="D66" s="2422" t="s">
        <v>124</v>
      </c>
      <c r="E66" s="2424" t="s">
        <v>834</v>
      </c>
      <c r="F66" s="2375"/>
      <c r="G66" s="2375"/>
      <c r="H66" s="2376"/>
      <c r="I66" s="282"/>
      <c r="J66" s="3436"/>
      <c r="K66" s="2418" t="s">
        <v>835</v>
      </c>
      <c r="L66" s="2418">
        <f ca="1">M49*0.5%</f>
        <v>116.52500000000001</v>
      </c>
      <c r="M66" s="1817">
        <f ca="1">IF(L66&gt;0.5,0.5,ROUND(L66,0))</f>
        <v>0.5</v>
      </c>
      <c r="N66" s="1985" t="s">
        <v>836</v>
      </c>
      <c r="Z66" s="2245"/>
      <c r="AI66" s="2246"/>
    </row>
    <row r="67" spans="1:35" ht="14.25" customHeight="1">
      <c r="A67" s="2378" t="s">
        <v>837</v>
      </c>
      <c r="B67" s="2422" t="s">
        <v>838</v>
      </c>
      <c r="C67" s="2425">
        <f ca="1">C63-C66</f>
        <v>21082</v>
      </c>
      <c r="D67" s="601" t="s">
        <v>124</v>
      </c>
      <c r="E67" s="2384"/>
      <c r="F67" s="2375"/>
      <c r="G67" s="2375"/>
      <c r="H67" s="2376"/>
      <c r="I67" s="282"/>
      <c r="J67" s="3436"/>
      <c r="K67" s="2418" t="s">
        <v>839</v>
      </c>
      <c r="L67" s="2418">
        <f ca="1">IF(M49&gt;=10000,(8.25+(M49-10000)*0.01%),IF(AND(M49&gt;=8000,M49&lt;10000),(7.85+(M49-8000)*0.02%),IF(AND(M49&gt;=5000,M49&lt;8000),(6.65+(M49-5000)*0.04%),IF(AND(M49&gt;=2000,M49&lt;5000),(4.25+(PM49-2000)*0.08%),IF(AND(M49&gt;=1000,M49&lt;2000),(2.75+(M49-1000)*0.15%),IF(AND(M49&gt;=100,M49&lt;1000),(0.5+(M49-100)*0.25%),IF(AND(M49&gt;0,M49&lt;100),M49*0.5%)))))))</f>
        <v>9.5805000000000007</v>
      </c>
      <c r="M67" s="1817">
        <f ca="1">ROUND(L67*0.9,1)</f>
        <v>8.6</v>
      </c>
      <c r="N67" s="2419"/>
      <c r="Z67" s="2245"/>
      <c r="AI67" s="2246"/>
    </row>
    <row r="68" spans="1:35" ht="14.25" customHeight="1">
      <c r="A68" s="2426" t="s">
        <v>840</v>
      </c>
      <c r="B68" s="2427" t="s">
        <v>841</v>
      </c>
      <c r="C68" s="2428">
        <f ca="1">IF(C67&lt;=0,0,ROUND(C67*D68,0))</f>
        <v>1181</v>
      </c>
      <c r="D68" s="2429">
        <f>'数据-取费表'!B41</f>
        <v>5.6000000000000001E-2</v>
      </c>
      <c r="E68" s="2430"/>
      <c r="F68" s="2375"/>
      <c r="G68" s="2375"/>
      <c r="H68" s="2376"/>
      <c r="I68" s="282"/>
      <c r="J68" s="3436"/>
      <c r="K68" s="2418" t="s">
        <v>842</v>
      </c>
      <c r="L68" s="2418">
        <f ca="1">IF(M49&gt;10000,M49*0.5%,IF(AND(M49&gt;5000,M49&lt;=10000),M49*1%,IF(AND(M49&gt;1000,M49&lt;=5000),M49*2%,IF(AND(M49&gt;200,M49&lt;=1000),M49*3%,M49*5%))))</f>
        <v>116.52500000000001</v>
      </c>
      <c r="M68" s="1817">
        <f ca="1">ROUND(L68,1)</f>
        <v>116.5</v>
      </c>
      <c r="N68" s="2419"/>
      <c r="Z68" s="2245"/>
      <c r="AI68" s="2246"/>
    </row>
    <row r="69" spans="1:35" s="2243" customFormat="1" ht="16.5" customHeight="1">
      <c r="A69" s="2431"/>
      <c r="B69" s="2432"/>
      <c r="C69" s="2433"/>
      <c r="D69" s="752"/>
      <c r="E69" s="2434"/>
      <c r="F69" s="2374"/>
      <c r="G69" s="2374"/>
      <c r="H69" s="2334"/>
      <c r="I69" s="2248"/>
      <c r="J69" s="3436"/>
      <c r="K69" s="2418" t="s">
        <v>843</v>
      </c>
      <c r="L69" s="2418"/>
      <c r="M69" s="1817">
        <f ca="1">ROUND(SUM(M63:M68),0)</f>
        <v>382</v>
      </c>
      <c r="N69" s="2497">
        <f ca="1">M69/M49</f>
        <v>1.6391332332117571E-2</v>
      </c>
      <c r="O69" s="239"/>
      <c r="P69" s="239"/>
      <c r="Q69" s="239"/>
      <c r="R69" s="239"/>
      <c r="S69" s="239"/>
      <c r="T69" s="239"/>
      <c r="U69" s="239"/>
      <c r="V69" s="239"/>
      <c r="W69" s="239"/>
      <c r="X69" s="239"/>
      <c r="Y69" s="239"/>
      <c r="Z69" s="2245"/>
      <c r="AA69" s="2245"/>
      <c r="AB69" s="2245"/>
      <c r="AC69" s="2245"/>
      <c r="AD69" s="2245"/>
      <c r="AE69" s="2245"/>
      <c r="AF69" s="2245"/>
      <c r="AG69" s="2245"/>
      <c r="AH69" s="2245"/>
    </row>
    <row r="70" spans="1:35" s="2244" customFormat="1" ht="14.25">
      <c r="A70" s="3405" t="s">
        <v>844</v>
      </c>
      <c r="B70" s="3406"/>
      <c r="C70" s="3406"/>
      <c r="D70" s="3406"/>
      <c r="E70" s="3406"/>
      <c r="F70" s="3406"/>
      <c r="G70" s="3406"/>
      <c r="H70" s="3406"/>
      <c r="I70" s="2498"/>
      <c r="J70" s="2499"/>
      <c r="K70" s="2499"/>
      <c r="L70" s="2499"/>
      <c r="M70" s="2499"/>
      <c r="N70" s="2500"/>
      <c r="O70" s="2500"/>
      <c r="P70" s="2500"/>
      <c r="Q70" s="2500"/>
      <c r="R70" s="2500"/>
      <c r="S70" s="2500"/>
      <c r="T70" s="2500"/>
      <c r="U70" s="2500"/>
      <c r="V70" s="2500"/>
      <c r="W70" s="2500"/>
      <c r="X70" s="2500"/>
      <c r="Y70" s="2500"/>
      <c r="Z70" s="2500"/>
      <c r="AA70" s="2506"/>
      <c r="AB70" s="2506"/>
      <c r="AC70" s="2506"/>
      <c r="AD70" s="2506"/>
      <c r="AE70" s="2506"/>
      <c r="AF70" s="2506"/>
      <c r="AG70" s="2506"/>
      <c r="AH70" s="2506"/>
      <c r="AI70" s="2506"/>
    </row>
    <row r="71" spans="1:35" s="2244" customFormat="1" ht="14.25">
      <c r="A71" s="3407" t="s">
        <v>819</v>
      </c>
      <c r="B71" s="3408"/>
      <c r="C71" s="614"/>
      <c r="D71" s="614" t="s">
        <v>820</v>
      </c>
      <c r="E71" s="2435" t="s">
        <v>774</v>
      </c>
      <c r="F71" s="2436"/>
      <c r="G71" s="2436"/>
      <c r="H71" s="2437"/>
      <c r="I71" s="2501"/>
      <c r="J71" s="2499"/>
      <c r="K71" s="2499"/>
      <c r="L71" s="2499"/>
      <c r="M71" s="2499"/>
      <c r="N71" s="2500"/>
      <c r="O71" s="2500"/>
      <c r="P71" s="2500"/>
      <c r="Q71" s="2500"/>
      <c r="R71" s="2500"/>
      <c r="S71" s="2500"/>
      <c r="T71" s="2500"/>
      <c r="U71" s="2500"/>
      <c r="V71" s="2500"/>
      <c r="W71" s="2500"/>
      <c r="X71" s="2500"/>
      <c r="Y71" s="2500"/>
      <c r="Z71" s="2500"/>
      <c r="AA71" s="2506"/>
      <c r="AB71" s="2506"/>
      <c r="AC71" s="2506"/>
      <c r="AD71" s="2506"/>
      <c r="AE71" s="2506"/>
      <c r="AF71" s="2506"/>
      <c r="AG71" s="2506"/>
      <c r="AH71" s="2506"/>
      <c r="AI71" s="2506"/>
    </row>
    <row r="72" spans="1:35" s="2244" customFormat="1" ht="14.25">
      <c r="A72" s="2378" t="s">
        <v>821</v>
      </c>
      <c r="B72" s="2422" t="s">
        <v>845</v>
      </c>
      <c r="C72" s="2425">
        <f ca="1">ROUND(D45/(1+'数据-取费表'!C42),0)</f>
        <v>22195</v>
      </c>
      <c r="D72" s="601" t="s">
        <v>124</v>
      </c>
      <c r="E72" s="1848"/>
      <c r="F72" s="1849"/>
      <c r="G72" s="1849"/>
      <c r="H72" s="2438"/>
      <c r="I72" s="2501"/>
      <c r="J72" s="2499"/>
      <c r="K72" s="2499"/>
      <c r="L72" s="2499"/>
      <c r="M72" s="2499"/>
      <c r="N72" s="2500"/>
      <c r="O72" s="2500"/>
      <c r="P72" s="2500"/>
      <c r="Q72" s="2500"/>
      <c r="R72" s="2500"/>
      <c r="S72" s="2500"/>
      <c r="T72" s="2500"/>
      <c r="U72" s="2500"/>
      <c r="V72" s="2500"/>
      <c r="W72" s="2500"/>
      <c r="X72" s="2500"/>
      <c r="Y72" s="2500"/>
      <c r="Z72" s="2500"/>
      <c r="AA72" s="2506"/>
      <c r="AB72" s="2506"/>
      <c r="AC72" s="2506"/>
      <c r="AD72" s="2506"/>
      <c r="AE72" s="2506"/>
      <c r="AF72" s="2506"/>
      <c r="AG72" s="2506"/>
      <c r="AH72" s="2506"/>
      <c r="AI72" s="2506"/>
    </row>
    <row r="73" spans="1:35" s="2244" customFormat="1" ht="14.25">
      <c r="A73" s="2378" t="s">
        <v>832</v>
      </c>
      <c r="B73" s="2347" t="s">
        <v>846</v>
      </c>
      <c r="C73" s="2425">
        <f ca="1">C74+C78</f>
        <v>1280</v>
      </c>
      <c r="D73" s="601" t="s">
        <v>124</v>
      </c>
      <c r="E73" s="1848"/>
      <c r="F73" s="1849"/>
      <c r="G73" s="1849"/>
      <c r="H73" s="2438"/>
      <c r="I73" s="2501"/>
      <c r="J73" s="2500"/>
      <c r="K73" s="2500"/>
      <c r="L73" s="2500"/>
      <c r="M73" s="3273" t="s">
        <v>3434</v>
      </c>
      <c r="N73" s="2500">
        <f ca="1">N59-N74</f>
        <v>8140</v>
      </c>
      <c r="O73" s="2500"/>
      <c r="P73" s="2500"/>
      <c r="Q73" s="2500"/>
      <c r="R73" s="2500"/>
      <c r="S73" s="2500"/>
      <c r="T73" s="2500"/>
      <c r="U73" s="2500"/>
      <c r="V73" s="2500"/>
      <c r="W73" s="2500"/>
      <c r="X73" s="2500"/>
      <c r="Y73" s="2500"/>
      <c r="Z73" s="2500"/>
      <c r="AA73" s="2506"/>
      <c r="AB73" s="2506"/>
      <c r="AC73" s="2506"/>
      <c r="AD73" s="2506"/>
      <c r="AE73" s="2506"/>
      <c r="AF73" s="2506"/>
      <c r="AG73" s="2506"/>
      <c r="AH73" s="2506"/>
      <c r="AI73" s="2506"/>
    </row>
    <row r="74" spans="1:35" s="2244" customFormat="1" ht="24">
      <c r="A74" s="2382" t="s">
        <v>825</v>
      </c>
      <c r="B74" s="601" t="s">
        <v>847</v>
      </c>
      <c r="C74" s="601">
        <f>ROUND(IF(G77="2016年5月1日后购买",C75/(1+'数据-取费表'!C42)+C76+C77,C75+C76+C77),0)</f>
        <v>1147</v>
      </c>
      <c r="D74" s="601" t="s">
        <v>124</v>
      </c>
      <c r="E74" s="1848"/>
      <c r="F74" s="1849"/>
      <c r="G74" s="1849"/>
      <c r="H74" s="2438"/>
      <c r="I74" s="2501"/>
      <c r="J74" s="2500"/>
      <c r="K74" s="2500"/>
      <c r="L74" s="2500"/>
      <c r="M74" s="3273" t="s">
        <v>3435</v>
      </c>
      <c r="N74" s="2500">
        <f ca="1">ROUND(N59*D35,0)</f>
        <v>1751</v>
      </c>
      <c r="O74" s="2500"/>
      <c r="P74" s="2500"/>
      <c r="Q74" s="2500"/>
      <c r="R74" s="2500"/>
      <c r="S74" s="2500"/>
      <c r="T74" s="2500"/>
      <c r="U74" s="2500"/>
      <c r="V74" s="2500"/>
      <c r="W74" s="2500"/>
      <c r="X74" s="2500"/>
      <c r="Y74" s="2500"/>
      <c r="Z74" s="2500"/>
      <c r="AA74" s="2506"/>
      <c r="AB74" s="2506"/>
      <c r="AC74" s="2506"/>
      <c r="AD74" s="2506"/>
      <c r="AE74" s="2506"/>
      <c r="AF74" s="2506"/>
      <c r="AG74" s="2506"/>
      <c r="AH74" s="2506"/>
      <c r="AI74" s="2506"/>
    </row>
    <row r="75" spans="1:35" s="2244" customFormat="1" ht="14.25">
      <c r="A75" s="2382" t="s">
        <v>848</v>
      </c>
      <c r="B75" s="601" t="s">
        <v>849</v>
      </c>
      <c r="C75" s="2439">
        <v>1113</v>
      </c>
      <c r="D75" s="601" t="s">
        <v>124</v>
      </c>
      <c r="E75" s="2440" t="s">
        <v>850</v>
      </c>
      <c r="F75" s="2441"/>
      <c r="G75" s="2440" t="s">
        <v>851</v>
      </c>
      <c r="H75" s="2442">
        <v>0</v>
      </c>
      <c r="I75" s="839"/>
      <c r="J75" s="2500"/>
      <c r="K75" s="2500"/>
      <c r="L75" s="2500"/>
      <c r="M75" s="3272" t="s">
        <v>3436</v>
      </c>
      <c r="N75" s="2500">
        <f ca="1">N61-N76</f>
        <v>4910</v>
      </c>
      <c r="O75" s="2500"/>
      <c r="P75" s="2500"/>
      <c r="Q75" s="2500"/>
      <c r="R75" s="2500"/>
      <c r="S75" s="2500"/>
      <c r="T75" s="2500"/>
      <c r="U75" s="2500"/>
      <c r="V75" s="2500"/>
      <c r="W75" s="2500"/>
      <c r="X75" s="2500"/>
      <c r="Y75" s="2500"/>
      <c r="Z75" s="2500"/>
      <c r="AA75" s="2506"/>
      <c r="AB75" s="2506"/>
      <c r="AC75" s="2506"/>
      <c r="AD75" s="2506"/>
      <c r="AE75" s="2506"/>
      <c r="AF75" s="2506"/>
      <c r="AG75" s="2506"/>
      <c r="AH75" s="2506"/>
      <c r="AI75" s="2506"/>
    </row>
    <row r="76" spans="1:35" s="2244" customFormat="1" ht="24.75" customHeight="1">
      <c r="A76" s="2382" t="s">
        <v>852</v>
      </c>
      <c r="B76" s="2443" t="s">
        <v>853</v>
      </c>
      <c r="C76" s="601">
        <f>IF(F75="购房发票",ROUND(C75*H75*D76,0),0)</f>
        <v>0</v>
      </c>
      <c r="D76" s="2444">
        <v>0.05</v>
      </c>
      <c r="E76" s="3409" t="s">
        <v>854</v>
      </c>
      <c r="F76" s="3410"/>
      <c r="G76" s="3410"/>
      <c r="H76" s="3411"/>
      <c r="I76" s="2501"/>
      <c r="J76" s="2500"/>
      <c r="K76" s="2500"/>
      <c r="L76" s="2500"/>
      <c r="M76" s="3272" t="s">
        <v>3437</v>
      </c>
      <c r="N76" s="2500">
        <f ca="1">ROUND(N74*10000/B118,0)</f>
        <v>1056</v>
      </c>
      <c r="O76" s="2500"/>
      <c r="P76" s="2500"/>
      <c r="Q76" s="2500"/>
      <c r="R76" s="2500"/>
      <c r="S76" s="2500"/>
      <c r="T76" s="2500"/>
      <c r="U76" s="2500"/>
      <c r="V76" s="2500"/>
      <c r="W76" s="2500"/>
      <c r="X76" s="2500"/>
      <c r="Y76" s="2500"/>
      <c r="Z76" s="2500"/>
      <c r="AA76" s="2506"/>
      <c r="AB76" s="2506"/>
      <c r="AC76" s="2506"/>
      <c r="AD76" s="2506"/>
      <c r="AE76" s="2506"/>
      <c r="AF76" s="2506"/>
      <c r="AG76" s="2506"/>
      <c r="AH76" s="2506"/>
      <c r="AI76" s="2506"/>
    </row>
    <row r="77" spans="1:35" s="2244" customFormat="1" ht="24.75" customHeight="1">
      <c r="A77" s="2382" t="s">
        <v>855</v>
      </c>
      <c r="B77" s="601" t="s">
        <v>856</v>
      </c>
      <c r="C77" s="601">
        <f>ROUND(IF(G77="个人住宅",0,IF(G77="2016年5月1日前购买",C75*D77,C75*D77/(1+'数据-取费表'!C42))),0)</f>
        <v>34</v>
      </c>
      <c r="D77" s="2446">
        <f>'数据-取费表'!B48+'数据-取费表'!B49</f>
        <v>3.0499999999999999E-2</v>
      </c>
      <c r="E77" s="1970" t="s">
        <v>857</v>
      </c>
      <c r="F77" s="2447"/>
      <c r="G77" s="2448" t="s">
        <v>3433</v>
      </c>
      <c r="H77" s="2445" t="str">
        <f>IF(G77="个人买卖住房","免征印花税"," ")</f>
        <v xml:space="preserve"> </v>
      </c>
      <c r="I77" s="2501"/>
      <c r="J77" s="2500"/>
      <c r="K77" s="2500"/>
      <c r="L77" s="2500"/>
      <c r="M77" s="2500"/>
      <c r="N77" s="2500"/>
      <c r="O77" s="2500"/>
      <c r="P77" s="2500"/>
      <c r="Q77" s="2500"/>
      <c r="R77" s="2500"/>
      <c r="S77" s="2500"/>
      <c r="T77" s="2500"/>
      <c r="U77" s="2500"/>
      <c r="V77" s="2500"/>
      <c r="W77" s="2500"/>
      <c r="X77" s="2500"/>
      <c r="Y77" s="2500"/>
      <c r="Z77" s="2500"/>
      <c r="AA77" s="2506"/>
      <c r="AB77" s="2506"/>
      <c r="AC77" s="2506"/>
      <c r="AD77" s="2506"/>
      <c r="AE77" s="2506"/>
      <c r="AF77" s="2506"/>
      <c r="AG77" s="2506"/>
      <c r="AH77" s="2506"/>
      <c r="AI77" s="2506"/>
    </row>
    <row r="78" spans="1:35" s="2244" customFormat="1" ht="24.75" customHeight="1">
      <c r="A78" s="2382" t="s">
        <v>829</v>
      </c>
      <c r="B78" s="601" t="s">
        <v>858</v>
      </c>
      <c r="C78" s="2449">
        <f ca="1">ROUND(D45*D78/(1+'数据-取费表'!C42),0)</f>
        <v>133</v>
      </c>
      <c r="D78" s="2450">
        <f>'数据-取费表'!B43</f>
        <v>6.000000000000001E-3</v>
      </c>
      <c r="E78" s="3387" t="s">
        <v>859</v>
      </c>
      <c r="F78" s="3388"/>
      <c r="G78" s="3388"/>
      <c r="H78" s="3389"/>
      <c r="I78" s="2502"/>
      <c r="J78" s="2500"/>
      <c r="K78" s="2500"/>
      <c r="L78" s="2500"/>
      <c r="M78" s="2500"/>
      <c r="N78" s="2500"/>
      <c r="O78" s="2500"/>
      <c r="P78" s="2500"/>
      <c r="Q78" s="2500"/>
      <c r="R78" s="2500"/>
      <c r="S78" s="2500"/>
      <c r="T78" s="2500"/>
      <c r="U78" s="2500"/>
      <c r="V78" s="2500"/>
      <c r="W78" s="2500"/>
      <c r="X78" s="2500"/>
      <c r="Y78" s="2500"/>
      <c r="Z78" s="2500"/>
      <c r="AA78" s="2506"/>
      <c r="AB78" s="2506"/>
      <c r="AC78" s="2506"/>
      <c r="AD78" s="2506"/>
      <c r="AE78" s="2506"/>
      <c r="AF78" s="2506"/>
      <c r="AG78" s="2506"/>
      <c r="AH78" s="2506"/>
      <c r="AI78" s="2506"/>
    </row>
    <row r="79" spans="1:35" s="2244" customFormat="1" ht="14.25">
      <c r="A79" s="2378" t="s">
        <v>837</v>
      </c>
      <c r="B79" s="2422" t="s">
        <v>860</v>
      </c>
      <c r="C79" s="2425">
        <f ca="1">C72-C73</f>
        <v>20915</v>
      </c>
      <c r="D79" s="601" t="s">
        <v>124</v>
      </c>
      <c r="E79" s="1848"/>
      <c r="F79" s="1849"/>
      <c r="G79" s="1849"/>
      <c r="H79" s="2438"/>
      <c r="I79" s="2501"/>
      <c r="J79" s="2500"/>
      <c r="K79" s="2500"/>
      <c r="L79" s="2500"/>
      <c r="M79" s="2500"/>
      <c r="N79" s="2500"/>
      <c r="O79" s="2500"/>
      <c r="P79" s="2500"/>
      <c r="Q79" s="2500"/>
      <c r="R79" s="2500"/>
      <c r="S79" s="2500"/>
      <c r="T79" s="2500"/>
      <c r="U79" s="2500"/>
      <c r="V79" s="2500"/>
      <c r="W79" s="2500"/>
      <c r="X79" s="2500"/>
      <c r="Y79" s="2500"/>
      <c r="Z79" s="2500"/>
      <c r="AA79" s="2506"/>
      <c r="AB79" s="2506"/>
      <c r="AC79" s="2506"/>
      <c r="AD79" s="2506"/>
      <c r="AE79" s="2506"/>
      <c r="AF79" s="2506"/>
      <c r="AG79" s="2506"/>
      <c r="AH79" s="2506"/>
      <c r="AI79" s="2506"/>
    </row>
    <row r="80" spans="1:35" s="2244" customFormat="1" ht="24">
      <c r="A80" s="2378" t="s">
        <v>840</v>
      </c>
      <c r="B80" s="2422" t="s">
        <v>861</v>
      </c>
      <c r="C80" s="2454">
        <f ca="1">IF(C79&lt;=0,0,C79/C73)</f>
        <v>16.33984375</v>
      </c>
      <c r="D80" s="60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438"/>
      <c r="I80" s="2501"/>
      <c r="J80" s="2500"/>
      <c r="K80" s="2500"/>
      <c r="L80" s="2500"/>
      <c r="M80" s="2500"/>
      <c r="N80" s="2500"/>
      <c r="O80" s="2500"/>
      <c r="P80" s="2500"/>
      <c r="Q80" s="2500"/>
      <c r="R80" s="2500"/>
      <c r="S80" s="2500"/>
      <c r="T80" s="2500"/>
      <c r="U80" s="2500"/>
      <c r="V80" s="2500"/>
      <c r="W80" s="2500"/>
      <c r="X80" s="2500"/>
      <c r="Y80" s="2500"/>
      <c r="Z80" s="2500"/>
      <c r="AA80" s="2506"/>
      <c r="AB80" s="2506"/>
      <c r="AC80" s="2506"/>
      <c r="AD80" s="2506"/>
      <c r="AE80" s="2506"/>
      <c r="AF80" s="2506"/>
      <c r="AG80" s="2506"/>
      <c r="AH80" s="2506"/>
      <c r="AI80" s="2506"/>
    </row>
    <row r="81" spans="1:35" s="2244" customFormat="1" ht="24">
      <c r="A81" s="2426" t="s">
        <v>862</v>
      </c>
      <c r="B81" s="2427" t="s">
        <v>863</v>
      </c>
      <c r="C81" s="2455">
        <f ca="1">ROUND(IF(C79&lt;=0,0,IF(C80&gt;=200%,C79*60%-C73*35%,IF(C80&gt;=100%,C79*50%-C73*15%,IF(C80&gt;=50%,C79*40%-C73*5%,IF(C80&lt;50%,C79*30%,0))))),0)</f>
        <v>12101</v>
      </c>
      <c r="D81" s="2456" t="s">
        <v>124</v>
      </c>
      <c r="E81" s="24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8"/>
      <c r="G81" s="2458"/>
      <c r="H81" s="2459"/>
      <c r="I81" s="2501"/>
      <c r="J81" s="2500"/>
      <c r="K81" s="2500"/>
      <c r="L81" s="2500"/>
      <c r="M81" s="2500"/>
      <c r="N81" s="2500"/>
      <c r="O81" s="2500"/>
      <c r="P81" s="2500"/>
      <c r="Q81" s="2500"/>
      <c r="R81" s="2500"/>
      <c r="S81" s="2500"/>
      <c r="T81" s="2500"/>
      <c r="U81" s="2500"/>
      <c r="V81" s="2500"/>
      <c r="W81" s="2500"/>
      <c r="X81" s="2500"/>
      <c r="Y81" s="2500"/>
      <c r="Z81" s="2500"/>
      <c r="AA81" s="2506"/>
      <c r="AB81" s="2506"/>
      <c r="AC81" s="2506"/>
      <c r="AD81" s="2506"/>
      <c r="AE81" s="2506"/>
      <c r="AF81" s="2506"/>
      <c r="AG81" s="2506"/>
      <c r="AH81" s="2506"/>
      <c r="AI81" s="2506"/>
    </row>
    <row r="82" spans="1:35" s="2244" customFormat="1" ht="7.5" customHeight="1">
      <c r="A82" s="2460"/>
      <c r="B82" s="2461"/>
      <c r="C82" s="736"/>
      <c r="D82" s="736"/>
      <c r="E82" s="2461"/>
      <c r="F82" s="2461"/>
      <c r="G82" s="2461"/>
      <c r="H82" s="2462"/>
      <c r="I82" s="2502"/>
      <c r="J82" s="2500"/>
      <c r="K82" s="2500"/>
      <c r="L82" s="2500"/>
      <c r="M82" s="2500"/>
      <c r="N82" s="2500"/>
      <c r="O82" s="2500"/>
      <c r="P82" s="2500"/>
      <c r="Q82" s="2500"/>
      <c r="R82" s="2500"/>
      <c r="S82" s="2500"/>
      <c r="T82" s="2500"/>
      <c r="U82" s="2500"/>
      <c r="V82" s="2500"/>
      <c r="W82" s="2500"/>
      <c r="X82" s="2500"/>
      <c r="Y82" s="2500"/>
      <c r="Z82" s="2500"/>
      <c r="AA82" s="2506"/>
      <c r="AB82" s="2506"/>
      <c r="AC82" s="2506"/>
      <c r="AD82" s="2506"/>
      <c r="AE82" s="2506"/>
      <c r="AF82" s="2506"/>
      <c r="AG82" s="2506"/>
      <c r="AH82" s="2506"/>
      <c r="AI82" s="2506"/>
    </row>
    <row r="83" spans="1:35" s="2244" customFormat="1" ht="14.25">
      <c r="A83" s="3405" t="s">
        <v>864</v>
      </c>
      <c r="B83" s="3406"/>
      <c r="C83" s="3406"/>
      <c r="D83" s="3406"/>
      <c r="E83" s="3406"/>
      <c r="F83" s="3406"/>
      <c r="G83" s="3406"/>
      <c r="H83" s="3406"/>
      <c r="I83" s="839"/>
      <c r="J83" s="2500"/>
      <c r="K83" s="2500"/>
      <c r="L83" s="2500"/>
      <c r="M83" s="2500"/>
      <c r="N83" s="2500"/>
      <c r="O83" s="2500"/>
      <c r="P83" s="2500"/>
      <c r="Q83" s="2500"/>
      <c r="R83" s="2500"/>
      <c r="S83" s="2500"/>
      <c r="T83" s="2500"/>
      <c r="U83" s="2500"/>
      <c r="V83" s="2500"/>
      <c r="W83" s="2500"/>
      <c r="X83" s="2500"/>
      <c r="Y83" s="2500"/>
      <c r="Z83" s="2500"/>
      <c r="AA83" s="2506"/>
      <c r="AB83" s="2506"/>
      <c r="AC83" s="2506"/>
      <c r="AD83" s="2506"/>
      <c r="AE83" s="2506"/>
      <c r="AF83" s="2506"/>
      <c r="AG83" s="2506"/>
      <c r="AH83" s="2506"/>
      <c r="AI83" s="2506"/>
    </row>
    <row r="84" spans="1:35" s="2244" customFormat="1" ht="14.25">
      <c r="A84" s="3407" t="s">
        <v>819</v>
      </c>
      <c r="B84" s="3408"/>
      <c r="C84" s="614"/>
      <c r="D84" s="614" t="s">
        <v>820</v>
      </c>
      <c r="E84" s="2435" t="s">
        <v>774</v>
      </c>
      <c r="F84" s="2436"/>
      <c r="G84" s="2436"/>
      <c r="H84" s="2463"/>
      <c r="I84" s="839"/>
      <c r="J84" s="2500"/>
      <c r="K84" s="2500"/>
      <c r="L84" s="2500"/>
      <c r="M84" s="2500"/>
      <c r="N84" s="2500"/>
      <c r="O84" s="2500"/>
      <c r="P84" s="2500"/>
      <c r="Q84" s="2500"/>
      <c r="R84" s="2500"/>
      <c r="S84" s="2500"/>
      <c r="T84" s="2500"/>
      <c r="U84" s="2500"/>
      <c r="V84" s="2500"/>
      <c r="W84" s="2500"/>
      <c r="X84" s="2500"/>
      <c r="Y84" s="2500"/>
      <c r="Z84" s="2500"/>
      <c r="AA84" s="2506"/>
      <c r="AB84" s="2506"/>
      <c r="AC84" s="2506"/>
      <c r="AD84" s="2506"/>
      <c r="AE84" s="2506"/>
      <c r="AF84" s="2506"/>
      <c r="AG84" s="2506"/>
      <c r="AH84" s="2506"/>
      <c r="AI84" s="2506"/>
    </row>
    <row r="85" spans="1:35" s="2244" customFormat="1" ht="14.25">
      <c r="A85" s="2378" t="s">
        <v>821</v>
      </c>
      <c r="B85" s="2422" t="s">
        <v>845</v>
      </c>
      <c r="C85" s="2425">
        <f ca="1">ROUND(D45/(1+'数据-取费表'!C42),0)</f>
        <v>22195</v>
      </c>
      <c r="D85" s="601" t="s">
        <v>124</v>
      </c>
      <c r="E85" s="1848"/>
      <c r="F85" s="1849"/>
      <c r="G85" s="1849"/>
      <c r="H85" s="2464"/>
      <c r="I85" s="839"/>
      <c r="J85" s="2500"/>
      <c r="K85" s="2500"/>
      <c r="L85" s="2500"/>
      <c r="M85" s="2500"/>
      <c r="N85" s="2500"/>
      <c r="O85" s="2500"/>
      <c r="P85" s="2500"/>
      <c r="Q85" s="2500"/>
      <c r="R85" s="2500"/>
      <c r="S85" s="2500"/>
      <c r="T85" s="2500"/>
      <c r="U85" s="2500"/>
      <c r="V85" s="2500"/>
      <c r="W85" s="2500"/>
      <c r="X85" s="2500"/>
      <c r="Y85" s="2500"/>
      <c r="Z85" s="2500"/>
      <c r="AA85" s="2506"/>
      <c r="AB85" s="2506"/>
      <c r="AC85" s="2506"/>
      <c r="AD85" s="2506"/>
      <c r="AE85" s="2506"/>
      <c r="AF85" s="2506"/>
      <c r="AG85" s="2506"/>
      <c r="AH85" s="2506"/>
      <c r="AI85" s="2506"/>
    </row>
    <row r="86" spans="1:35" s="2244" customFormat="1" ht="14.25">
      <c r="A86" s="2378" t="s">
        <v>832</v>
      </c>
      <c r="B86" s="2347" t="s">
        <v>846</v>
      </c>
      <c r="C86" s="2425">
        <f ca="1">IF(H88="仅含出让金",C87+C90+C91+C92+C93+C94,C87+C91+C92+C93+C94)</f>
        <v>133</v>
      </c>
      <c r="D86" s="2465"/>
      <c r="E86" s="1848"/>
      <c r="F86" s="1849"/>
      <c r="G86" s="1849"/>
      <c r="H86" s="2464"/>
      <c r="I86" s="839"/>
      <c r="J86" s="2500"/>
      <c r="K86" s="2500"/>
      <c r="L86" s="2500"/>
      <c r="M86" s="2500"/>
      <c r="N86" s="2500"/>
      <c r="O86" s="2500"/>
      <c r="P86" s="2500"/>
      <c r="Q86" s="2500"/>
      <c r="R86" s="2500"/>
      <c r="S86" s="2500"/>
      <c r="T86" s="2500"/>
      <c r="U86" s="2500"/>
      <c r="V86" s="2500"/>
      <c r="W86" s="2500"/>
      <c r="X86" s="2500"/>
      <c r="Y86" s="2500"/>
      <c r="Z86" s="2500"/>
      <c r="AA86" s="2506"/>
      <c r="AB86" s="2506"/>
      <c r="AC86" s="2506"/>
      <c r="AD86" s="2506"/>
      <c r="AE86" s="2506"/>
      <c r="AF86" s="2506"/>
      <c r="AG86" s="2506"/>
      <c r="AH86" s="2506"/>
      <c r="AI86" s="2506"/>
    </row>
    <row r="87" spans="1:35" s="2244" customFormat="1" ht="14.25">
      <c r="A87" s="2382" t="s">
        <v>825</v>
      </c>
      <c r="B87" s="601" t="s">
        <v>865</v>
      </c>
      <c r="C87" s="2449">
        <f>C88+C89</f>
        <v>0</v>
      </c>
      <c r="D87" s="2450"/>
      <c r="E87" s="2451"/>
      <c r="F87" s="2452"/>
      <c r="G87" s="2452"/>
      <c r="H87" s="2453"/>
      <c r="I87" s="839"/>
      <c r="J87" s="2500"/>
      <c r="K87" s="2500"/>
      <c r="L87" s="2500"/>
      <c r="M87" s="2500"/>
      <c r="N87" s="2500"/>
      <c r="O87" s="2500"/>
      <c r="P87" s="2500"/>
      <c r="Q87" s="2500"/>
      <c r="R87" s="2500"/>
      <c r="S87" s="2500"/>
      <c r="T87" s="2500"/>
      <c r="U87" s="2500"/>
      <c r="V87" s="2500"/>
      <c r="W87" s="2500"/>
      <c r="X87" s="2500"/>
      <c r="Y87" s="2500"/>
      <c r="Z87" s="2500"/>
      <c r="AA87" s="2506"/>
      <c r="AB87" s="2506"/>
      <c r="AC87" s="2506"/>
      <c r="AD87" s="2506"/>
      <c r="AE87" s="2506"/>
      <c r="AF87" s="2506"/>
      <c r="AG87" s="2506"/>
      <c r="AH87" s="2506"/>
      <c r="AI87" s="2506"/>
    </row>
    <row r="88" spans="1:35" s="2244" customFormat="1" ht="14.25">
      <c r="A88" s="2382" t="s">
        <v>848</v>
      </c>
      <c r="B88" s="601" t="s">
        <v>866</v>
      </c>
      <c r="C88" s="2466"/>
      <c r="D88" s="2450"/>
      <c r="E88" s="2467" t="s">
        <v>867</v>
      </c>
      <c r="F88" s="2452"/>
      <c r="G88" s="2468" t="s">
        <v>868</v>
      </c>
      <c r="H88" s="2469"/>
      <c r="I88" s="839"/>
      <c r="J88" s="2503" t="s">
        <v>869</v>
      </c>
      <c r="K88" s="2500"/>
      <c r="L88" s="2500"/>
      <c r="M88" s="2500"/>
      <c r="N88" s="2500"/>
      <c r="O88" s="2500"/>
      <c r="P88" s="2500"/>
      <c r="Q88" s="2500"/>
      <c r="R88" s="2500"/>
      <c r="S88" s="2500"/>
      <c r="T88" s="2500"/>
      <c r="U88" s="2500"/>
      <c r="V88" s="2500"/>
      <c r="W88" s="2500"/>
      <c r="X88" s="2500"/>
      <c r="Y88" s="2500"/>
      <c r="Z88" s="2500"/>
      <c r="AA88" s="2506"/>
      <c r="AB88" s="2506"/>
      <c r="AC88" s="2506"/>
      <c r="AD88" s="2506"/>
      <c r="AE88" s="2506"/>
      <c r="AF88" s="2506"/>
      <c r="AG88" s="2506"/>
      <c r="AH88" s="2506"/>
      <c r="AI88" s="2506"/>
    </row>
    <row r="89" spans="1:35" s="2244" customFormat="1" ht="14.25">
      <c r="A89" s="2382" t="s">
        <v>852</v>
      </c>
      <c r="B89" s="601" t="s">
        <v>856</v>
      </c>
      <c r="C89" s="2449">
        <f>ROUND(C88*D89,0)</f>
        <v>0</v>
      </c>
      <c r="D89" s="2450">
        <f>'数据-取费表'!B48+'数据-取费表'!B49</f>
        <v>3.0499999999999999E-2</v>
      </c>
      <c r="E89" s="2467" t="s">
        <v>870</v>
      </c>
      <c r="F89" s="2452"/>
      <c r="G89" s="2452"/>
      <c r="H89" s="2453"/>
      <c r="I89" s="839"/>
      <c r="J89" s="2500"/>
      <c r="K89" s="2500"/>
      <c r="L89" s="2500"/>
      <c r="M89" s="2500"/>
      <c r="N89" s="2500"/>
      <c r="O89" s="2500"/>
      <c r="P89" s="2500"/>
      <c r="Q89" s="2500"/>
      <c r="R89" s="2500"/>
      <c r="S89" s="2500"/>
      <c r="T89" s="2500"/>
      <c r="U89" s="2500"/>
      <c r="V89" s="2500"/>
      <c r="W89" s="2500"/>
      <c r="X89" s="2500"/>
      <c r="Y89" s="2500"/>
      <c r="Z89" s="2500"/>
      <c r="AA89" s="2506"/>
      <c r="AB89" s="2506"/>
      <c r="AC89" s="2506"/>
      <c r="AD89" s="2506"/>
      <c r="AE89" s="2506"/>
      <c r="AF89" s="2506"/>
      <c r="AG89" s="2506"/>
      <c r="AH89" s="2506"/>
      <c r="AI89" s="2506"/>
    </row>
    <row r="90" spans="1:35" s="2244" customFormat="1" ht="14.25">
      <c r="A90" s="2382" t="s">
        <v>829</v>
      </c>
      <c r="B90" s="601" t="s">
        <v>871</v>
      </c>
      <c r="C90" s="2466"/>
      <c r="D90" s="2450"/>
      <c r="E90" s="2467" t="str">
        <f>IF(H88="-","土地取得成本中已包含该笔费用"," ")</f>
        <v xml:space="preserve"> </v>
      </c>
      <c r="F90" s="2452"/>
      <c r="G90" s="3419" t="s">
        <v>872</v>
      </c>
      <c r="H90" s="3420"/>
      <c r="I90" s="839"/>
      <c r="J90" s="2503" t="s">
        <v>873</v>
      </c>
      <c r="K90" s="2500"/>
      <c r="L90" s="2500"/>
      <c r="M90" s="2500"/>
      <c r="N90" s="2500"/>
      <c r="O90" s="2500"/>
      <c r="P90" s="2500"/>
      <c r="Q90" s="2500"/>
      <c r="R90" s="2500"/>
      <c r="S90" s="2500"/>
      <c r="T90" s="2500"/>
      <c r="U90" s="2500"/>
      <c r="V90" s="2500"/>
      <c r="W90" s="2500"/>
      <c r="X90" s="2500"/>
      <c r="Y90" s="2500"/>
      <c r="Z90" s="2500"/>
      <c r="AA90" s="2506"/>
      <c r="AB90" s="2506"/>
      <c r="AC90" s="2506"/>
      <c r="AD90" s="2506"/>
      <c r="AE90" s="2506"/>
      <c r="AF90" s="2506"/>
      <c r="AG90" s="2506"/>
      <c r="AH90" s="2506"/>
      <c r="AI90" s="2506"/>
    </row>
    <row r="91" spans="1:35" s="2244" customFormat="1" ht="27.75" customHeight="1">
      <c r="A91" s="2382" t="s">
        <v>874</v>
      </c>
      <c r="B91" s="601" t="s">
        <v>875</v>
      </c>
      <c r="C91" s="2449">
        <f>IF(H91="——",成本法!C33,I91)</f>
        <v>0</v>
      </c>
      <c r="D91" s="2450"/>
      <c r="E91" s="3387" t="s">
        <v>876</v>
      </c>
      <c r="F91" s="3388"/>
      <c r="G91" s="3388"/>
      <c r="H91" s="2470"/>
      <c r="I91" s="2504"/>
      <c r="J91" s="2500"/>
      <c r="K91" s="2500"/>
      <c r="L91" s="2500"/>
      <c r="M91" s="2500"/>
      <c r="N91" s="2500"/>
      <c r="O91" s="2500"/>
      <c r="P91" s="2500"/>
      <c r="Q91" s="2500"/>
      <c r="R91" s="2500"/>
      <c r="S91" s="2500"/>
      <c r="T91" s="2500"/>
      <c r="U91" s="2500"/>
      <c r="V91" s="2500"/>
      <c r="W91" s="2500"/>
      <c r="X91" s="2500"/>
      <c r="Y91" s="2500"/>
      <c r="Z91" s="2500"/>
      <c r="AA91" s="2506"/>
      <c r="AB91" s="2506"/>
      <c r="AC91" s="2506"/>
      <c r="AD91" s="2506"/>
      <c r="AE91" s="2506"/>
      <c r="AF91" s="2506"/>
      <c r="AG91" s="2506"/>
      <c r="AH91" s="2506"/>
      <c r="AI91" s="2506"/>
    </row>
    <row r="92" spans="1:35" s="2244" customFormat="1" ht="25.5" customHeight="1">
      <c r="A92" s="2382" t="s">
        <v>877</v>
      </c>
      <c r="B92" s="601" t="s">
        <v>878</v>
      </c>
      <c r="C92" s="2449">
        <f>ROUND((C87+C90+C91)*D92,0)</f>
        <v>0</v>
      </c>
      <c r="D92" s="2471"/>
      <c r="E92" s="3387" t="s">
        <v>879</v>
      </c>
      <c r="F92" s="3388"/>
      <c r="G92" s="3388"/>
      <c r="H92" s="3389"/>
      <c r="I92" s="839"/>
      <c r="J92" s="2505" t="s">
        <v>880</v>
      </c>
      <c r="K92" s="2500"/>
      <c r="L92" s="2500"/>
      <c r="M92" s="2500"/>
      <c r="N92" s="2500"/>
      <c r="O92" s="2500"/>
      <c r="P92" s="2500"/>
      <c r="Q92" s="2500"/>
      <c r="R92" s="2500"/>
      <c r="S92" s="2500"/>
      <c r="T92" s="2500"/>
      <c r="U92" s="2500"/>
      <c r="V92" s="2500"/>
      <c r="W92" s="2500"/>
      <c r="X92" s="2500"/>
      <c r="Y92" s="2500"/>
      <c r="Z92" s="2500"/>
      <c r="AA92" s="2506"/>
      <c r="AB92" s="2506"/>
      <c r="AC92" s="2506"/>
      <c r="AD92" s="2506"/>
      <c r="AE92" s="2506"/>
      <c r="AF92" s="2506"/>
      <c r="AG92" s="2506"/>
      <c r="AH92" s="2506"/>
      <c r="AI92" s="2506"/>
    </row>
    <row r="93" spans="1:35" s="2244" customFormat="1" ht="25.5" customHeight="1">
      <c r="A93" s="2382" t="s">
        <v>881</v>
      </c>
      <c r="B93" s="601" t="s">
        <v>858</v>
      </c>
      <c r="C93" s="2449">
        <f ca="1">ROUND(D45*D93/(1+'数据-取费表'!C42),0)</f>
        <v>133</v>
      </c>
      <c r="D93" s="2450">
        <f>'数据-取费表'!B43</f>
        <v>6.000000000000001E-3</v>
      </c>
      <c r="E93" s="3387" t="s">
        <v>859</v>
      </c>
      <c r="F93" s="3388"/>
      <c r="G93" s="3388"/>
      <c r="H93" s="3389"/>
      <c r="I93" s="839"/>
      <c r="J93" s="2500"/>
      <c r="K93" s="2500"/>
      <c r="L93" s="2500"/>
      <c r="M93" s="2500"/>
      <c r="N93" s="2500"/>
      <c r="O93" s="2500"/>
      <c r="P93" s="2500"/>
      <c r="Q93" s="2500"/>
      <c r="R93" s="2500"/>
      <c r="S93" s="2500"/>
      <c r="T93" s="2500"/>
      <c r="U93" s="2500"/>
      <c r="V93" s="2500"/>
      <c r="W93" s="2500"/>
      <c r="X93" s="2500"/>
      <c r="Y93" s="2500"/>
      <c r="Z93" s="2500"/>
      <c r="AA93" s="2506"/>
      <c r="AB93" s="2506"/>
      <c r="AC93" s="2506"/>
      <c r="AD93" s="2506"/>
      <c r="AE93" s="2506"/>
      <c r="AF93" s="2506"/>
      <c r="AG93" s="2506"/>
      <c r="AH93" s="2506"/>
      <c r="AI93" s="2506"/>
    </row>
    <row r="94" spans="1:35" s="2244" customFormat="1" ht="36.75" customHeight="1">
      <c r="A94" s="2382" t="s">
        <v>882</v>
      </c>
      <c r="B94" s="601" t="s">
        <v>883</v>
      </c>
      <c r="C94" s="2466">
        <f>ROUND((C87+C90+C91)*D94,0)</f>
        <v>0</v>
      </c>
      <c r="D94" s="2450">
        <v>0.2</v>
      </c>
      <c r="E94" s="3390" t="s">
        <v>884</v>
      </c>
      <c r="F94" s="3391"/>
      <c r="G94" s="3391"/>
      <c r="H94" s="3392"/>
      <c r="I94" s="839"/>
      <c r="J94" s="2500"/>
      <c r="K94" s="2500"/>
      <c r="L94" s="2500"/>
      <c r="M94" s="2500"/>
      <c r="N94" s="2500"/>
      <c r="O94" s="2500"/>
      <c r="P94" s="2500"/>
      <c r="Q94" s="2500"/>
      <c r="R94" s="2500"/>
      <c r="S94" s="2500"/>
      <c r="T94" s="2500"/>
      <c r="U94" s="2500"/>
      <c r="V94" s="2500"/>
      <c r="W94" s="2500"/>
      <c r="X94" s="2500"/>
      <c r="Y94" s="2500"/>
      <c r="Z94" s="2500"/>
      <c r="AA94" s="2506"/>
      <c r="AB94" s="2506"/>
      <c r="AC94" s="2506"/>
      <c r="AD94" s="2506"/>
      <c r="AE94" s="2506"/>
      <c r="AF94" s="2506"/>
      <c r="AG94" s="2506"/>
      <c r="AH94" s="2506"/>
      <c r="AI94" s="2506"/>
    </row>
    <row r="95" spans="1:35" s="2244" customFormat="1" ht="14.25">
      <c r="A95" s="2378" t="s">
        <v>837</v>
      </c>
      <c r="B95" s="2422" t="s">
        <v>860</v>
      </c>
      <c r="C95" s="2425">
        <f ca="1">ROUND(C85-C86,0)</f>
        <v>22062</v>
      </c>
      <c r="D95" s="601" t="s">
        <v>124</v>
      </c>
      <c r="E95" s="1848"/>
      <c r="F95" s="1849"/>
      <c r="G95" s="1849"/>
      <c r="H95" s="2464"/>
      <c r="I95" s="839"/>
      <c r="J95" s="2500"/>
      <c r="K95" s="2500"/>
      <c r="L95" s="2500"/>
      <c r="M95" s="2500"/>
      <c r="N95" s="2500"/>
      <c r="O95" s="2500"/>
      <c r="P95" s="2500"/>
      <c r="Q95" s="2500"/>
      <c r="R95" s="2500"/>
      <c r="S95" s="2500"/>
      <c r="T95" s="2500"/>
      <c r="U95" s="2500"/>
      <c r="V95" s="2500"/>
      <c r="W95" s="2500"/>
      <c r="X95" s="2500"/>
      <c r="Y95" s="2500"/>
      <c r="Z95" s="2500"/>
      <c r="AA95" s="2506"/>
      <c r="AB95" s="2506"/>
      <c r="AC95" s="2506"/>
      <c r="AD95" s="2506"/>
      <c r="AE95" s="2506"/>
      <c r="AF95" s="2506"/>
      <c r="AG95" s="2506"/>
      <c r="AH95" s="2506"/>
      <c r="AI95" s="2506"/>
    </row>
    <row r="96" spans="1:35" s="2244" customFormat="1" ht="24">
      <c r="A96" s="2378" t="s">
        <v>840</v>
      </c>
      <c r="B96" s="2422" t="s">
        <v>861</v>
      </c>
      <c r="C96" s="2454">
        <f ca="1">IF(C95&lt;=0,0,C95/C86)</f>
        <v>165.87969924812029</v>
      </c>
      <c r="D96" s="60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64"/>
      <c r="I96" s="839"/>
      <c r="J96" s="2500"/>
      <c r="K96" s="2500"/>
      <c r="L96" s="2500"/>
      <c r="M96" s="2500"/>
      <c r="N96" s="2500"/>
      <c r="O96" s="2500"/>
      <c r="P96" s="2500"/>
      <c r="Q96" s="2500"/>
      <c r="R96" s="2500"/>
      <c r="S96" s="2500"/>
      <c r="T96" s="2500"/>
      <c r="U96" s="2500"/>
      <c r="V96" s="2500"/>
      <c r="W96" s="2500"/>
      <c r="X96" s="2500"/>
      <c r="Y96" s="2500"/>
      <c r="Z96" s="2500"/>
      <c r="AA96" s="2506"/>
      <c r="AB96" s="2506"/>
      <c r="AC96" s="2506"/>
      <c r="AD96" s="2506"/>
      <c r="AE96" s="2506"/>
      <c r="AF96" s="2506"/>
      <c r="AG96" s="2506"/>
      <c r="AH96" s="2506"/>
      <c r="AI96" s="2506"/>
    </row>
    <row r="97" spans="1:35" s="2244" customFormat="1" ht="24">
      <c r="A97" s="2426" t="s">
        <v>862</v>
      </c>
      <c r="B97" s="2427" t="s">
        <v>863</v>
      </c>
      <c r="C97" s="2455">
        <f ca="1">ROUND(IF(C95&lt;=0,0,IF(C96&gt;=200%,C95*60%-C86*35%,IF(C96&gt;=100%,C95*50%-C86*15%,IF(C96&gt;=50%,C95*40%-C86*5%,IF(C96&lt;50%,C95*30%,0))))),0)</f>
        <v>13191</v>
      </c>
      <c r="D97" s="2456" t="s">
        <v>124</v>
      </c>
      <c r="E97" s="24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8"/>
      <c r="G97" s="2458"/>
      <c r="H97" s="2472"/>
      <c r="I97" s="839"/>
      <c r="J97" s="2500"/>
      <c r="K97" s="2500"/>
      <c r="L97" s="2500"/>
      <c r="M97" s="2500"/>
      <c r="N97" s="2500"/>
      <c r="O97" s="2500"/>
      <c r="P97" s="2500"/>
      <c r="Q97" s="2500"/>
      <c r="R97" s="2500"/>
      <c r="S97" s="2500"/>
      <c r="T97" s="2500"/>
      <c r="U97" s="2500"/>
      <c r="V97" s="2500"/>
      <c r="W97" s="2500"/>
      <c r="X97" s="2500"/>
      <c r="Y97" s="2500"/>
      <c r="Z97" s="2500"/>
      <c r="AA97" s="2506"/>
      <c r="AB97" s="2506"/>
      <c r="AC97" s="2506"/>
      <c r="AD97" s="2506"/>
      <c r="AE97" s="2506"/>
      <c r="AF97" s="2506"/>
      <c r="AG97" s="2506"/>
      <c r="AH97" s="2506"/>
      <c r="AI97" s="2506"/>
    </row>
    <row r="98" spans="1:35" ht="21.75" customHeight="1">
      <c r="A98" s="2373"/>
      <c r="B98" s="2248"/>
      <c r="C98" s="2248"/>
      <c r="D98" s="2248"/>
      <c r="E98" s="2374"/>
      <c r="F98" s="2374"/>
      <c r="G98" s="2374"/>
      <c r="H98" s="2334"/>
      <c r="I98" s="282"/>
    </row>
    <row r="99" spans="1:35" ht="21.75" customHeight="1">
      <c r="A99" s="2336" t="s">
        <v>885</v>
      </c>
      <c r="B99" s="2248"/>
      <c r="C99" s="2248"/>
      <c r="D99" s="2248"/>
      <c r="E99" s="2374"/>
      <c r="F99" s="2374"/>
      <c r="G99" s="2374"/>
      <c r="H99" s="2334"/>
      <c r="I99" s="282"/>
    </row>
    <row r="100" spans="1:35" ht="18.75" customHeight="1">
      <c r="A100" s="3365" t="s">
        <v>886</v>
      </c>
      <c r="B100" s="3366"/>
      <c r="C100" s="3366"/>
      <c r="D100" s="3393"/>
      <c r="E100" s="3366" t="s">
        <v>887</v>
      </c>
      <c r="F100" s="3366"/>
      <c r="G100" s="3366"/>
      <c r="H100" s="3393"/>
      <c r="I100" s="282"/>
    </row>
    <row r="101" spans="1:35" ht="18.75" customHeight="1">
      <c r="A101" s="3394" t="s">
        <v>888</v>
      </c>
      <c r="B101" s="3395"/>
      <c r="C101" s="2474" t="str">
        <f>C4</f>
        <v>收益法（汇总）</v>
      </c>
      <c r="D101" s="2475" t="str">
        <f>D4</f>
        <v>成本法</v>
      </c>
      <c r="E101" s="3412" t="s">
        <v>889</v>
      </c>
      <c r="F101" s="3413"/>
      <c r="G101" s="2477" t="s">
        <v>890</v>
      </c>
      <c r="H101" s="2478">
        <f ca="1">H118</f>
        <v>23305</v>
      </c>
      <c r="I101" s="282"/>
    </row>
    <row r="102" spans="1:35" ht="18.75" customHeight="1">
      <c r="A102" s="3378" t="s">
        <v>891</v>
      </c>
      <c r="B102" s="2479" t="s">
        <v>890</v>
      </c>
      <c r="C102" s="2474">
        <f ca="1">C19</f>
        <v>30460</v>
      </c>
      <c r="D102" s="2475">
        <f ca="1">D19</f>
        <v>18535</v>
      </c>
      <c r="E102" s="3412"/>
      <c r="F102" s="3413"/>
      <c r="G102" s="2477" t="s">
        <v>99</v>
      </c>
      <c r="H102" s="2363">
        <f ca="1">I118</f>
        <v>14058</v>
      </c>
      <c r="I102" s="282"/>
    </row>
    <row r="103" spans="1:35" ht="42.75" customHeight="1">
      <c r="A103" s="3378"/>
      <c r="B103" s="2479" t="s">
        <v>99</v>
      </c>
      <c r="C103" s="2480">
        <f ca="1">C20</f>
        <v>18373</v>
      </c>
      <c r="D103" s="2481">
        <f ca="1">D20</f>
        <v>17629</v>
      </c>
      <c r="E103" s="3396" t="s">
        <v>892</v>
      </c>
      <c r="F103" s="3397"/>
      <c r="G103" s="2482" t="s">
        <v>102</v>
      </c>
      <c r="H103" s="2478">
        <f>IF(D36="正常操作",H104+H105+H106,H105+H106)</f>
        <v>0</v>
      </c>
      <c r="I103" s="282"/>
    </row>
    <row r="104" spans="1:35" ht="18.75" customHeight="1">
      <c r="A104" s="3378" t="s">
        <v>893</v>
      </c>
      <c r="B104" s="2483" t="s">
        <v>890</v>
      </c>
      <c r="C104" s="2484">
        <f ca="1">H118</f>
        <v>23305</v>
      </c>
      <c r="D104" s="2485"/>
      <c r="E104" s="2319" t="s">
        <v>894</v>
      </c>
      <c r="F104" s="2486"/>
      <c r="G104" s="2482" t="s">
        <v>102</v>
      </c>
      <c r="H104" s="2487">
        <f>IF(D36="同一抵押权人同一抵押物续贷",C36&amp;"（续贷，未扣减，详见特别提示）",C36)</f>
        <v>0</v>
      </c>
      <c r="I104" s="282"/>
    </row>
    <row r="105" spans="1:35" ht="18.75" customHeight="1">
      <c r="A105" s="3379"/>
      <c r="B105" s="2488" t="s">
        <v>99</v>
      </c>
      <c r="C105" s="2489">
        <f ca="1">I118</f>
        <v>14058</v>
      </c>
      <c r="D105" s="2490"/>
      <c r="E105" s="2319" t="s">
        <v>895</v>
      </c>
      <c r="F105" s="2486"/>
      <c r="G105" s="2482" t="s">
        <v>102</v>
      </c>
      <c r="H105" s="2491">
        <f>C37</f>
        <v>0</v>
      </c>
      <c r="I105" s="282"/>
    </row>
    <row r="106" spans="1:35" ht="18.75" customHeight="1">
      <c r="A106" s="2248" t="s">
        <v>896</v>
      </c>
      <c r="B106" s="2248"/>
      <c r="C106" s="2248"/>
      <c r="D106" s="2248"/>
      <c r="E106" s="2492" t="s">
        <v>897</v>
      </c>
      <c r="F106" s="2486"/>
      <c r="G106" s="2482" t="s">
        <v>102</v>
      </c>
      <c r="H106" s="2491">
        <f>C38</f>
        <v>0</v>
      </c>
      <c r="I106" s="282"/>
    </row>
    <row r="107" spans="1:35" ht="18.75" customHeight="1">
      <c r="A107" s="282"/>
      <c r="B107" s="282"/>
      <c r="C107" s="282"/>
      <c r="D107" s="282"/>
      <c r="E107" s="3414" t="str">
        <f>IF(项目基本情况!E8="已注销","——","3.房地产抵押价值")</f>
        <v>3.房地产抵押价值</v>
      </c>
      <c r="F107" s="3413"/>
      <c r="G107" s="2477" t="s">
        <v>890</v>
      </c>
      <c r="H107" s="2478">
        <f ca="1">IF(E107="——","——",H101-H103)</f>
        <v>23305</v>
      </c>
      <c r="I107" s="282"/>
    </row>
    <row r="108" spans="1:35" ht="18.75" customHeight="1">
      <c r="A108" s="282"/>
      <c r="B108" s="282"/>
      <c r="C108" s="282"/>
      <c r="D108" s="282"/>
      <c r="E108" s="3414"/>
      <c r="F108" s="3413"/>
      <c r="G108" s="2477" t="s">
        <v>99</v>
      </c>
      <c r="H108" s="2363">
        <f ca="1">ROUND(H107*10000/'数据-汇总表'!E3,0)</f>
        <v>14058</v>
      </c>
      <c r="I108" s="282"/>
    </row>
    <row r="109" spans="1:35" ht="18.75" customHeight="1">
      <c r="A109" s="282"/>
      <c r="B109" s="282"/>
      <c r="C109" s="282"/>
      <c r="D109" s="282"/>
      <c r="E109" s="3414" t="str">
        <f>IF(项目基本情况!E8="已注销及未注销","4.抵押担保权已注销时的房地产抵押价值",IF(项目基本情况!E8="已注销","3.抵押担保权已注销时的房地产抵押价值","——"))</f>
        <v>——</v>
      </c>
      <c r="F109" s="3413"/>
      <c r="G109" s="2477" t="s">
        <v>890</v>
      </c>
      <c r="H109" s="2493" t="str">
        <f>IF(E109="——","——",H101-H105-H106)</f>
        <v>——</v>
      </c>
      <c r="I109" s="282"/>
    </row>
    <row r="110" spans="1:35" ht="18.75" customHeight="1">
      <c r="A110" s="282"/>
      <c r="B110" s="282"/>
      <c r="C110" s="282"/>
      <c r="D110" s="282"/>
      <c r="E110" s="3414"/>
      <c r="F110" s="3413"/>
      <c r="G110" s="2477" t="s">
        <v>99</v>
      </c>
      <c r="H110" s="2363" t="str">
        <f>IF(H109="——","——",ROUND(H109*10000/'数据-汇总表'!E3,0))</f>
        <v>——</v>
      </c>
      <c r="I110" s="282"/>
    </row>
    <row r="111" spans="1:35" ht="18.75" customHeight="1">
      <c r="A111" s="282"/>
      <c r="B111" s="282"/>
      <c r="C111" s="282"/>
      <c r="D111" s="282"/>
      <c r="E111" s="3415" t="str">
        <f>IF(项目基本情况!E9="抵押净值",IF(OR(项目基本情况!E8="已注销",项目基本情况!E8="房地产抵押价值"),"4.抵押净值","5.抵押净值"),"——")</f>
        <v>4.抵押净值</v>
      </c>
      <c r="F111" s="3416"/>
      <c r="G111" s="2477" t="s">
        <v>890</v>
      </c>
      <c r="H111" s="2478">
        <f ca="1">IF(E111="——","——",N59)</f>
        <v>9891</v>
      </c>
      <c r="I111" s="282"/>
    </row>
    <row r="112" spans="1:35" ht="18.75" customHeight="1">
      <c r="A112" s="282"/>
      <c r="B112" s="282"/>
      <c r="C112" s="282"/>
      <c r="D112" s="282"/>
      <c r="E112" s="3417"/>
      <c r="F112" s="3418"/>
      <c r="G112" s="2494" t="s">
        <v>99</v>
      </c>
      <c r="H112" s="2495">
        <f ca="1">IF(E111="——","——",N61)</f>
        <v>5966</v>
      </c>
      <c r="I112" s="282"/>
    </row>
    <row r="113" spans="1:27" ht="18.75" customHeight="1">
      <c r="A113" s="282"/>
      <c r="B113" s="282"/>
      <c r="C113" s="282"/>
      <c r="D113" s="282"/>
      <c r="E113" s="3398" t="s">
        <v>896</v>
      </c>
      <c r="F113" s="3398"/>
      <c r="G113" s="3398"/>
      <c r="H113" s="3398"/>
      <c r="I113" s="282"/>
    </row>
    <row r="114" spans="1:27" ht="3.75" customHeight="1">
      <c r="A114" s="2248"/>
      <c r="B114" s="2248"/>
      <c r="C114" s="2248"/>
      <c r="D114" s="2248"/>
      <c r="E114" s="2373"/>
      <c r="F114" s="2373"/>
      <c r="G114" s="2373"/>
      <c r="H114" s="2373"/>
      <c r="I114" s="2248"/>
    </row>
    <row r="115" spans="1:27" ht="18.75" customHeight="1">
      <c r="A115" s="3399" t="s">
        <v>898</v>
      </c>
      <c r="B115" s="3400"/>
      <c r="C115" s="3400"/>
      <c r="D115" s="3400"/>
      <c r="E115" s="3400"/>
      <c r="F115" s="3400"/>
      <c r="G115" s="3400"/>
      <c r="H115" s="3400"/>
      <c r="I115" s="3401"/>
    </row>
    <row r="116" spans="1:27" ht="27" customHeight="1">
      <c r="A116" s="3372" t="s">
        <v>899</v>
      </c>
      <c r="B116" s="3381" t="s">
        <v>900</v>
      </c>
      <c r="C116" s="3381" t="s">
        <v>901</v>
      </c>
      <c r="D116" s="3402" t="s">
        <v>902</v>
      </c>
      <c r="E116" s="3403"/>
      <c r="F116" s="3404" t="s">
        <v>903</v>
      </c>
      <c r="G116" s="3404"/>
      <c r="H116" s="3372" t="s">
        <v>904</v>
      </c>
      <c r="I116" s="3372"/>
    </row>
    <row r="117" spans="1:27" ht="18.75" customHeight="1">
      <c r="A117" s="3372"/>
      <c r="B117" s="3382"/>
      <c r="C117" s="3382"/>
      <c r="D117" s="2258" t="s">
        <v>905</v>
      </c>
      <c r="E117" s="2258" t="s">
        <v>732</v>
      </c>
      <c r="F117" s="2258" t="s">
        <v>905</v>
      </c>
      <c r="G117" s="2258" t="s">
        <v>732</v>
      </c>
      <c r="H117" s="2258" t="s">
        <v>905</v>
      </c>
      <c r="I117" s="2258" t="s">
        <v>732</v>
      </c>
    </row>
    <row r="118" spans="1:27" ht="24.75" customHeight="1">
      <c r="A118" s="2496" t="str">
        <f>项目基本情况!S2</f>
        <v>北京市房地产</v>
      </c>
      <c r="B118" s="2258">
        <f>M18</f>
        <v>16578.28</v>
      </c>
      <c r="C118" s="2258">
        <f>M19</f>
        <v>5788.26</v>
      </c>
      <c r="D118" s="2258">
        <f ca="1">ROUND(IF(D32="总价",C34,E118*B118/10000),0)</f>
        <v>19180</v>
      </c>
      <c r="E118" s="2258">
        <f ca="1">ROUND(IF(C33="自定义",IF(D32="楼面单价",C34,D118*10000/B118),I118-G118),0)</f>
        <v>11570</v>
      </c>
      <c r="F118" s="2258">
        <f ca="1">ROUND(IF(D32="总价",C35,G118*B118/10000),0)</f>
        <v>4125</v>
      </c>
      <c r="G118" s="2258">
        <f ca="1">ROUND(IF(D32="楼面单价",C35,F118*10000/B118),0)</f>
        <v>2488</v>
      </c>
      <c r="H118" s="2258">
        <f ca="1">ROUND(IF(D32="总价",C32,I118*B118/10000),0)</f>
        <v>23305</v>
      </c>
      <c r="I118" s="2258">
        <f ca="1">ROUND(IF(D32="楼面单价",C32,H118*10000/B118),0)</f>
        <v>14058</v>
      </c>
    </row>
    <row r="119" spans="1:27" ht="18.75" customHeight="1">
      <c r="A119" s="3372" t="s">
        <v>906</v>
      </c>
      <c r="B119" s="3372"/>
      <c r="C119" s="3372"/>
      <c r="D119" s="3384" t="str">
        <f ca="1">NUMBERSTRING(INT(D118*10000),2)&amp;"元整"</f>
        <v>壹亿玖仟壹佰捌拾万元整</v>
      </c>
      <c r="E119" s="3386"/>
      <c r="F119" s="3384" t="str">
        <f ca="1">NUMBERSTRING(INT(F118*10000),2)&amp;"元整"</f>
        <v>肆仟壹佰贰拾伍万元整</v>
      </c>
      <c r="G119" s="3386"/>
      <c r="H119" s="3384" t="str">
        <f ca="1">NUMBERSTRING(INT(H118*10000),2)&amp;"元整"</f>
        <v>贰亿叁仟叁佰零伍万元整</v>
      </c>
      <c r="I119" s="3386"/>
    </row>
    <row r="120" spans="1:27" ht="18.75" customHeight="1">
      <c r="A120" s="3421" t="str">
        <f>IF(项目基本情况!B9="房地产市场价值","",MID(E103,3,LEN(E103)-2))</f>
        <v>估价师知悉的法定优先受偿款</v>
      </c>
      <c r="B120" s="3422"/>
      <c r="C120" s="3423"/>
      <c r="D120" s="3421">
        <f>H103</f>
        <v>0</v>
      </c>
      <c r="E120" s="3422"/>
      <c r="F120" s="3422"/>
      <c r="G120" s="3422"/>
      <c r="H120" s="3422"/>
      <c r="I120" s="3423"/>
      <c r="J120" s="2245"/>
      <c r="K120" s="2245" t="str">
        <f>IF(D120=0,"故，本次评估不存在"&amp;A120,"故，本次评估"&amp;A120&amp;"为人民币"&amp;D120&amp;"万元整。")</f>
        <v>故，本次评估不存在估价师知悉的法定优先受偿款</v>
      </c>
      <c r="L120" s="2245"/>
      <c r="M120" s="2245"/>
      <c r="N120" s="2245"/>
      <c r="O120" s="2245"/>
      <c r="P120" s="2245"/>
      <c r="Q120" s="2245"/>
      <c r="R120" s="2245"/>
      <c r="S120" s="2245"/>
    </row>
    <row r="121" spans="1:27" ht="18.75" customHeight="1">
      <c r="A121" s="3424" t="s">
        <v>906</v>
      </c>
      <c r="B121" s="3425"/>
      <c r="C121" s="3426"/>
      <c r="D121" s="3384" t="str">
        <f>IF(D120=0,"零元整",NUMBERSTRING(INT(D120*10000),2)&amp;"元整")</f>
        <v>零元整</v>
      </c>
      <c r="E121" s="3385"/>
      <c r="F121" s="3385"/>
      <c r="G121" s="3385"/>
      <c r="H121" s="3385"/>
      <c r="I121" s="3386"/>
      <c r="AA121" s="239"/>
    </row>
    <row r="122" spans="1:27" ht="18.75" customHeight="1">
      <c r="A122" s="3416" t="str">
        <f>IF(项目基本情况!B9="房地产市场价值","",MID(E107,3,LEN(E107)-2))</f>
        <v>房地产抵押价值</v>
      </c>
      <c r="B122" s="3416"/>
      <c r="C122" s="3416"/>
      <c r="D122" s="3421">
        <f ca="1">H107</f>
        <v>23305</v>
      </c>
      <c r="E122" s="3422"/>
      <c r="F122" s="3422"/>
      <c r="G122" s="3422"/>
      <c r="H122" s="3422"/>
      <c r="I122" s="3423"/>
      <c r="AA122" s="239"/>
    </row>
    <row r="123" spans="1:27" ht="18.75" customHeight="1">
      <c r="A123" s="3372" t="s">
        <v>906</v>
      </c>
      <c r="B123" s="3372"/>
      <c r="C123" s="3372"/>
      <c r="D123" s="3384" t="str">
        <f ca="1">NUMBERSTRING(INT(D122*10000),2)&amp;"元整"</f>
        <v>贰亿叁仟叁佰零伍万元整</v>
      </c>
      <c r="E123" s="3385"/>
      <c r="F123" s="3385"/>
      <c r="G123" s="3385"/>
      <c r="H123" s="3385"/>
      <c r="I123" s="3386"/>
      <c r="AA123" s="239"/>
    </row>
    <row r="124" spans="1:27" ht="18.75" customHeight="1">
      <c r="A124" s="3416" t="str">
        <f>IF(项目基本情况!B9="房地产市场价值","",MID(E109,3,LEN(E109)-2))</f>
        <v/>
      </c>
      <c r="B124" s="3416"/>
      <c r="C124" s="3416"/>
      <c r="D124" s="3421" t="str">
        <f>H109</f>
        <v>——</v>
      </c>
      <c r="E124" s="3422"/>
      <c r="F124" s="3422"/>
      <c r="G124" s="3422"/>
      <c r="H124" s="3422"/>
      <c r="I124" s="3423"/>
      <c r="AA124" s="239"/>
    </row>
    <row r="125" spans="1:27" ht="18.75" customHeight="1">
      <c r="A125" s="3372" t="s">
        <v>906</v>
      </c>
      <c r="B125" s="3372"/>
      <c r="C125" s="3372"/>
      <c r="D125" s="3384" t="e">
        <f>NUMBERSTRING(INT(D124*10000),2)&amp;"元整"</f>
        <v>#VALUE!</v>
      </c>
      <c r="E125" s="3385"/>
      <c r="F125" s="3385"/>
      <c r="G125" s="3385"/>
      <c r="H125" s="3385"/>
      <c r="I125" s="3386"/>
      <c r="AA125" s="239"/>
    </row>
    <row r="126" spans="1:27" ht="18.75" customHeight="1">
      <c r="A126" s="3416" t="str">
        <f>IF(项目基本情况!B9="房地产市场价值","",MID(E111,3,LEN(E111)-2))</f>
        <v>抵押净值</v>
      </c>
      <c r="B126" s="3416"/>
      <c r="C126" s="3416"/>
      <c r="D126" s="3421">
        <f ca="1">H111</f>
        <v>9891</v>
      </c>
      <c r="E126" s="3422"/>
      <c r="F126" s="3422"/>
      <c r="G126" s="3422"/>
      <c r="H126" s="3422"/>
      <c r="I126" s="3423"/>
      <c r="AA126" s="239"/>
    </row>
    <row r="127" spans="1:27" ht="18.75" customHeight="1">
      <c r="A127" s="3372" t="s">
        <v>906</v>
      </c>
      <c r="B127" s="3372"/>
      <c r="C127" s="3372"/>
      <c r="D127" s="3384" t="str">
        <f ca="1">NUMBERSTRING(INT(D126*10000),2)&amp;"元整"</f>
        <v>玖仟捌佰玖拾壹万元整</v>
      </c>
      <c r="E127" s="3385"/>
      <c r="F127" s="3385"/>
      <c r="G127" s="3385"/>
      <c r="H127" s="3385"/>
      <c r="I127" s="3386"/>
      <c r="AA127" s="239"/>
    </row>
    <row r="128" spans="1:27" ht="21.75" customHeight="1">
      <c r="A128" s="3371" t="s">
        <v>113</v>
      </c>
      <c r="B128" s="3371"/>
      <c r="C128" s="3371"/>
      <c r="D128" s="3371"/>
      <c r="E128" s="3371"/>
      <c r="F128" s="3371"/>
      <c r="G128" s="3371"/>
      <c r="H128" s="3371"/>
      <c r="I128" s="3371"/>
      <c r="AA128" s="239"/>
    </row>
    <row r="129" spans="1:35" ht="21.75" customHeight="1">
      <c r="A129" s="2507" t="s">
        <v>907</v>
      </c>
      <c r="B129" s="2508"/>
      <c r="C129" s="2509" t="s">
        <v>908</v>
      </c>
      <c r="D129" s="2510"/>
      <c r="E129" s="2510"/>
      <c r="F129" s="2510"/>
      <c r="G129" s="2510"/>
      <c r="H129" s="2511"/>
      <c r="I129" s="2526"/>
      <c r="AA129" s="239"/>
    </row>
    <row r="130" spans="1:35" ht="21.75" customHeight="1">
      <c r="A130" s="2512">
        <v>1</v>
      </c>
      <c r="B130" s="2513"/>
      <c r="C130" s="2513"/>
      <c r="D130" s="2514"/>
      <c r="E130" s="2514"/>
      <c r="F130" s="2514"/>
      <c r="G130" s="2514"/>
      <c r="H130" s="2515"/>
      <c r="I130" s="2527"/>
      <c r="AA130" s="239"/>
    </row>
    <row r="131" spans="1:35" ht="21.75" customHeight="1">
      <c r="A131" s="2512">
        <v>2</v>
      </c>
      <c r="B131" s="2513"/>
      <c r="C131" s="2513"/>
      <c r="D131" s="2514"/>
      <c r="E131" s="2514"/>
      <c r="F131" s="2514"/>
      <c r="G131" s="2514"/>
      <c r="H131" s="2515"/>
      <c r="I131" s="2527"/>
      <c r="AA131" s="239"/>
    </row>
    <row r="132" spans="1:35" ht="21.75" customHeight="1">
      <c r="A132" s="2512">
        <v>3</v>
      </c>
      <c r="B132" s="2513"/>
      <c r="C132" s="2513"/>
      <c r="D132" s="2514"/>
      <c r="E132" s="2514"/>
      <c r="F132" s="2514"/>
      <c r="G132" s="2514"/>
      <c r="H132" s="2515"/>
      <c r="I132" s="2527"/>
      <c r="AA132" s="239"/>
    </row>
    <row r="133" spans="1:35" ht="21.75" customHeight="1">
      <c r="A133" s="2516"/>
      <c r="B133" s="2517"/>
      <c r="C133" s="2517"/>
      <c r="D133" s="2518"/>
      <c r="E133" s="2518"/>
      <c r="F133" s="2518"/>
      <c r="G133" s="2518"/>
      <c r="H133" s="2519"/>
      <c r="I133" s="2528"/>
    </row>
    <row r="134" spans="1:35" ht="21.75" customHeight="1">
      <c r="A134" s="2513"/>
      <c r="B134" s="2513"/>
      <c r="C134" s="2513"/>
      <c r="D134" s="2514"/>
      <c r="E134" s="2514"/>
      <c r="F134" s="2514"/>
      <c r="G134" s="2514"/>
      <c r="H134" s="2515"/>
      <c r="I134" s="239"/>
    </row>
    <row r="135" spans="1:35" ht="21.75" customHeight="1">
      <c r="A135" s="239"/>
      <c r="B135" s="239"/>
      <c r="C135" s="239"/>
      <c r="D135" s="239"/>
      <c r="E135" s="239"/>
      <c r="F135" s="2520" t="s">
        <v>909</v>
      </c>
      <c r="G135" s="2521"/>
      <c r="H135" s="2521"/>
      <c r="I135" s="2529" t="s">
        <v>910</v>
      </c>
    </row>
    <row r="136" spans="1:35" ht="21.75" customHeight="1">
      <c r="A136" s="239"/>
      <c r="B136" s="2522" t="s">
        <v>911</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521"/>
      <c r="C138" s="2521"/>
      <c r="D138" s="2521"/>
      <c r="E138" s="2521"/>
      <c r="F138" s="2521"/>
      <c r="G138" s="2521"/>
      <c r="H138" s="2521"/>
      <c r="I138" s="2529" t="s">
        <v>912</v>
      </c>
    </row>
    <row r="139" spans="1:35" ht="21.75" customHeight="1">
      <c r="A139" s="239"/>
      <c r="B139" s="2522" t="s">
        <v>913</v>
      </c>
      <c r="C139" s="239"/>
      <c r="D139" s="239"/>
      <c r="E139" s="239"/>
      <c r="F139" s="239"/>
      <c r="G139" s="239"/>
      <c r="H139" s="239"/>
      <c r="I139" s="239"/>
    </row>
    <row r="140" spans="1:35" ht="21.75" customHeight="1">
      <c r="A140" s="239"/>
      <c r="B140" s="2522"/>
      <c r="C140" s="239"/>
      <c r="D140" s="239"/>
      <c r="E140" s="239"/>
      <c r="F140" s="239"/>
      <c r="G140" s="239"/>
      <c r="H140" s="239"/>
      <c r="I140" s="239"/>
    </row>
    <row r="141" spans="1:35" ht="21.75" customHeight="1">
      <c r="A141" s="239"/>
      <c r="B141" s="2521"/>
      <c r="C141" s="2521"/>
      <c r="D141" s="2521"/>
      <c r="E141" s="2521"/>
      <c r="F141" s="2521"/>
      <c r="G141" s="2521"/>
      <c r="H141" s="2521"/>
      <c r="I141" s="2529" t="s">
        <v>912</v>
      </c>
    </row>
    <row r="142" spans="1:35" ht="21.75" customHeight="1">
      <c r="A142" s="239"/>
      <c r="B142" s="2522"/>
      <c r="C142" s="2523"/>
      <c r="D142" s="2524"/>
      <c r="E142" s="2524"/>
      <c r="F142" s="2525"/>
      <c r="G142" s="239"/>
      <c r="H142" s="239"/>
      <c r="I142" s="239"/>
    </row>
    <row r="143" spans="1:35" s="236" customFormat="1" ht="21.75" customHeight="1">
      <c r="A143" s="239"/>
      <c r="B143" s="2522"/>
      <c r="C143" s="2523"/>
      <c r="D143" s="2524"/>
      <c r="E143" s="2524"/>
      <c r="F143" s="2525"/>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45"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45"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45"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45"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45"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45"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45"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45"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45"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45"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45"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45"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45"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45"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45"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45"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45"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45"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45"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45"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45"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45"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45"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45"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45"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45"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45"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45"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45"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45"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45"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45"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45"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45"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45"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45"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45"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45"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45"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45"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45"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45"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45"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45"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45"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45"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45"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45"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45"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45"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45"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45"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45"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45"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45"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45"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45"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45"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45"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45"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45"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45"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45"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45"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45"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45"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45"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45"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45"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45"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45"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45"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45"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45"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45"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45"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45"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45"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45"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45"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45"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45"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45"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45"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45"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45"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45"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45"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45"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45"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45"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45"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45"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45"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45"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45"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45"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45"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45"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45"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45"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45"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45"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45"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8"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D116:E116">
      <formula1>"出让国有建设用地使用权价值,划拨国有建设用地使用权价值"</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43" sqref="K43"/>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914</v>
      </c>
      <c r="B1" s="2225" t="s">
        <v>528</v>
      </c>
      <c r="C1" s="148"/>
      <c r="D1" s="148"/>
      <c r="E1" s="148"/>
      <c r="F1" s="148"/>
      <c r="G1" s="2227">
        <f>MATCH(B1,'数据-取费表'!A6:A16,0)+5</f>
        <v>6</v>
      </c>
    </row>
    <row r="2" spans="1:9" s="138" customFormat="1" ht="18" customHeight="1">
      <c r="A2" s="150" t="s">
        <v>915</v>
      </c>
      <c r="B2" s="151">
        <f ca="1">IF(D2="——",C52,C52-E2)</f>
        <v>18535</v>
      </c>
      <c r="C2" s="149" t="s">
        <v>916</v>
      </c>
      <c r="D2" s="2228" t="s">
        <v>124</v>
      </c>
      <c r="E2" s="2229" t="e">
        <f ca="1">SUMIF(INDIRECT("'"&amp;G2&amp;"'"&amp;"!A:A"),"承租人权益价值",INDIRECT("'"&amp;G2&amp;"'"&amp;"!c:c"))</f>
        <v>#REF!</v>
      </c>
      <c r="F2" s="2230" t="s">
        <v>916</v>
      </c>
      <c r="G2" s="2231"/>
    </row>
    <row r="3" spans="1:9" s="138" customFormat="1" ht="18" customHeight="1">
      <c r="A3" s="153" t="s">
        <v>917</v>
      </c>
      <c r="B3" s="154">
        <f ca="1">ROUND(B2*10000/(IF(B1="",'数据-汇总表'!E3,INDIRECT("'数据-取费表'!k"&amp;$G$1))),0)</f>
        <v>17629</v>
      </c>
      <c r="C3" s="149" t="s">
        <v>918</v>
      </c>
      <c r="D3" s="149"/>
      <c r="E3" s="149"/>
      <c r="F3" s="149"/>
      <c r="G3" s="149"/>
    </row>
    <row r="4" spans="1:9" s="139" customFormat="1" ht="15.75">
      <c r="A4" s="155" t="s">
        <v>919</v>
      </c>
      <c r="B4" s="156"/>
      <c r="C4" s="156"/>
      <c r="D4" s="156"/>
      <c r="E4" s="156"/>
      <c r="F4" s="156"/>
      <c r="G4" s="157"/>
    </row>
    <row r="5" spans="1:9" s="140" customFormat="1" ht="13.5" customHeight="1">
      <c r="A5" s="158" t="s">
        <v>920</v>
      </c>
      <c r="B5" s="159" t="s">
        <v>921</v>
      </c>
      <c r="C5" s="160">
        <f ca="1">C6+C7+C8</f>
        <v>11178</v>
      </c>
      <c r="D5" s="160" t="s">
        <v>922</v>
      </c>
      <c r="E5" s="161" t="s">
        <v>923</v>
      </c>
      <c r="F5" s="161" t="s">
        <v>820</v>
      </c>
      <c r="G5" s="162"/>
    </row>
    <row r="6" spans="1:9" s="140" customFormat="1" ht="13.5" customHeight="1">
      <c r="A6" s="163" t="s">
        <v>924</v>
      </c>
      <c r="B6" s="164" t="s">
        <v>925</v>
      </c>
      <c r="C6" s="165">
        <f>[2]基准地价修正!$B$2</f>
        <v>10643</v>
      </c>
      <c r="D6" s="166"/>
      <c r="E6" s="167"/>
      <c r="F6" s="167"/>
      <c r="G6" s="168"/>
    </row>
    <row r="7" spans="1:9" s="140" customFormat="1" ht="13.5" customHeight="1">
      <c r="A7" s="163" t="s">
        <v>926</v>
      </c>
      <c r="B7" s="164" t="s">
        <v>927</v>
      </c>
      <c r="C7" s="169">
        <f>ROUND(C6*F7,0)</f>
        <v>325</v>
      </c>
      <c r="D7" s="169"/>
      <c r="E7" s="167"/>
      <c r="F7" s="170">
        <f>IF(项目基本情况!B8="出让",0,'数据-取费表'!B48+'数据-取费表'!B49)</f>
        <v>3.0499999999999999E-2</v>
      </c>
      <c r="G7" s="168"/>
    </row>
    <row r="8" spans="1:9" s="141" customFormat="1">
      <c r="A8" s="163" t="s">
        <v>928</v>
      </c>
      <c r="B8" s="164" t="s">
        <v>929</v>
      </c>
      <c r="C8" s="169">
        <f ca="1">IF(G8="已包含在土地购买价格中","0",IF(B1="",'数据-取费表'!B29,IF(G9="全部缴纳",C9+C10,H9)))</f>
        <v>210</v>
      </c>
      <c r="D8" s="171"/>
      <c r="E8" s="169"/>
      <c r="F8" s="170"/>
      <c r="G8" s="2232" t="s">
        <v>930</v>
      </c>
    </row>
    <row r="9" spans="1:9" s="140" customFormat="1" ht="13.5" customHeight="1">
      <c r="A9" s="173" t="s">
        <v>931</v>
      </c>
      <c r="B9" s="174" t="s">
        <v>932</v>
      </c>
      <c r="C9" s="175">
        <f ca="1">ROUND(D9*E9/10000,0)</f>
        <v>0</v>
      </c>
      <c r="D9" s="176">
        <f ca="1">IF(B1="",'数据-汇总表'!E5,IF(INDIRECT("'数据-取费表'!c"&amp;$G$1)="住宅",INDIRECT("'数据-取费表'!k"&amp;$G$1),0))</f>
        <v>0</v>
      </c>
      <c r="E9" s="175">
        <f>'数据-取费表'!B27</f>
        <v>0</v>
      </c>
      <c r="F9" s="170"/>
      <c r="G9" s="2239" t="s">
        <v>933</v>
      </c>
      <c r="H9" s="2240"/>
      <c r="I9" s="2241" t="s">
        <v>934</v>
      </c>
    </row>
    <row r="10" spans="1:9" s="140" customFormat="1" ht="13.5" customHeight="1">
      <c r="A10" s="173" t="s">
        <v>935</v>
      </c>
      <c r="B10" s="174" t="s">
        <v>936</v>
      </c>
      <c r="C10" s="175">
        <f ca="1">ROUND(D10*E10/10000,0)</f>
        <v>210</v>
      </c>
      <c r="D10" s="176">
        <f ca="1">IF(B1="",'数据-汇总表'!E6,IF(INDIRECT("'数据-取费表'!c"&amp;$G$1)="住宅",INDIRECT("'数据-取费表'!s"&amp;$G$1),INDIRECT("'数据-取费表'!k"&amp;$G$1)+INDIRECT("'数据-取费表'!s"&amp;$G$1)))</f>
        <v>10513.99</v>
      </c>
      <c r="E10" s="175">
        <f>'数据-取费表'!B28</f>
        <v>200</v>
      </c>
      <c r="F10" s="170"/>
      <c r="G10" s="177"/>
    </row>
    <row r="11" spans="1:9" s="140" customFormat="1" ht="13.5" hidden="1" customHeight="1">
      <c r="A11" s="178" t="s">
        <v>937</v>
      </c>
      <c r="B11" s="164" t="s">
        <v>938</v>
      </c>
      <c r="C11" s="160"/>
      <c r="D11" s="179"/>
      <c r="E11" s="167"/>
      <c r="F11" s="167"/>
      <c r="G11" s="168"/>
    </row>
    <row r="12" spans="1:9" s="140" customFormat="1" ht="13.5" hidden="1" customHeight="1">
      <c r="A12" s="178" t="s">
        <v>939</v>
      </c>
      <c r="B12" s="164" t="s">
        <v>856</v>
      </c>
      <c r="C12" s="160">
        <v>0</v>
      </c>
      <c r="D12" s="179"/>
      <c r="E12" s="180"/>
      <c r="F12" s="170">
        <v>3.0499999999999999E-2</v>
      </c>
      <c r="G12" s="168"/>
    </row>
    <row r="13" spans="1:9" s="140" customFormat="1" ht="13.5" hidden="1" customHeight="1">
      <c r="A13" s="178" t="s">
        <v>940</v>
      </c>
      <c r="B13" s="164" t="s">
        <v>941</v>
      </c>
      <c r="C13" s="160"/>
      <c r="D13" s="179"/>
      <c r="E13" s="167"/>
      <c r="F13" s="167"/>
      <c r="G13" s="168"/>
    </row>
    <row r="14" spans="1:9" s="140" customFormat="1" ht="13.5" hidden="1" customHeight="1">
      <c r="A14" s="178" t="s">
        <v>942</v>
      </c>
      <c r="B14" s="164" t="s">
        <v>929</v>
      </c>
      <c r="C14" s="160"/>
      <c r="D14" s="179"/>
      <c r="E14" s="167"/>
      <c r="F14" s="167"/>
      <c r="G14" s="168" t="s">
        <v>943</v>
      </c>
    </row>
    <row r="15" spans="1:9" s="140" customFormat="1" ht="13.5" hidden="1" customHeight="1">
      <c r="A15" s="178" t="s">
        <v>944</v>
      </c>
      <c r="B15" s="164" t="s">
        <v>945</v>
      </c>
      <c r="C15" s="169"/>
      <c r="D15" s="179"/>
      <c r="E15" s="167"/>
      <c r="F15" s="167"/>
      <c r="G15" s="168" t="s">
        <v>946</v>
      </c>
    </row>
    <row r="16" spans="1:9" s="140" customFormat="1" ht="13.5" hidden="1" customHeight="1">
      <c r="A16" s="178" t="s">
        <v>947</v>
      </c>
      <c r="B16" s="164" t="s">
        <v>929</v>
      </c>
      <c r="C16" s="169"/>
      <c r="D16" s="179"/>
      <c r="E16" s="167"/>
      <c r="F16" s="167"/>
      <c r="G16" s="168"/>
    </row>
    <row r="17" spans="1:7" s="140" customFormat="1" ht="13.5" hidden="1" customHeight="1">
      <c r="A17" s="178" t="s">
        <v>948</v>
      </c>
      <c r="B17" s="164" t="s">
        <v>949</v>
      </c>
      <c r="C17" s="181"/>
      <c r="D17" s="182"/>
      <c r="E17" s="181"/>
      <c r="F17" s="181"/>
      <c r="G17" s="168" t="s">
        <v>946</v>
      </c>
    </row>
    <row r="18" spans="1:7" s="140" customFormat="1" ht="13.5" hidden="1" customHeight="1">
      <c r="A18" s="178" t="s">
        <v>950</v>
      </c>
      <c r="B18" s="164" t="s">
        <v>951</v>
      </c>
      <c r="C18" s="169">
        <v>0</v>
      </c>
      <c r="D18" s="179"/>
      <c r="E18" s="167"/>
      <c r="F18" s="170">
        <v>3.0499999999999999E-2</v>
      </c>
      <c r="G18" s="168" t="s">
        <v>952</v>
      </c>
    </row>
    <row r="19" spans="1:7" s="141" customFormat="1" ht="13.5" customHeight="1">
      <c r="A19" s="158" t="s">
        <v>953</v>
      </c>
      <c r="B19" s="159" t="s">
        <v>954</v>
      </c>
      <c r="C19" s="160" t="str">
        <f>IF(G19="已包含在土地取得成本中","0",ROUND(D19*E19/10000,0))</f>
        <v>0</v>
      </c>
      <c r="D19" s="184">
        <f ca="1">D9+D10</f>
        <v>10513.99</v>
      </c>
      <c r="E19" s="160">
        <f>'数据-取费表'!B31</f>
        <v>200</v>
      </c>
      <c r="F19" s="185"/>
      <c r="G19" s="2232" t="s">
        <v>955</v>
      </c>
    </row>
    <row r="20" spans="1:7" s="140" customFormat="1" ht="13.5" customHeight="1">
      <c r="A20" s="158" t="s">
        <v>956</v>
      </c>
      <c r="B20" s="159" t="s">
        <v>957</v>
      </c>
      <c r="C20" s="186">
        <f ca="1">ROUND((C5+C19)*F20,0)</f>
        <v>224</v>
      </c>
      <c r="D20" s="186"/>
      <c r="E20" s="186"/>
      <c r="F20" s="187">
        <f>'数据-取费表'!B37</f>
        <v>0.02</v>
      </c>
      <c r="G20" s="191" t="s">
        <v>958</v>
      </c>
    </row>
    <row r="21" spans="1:7" s="140" customFormat="1" ht="13.5" customHeight="1">
      <c r="A21" s="158" t="s">
        <v>959</v>
      </c>
      <c r="B21" s="159" t="s">
        <v>960</v>
      </c>
      <c r="C21" s="189">
        <f>F21</f>
        <v>0.02</v>
      </c>
      <c r="D21" s="190" t="s">
        <v>961</v>
      </c>
      <c r="E21" s="186"/>
      <c r="F21" s="187">
        <f>'数据-取费表'!B38</f>
        <v>0.02</v>
      </c>
      <c r="G21" s="191" t="s">
        <v>962</v>
      </c>
    </row>
    <row r="22" spans="1:7" s="140" customFormat="1" ht="13.5" customHeight="1">
      <c r="A22" s="158" t="s">
        <v>963</v>
      </c>
      <c r="B22" s="159" t="s">
        <v>964</v>
      </c>
      <c r="C22" s="192">
        <f ca="1">ROUND(SUM(C23:C25),0)</f>
        <v>968</v>
      </c>
      <c r="D22" s="189">
        <f ca="1">C26</f>
        <v>8.0000000000000004E-4</v>
      </c>
      <c r="E22" s="190" t="s">
        <v>961</v>
      </c>
      <c r="F22" s="193">
        <f ca="1">'数据-取费表'!B40</f>
        <v>4.2000000000000003E-2</v>
      </c>
      <c r="G22" s="191" t="str">
        <f>IF('数据-取费表'!B22&lt;=1,"单利计息","复利计息")</f>
        <v>复利计息</v>
      </c>
    </row>
    <row r="23" spans="1:7" s="140" customFormat="1" ht="13.5" customHeight="1">
      <c r="A23" s="194" t="s">
        <v>924</v>
      </c>
      <c r="B23" s="164" t="s">
        <v>965</v>
      </c>
      <c r="C23" s="195">
        <f ca="1">ROUND(IF('数据-取费表'!B22&lt;=1,C5*F22*'数据-取费表'!B23,C5*(POWER((1+F22),'数据-取费表'!B23)-1)),0)</f>
        <v>959</v>
      </c>
      <c r="D23" s="196"/>
      <c r="E23" s="196"/>
      <c r="F23" s="197"/>
      <c r="G23" s="198" t="s">
        <v>966</v>
      </c>
    </row>
    <row r="24" spans="1:7" s="140" customFormat="1" ht="13.5" customHeight="1">
      <c r="A24" s="194" t="s">
        <v>926</v>
      </c>
      <c r="B24" s="164" t="s">
        <v>967</v>
      </c>
      <c r="C24" s="195">
        <f ca="1">ROUND(IF('数据-取费表'!B22&lt;=1,C19*F22*('数据-取费表'!B19/2+'数据-取费表'!B21),C19*(POWER((1+F22),('数据-取费表'!B19/2+'数据-取费表'!B21))-1)),0)</f>
        <v>0</v>
      </c>
      <c r="D24" s="196"/>
      <c r="E24" s="196"/>
      <c r="F24" s="197"/>
      <c r="G24" s="198" t="s">
        <v>968</v>
      </c>
    </row>
    <row r="25" spans="1:7" s="140" customFormat="1" ht="24">
      <c r="A25" s="194" t="s">
        <v>928</v>
      </c>
      <c r="B25" s="164" t="s">
        <v>969</v>
      </c>
      <c r="C25" s="195">
        <f ca="1">ROUND(IF('数据-取费表'!B22&lt;=1,C20*F22*'数据-取费表'!B23/2,C20*(POWER((1+F22),'数据-取费表'!B23/2)-1)),0)</f>
        <v>9</v>
      </c>
      <c r="D25" s="196"/>
      <c r="E25" s="199"/>
      <c r="F25" s="197"/>
      <c r="G25" s="200" t="s">
        <v>970</v>
      </c>
    </row>
    <row r="26" spans="1:7" s="140" customFormat="1">
      <c r="A26" s="194" t="s">
        <v>971</v>
      </c>
      <c r="B26" s="164" t="s">
        <v>972</v>
      </c>
      <c r="C26" s="196">
        <f ca="1">ROUND(IF('数据-取费表'!B22&lt;=1,F21*F22*'数据-取费表'!B23/2,F21*(POWER((1+F22),'数据-取费表'!B23/2)-1)),4)</f>
        <v>8.0000000000000004E-4</v>
      </c>
      <c r="D26" s="196"/>
      <c r="E26" s="199"/>
      <c r="F26" s="197"/>
      <c r="G26" s="201"/>
    </row>
    <row r="27" spans="1:7" s="140" customFormat="1" ht="24.75">
      <c r="A27" s="158" t="s">
        <v>973</v>
      </c>
      <c r="B27" s="202" t="s">
        <v>974</v>
      </c>
      <c r="C27" s="203">
        <f ca="1">C28</f>
        <v>1710</v>
      </c>
      <c r="D27" s="189">
        <f ca="1">C29</f>
        <v>3.0000000000000001E-3</v>
      </c>
      <c r="E27" s="190" t="s">
        <v>961</v>
      </c>
      <c r="F27" s="204">
        <f ca="1">IF(B1="",'数据-取费表'!Q16,INDIRECT("'数据-取费表'!q"&amp;$G$1))</f>
        <v>0.15</v>
      </c>
      <c r="G27" s="205" t="s">
        <v>975</v>
      </c>
    </row>
    <row r="28" spans="1:7" s="140" customFormat="1" ht="13.5" customHeight="1">
      <c r="A28" s="194" t="s">
        <v>924</v>
      </c>
      <c r="B28" s="206" t="s">
        <v>976</v>
      </c>
      <c r="C28" s="207">
        <f ca="1">ROUND((C5+C19+C20)*F27*'数据-取费表'!B21/'数据-取费表'!B20,0)</f>
        <v>1710</v>
      </c>
      <c r="D28" s="189"/>
      <c r="E28" s="190"/>
      <c r="F28" s="204"/>
      <c r="G28" s="205"/>
    </row>
    <row r="29" spans="1:7" s="140" customFormat="1" ht="13.5" customHeight="1">
      <c r="A29" s="194" t="s">
        <v>926</v>
      </c>
      <c r="B29" s="206" t="s">
        <v>977</v>
      </c>
      <c r="C29" s="196">
        <f ca="1">ROUND(C21*F27*'数据-取费表'!B21/'数据-取费表'!B20,4)</f>
        <v>3.0000000000000001E-3</v>
      </c>
      <c r="D29" s="189"/>
      <c r="E29" s="190"/>
      <c r="F29" s="204"/>
      <c r="G29" s="205"/>
    </row>
    <row r="30" spans="1:7" s="140" customFormat="1" ht="13.5" customHeight="1">
      <c r="A30" s="158" t="s">
        <v>978</v>
      </c>
      <c r="B30" s="159" t="s">
        <v>979</v>
      </c>
      <c r="C30" s="189">
        <f>ROUND(F30/(1+'数据-取费表'!C42),4)</f>
        <v>5.33E-2</v>
      </c>
      <c r="D30" s="190" t="s">
        <v>961</v>
      </c>
      <c r="E30" s="199"/>
      <c r="F30" s="193">
        <f>'数据-取费表'!B41</f>
        <v>5.6000000000000001E-2</v>
      </c>
      <c r="G30" s="191" t="s">
        <v>980</v>
      </c>
    </row>
    <row r="31" spans="1:7" ht="16.5" customHeight="1">
      <c r="A31" s="208">
        <v>1</v>
      </c>
      <c r="B31" s="159" t="s">
        <v>981</v>
      </c>
      <c r="C31" s="160">
        <f ca="1">ROUND((C5+C19+C20+C22+C27)/(1-C21-D22-D27-C30),0)</f>
        <v>15256</v>
      </c>
      <c r="D31" s="209"/>
      <c r="E31" s="160"/>
      <c r="F31" s="210"/>
      <c r="G31" s="191" t="s">
        <v>982</v>
      </c>
    </row>
    <row r="32" spans="1:7" s="139" customFormat="1" ht="15.75">
      <c r="A32" s="211" t="s">
        <v>983</v>
      </c>
      <c r="B32" s="212"/>
      <c r="C32" s="212"/>
      <c r="D32" s="212"/>
      <c r="E32" s="212"/>
      <c r="F32" s="212"/>
      <c r="G32" s="213"/>
    </row>
    <row r="33" spans="1:7" s="140" customFormat="1" ht="13.5" customHeight="1">
      <c r="A33" s="158" t="s">
        <v>920</v>
      </c>
      <c r="B33" s="159" t="s">
        <v>984</v>
      </c>
      <c r="C33" s="214">
        <f ca="1">SUM(C34:C38)</f>
        <v>3506</v>
      </c>
      <c r="D33" s="186"/>
      <c r="E33" s="161"/>
      <c r="F33" s="199"/>
      <c r="G33" s="191"/>
    </row>
    <row r="34" spans="1:7" s="142" customFormat="1" ht="13.5" customHeight="1">
      <c r="A34" s="194" t="s">
        <v>924</v>
      </c>
      <c r="B34" s="164" t="s">
        <v>985</v>
      </c>
      <c r="C34" s="169">
        <f ca="1">IF(B1="",IF(F34=100%,'数据-取费表'!M16,'数据-取费表'!O16),IF(F34=100%,INDIRECT("'数据-取费表'!m"&amp;$G$1)+INDIRECT("'数据-取费表'!t"&amp;$G$1),INDIRECT("'数据-取费表'!o"&amp;$G$1)+INDIRECT("'数据-取费表'!aq"&amp;$G$1)))</f>
        <v>3154</v>
      </c>
      <c r="D34" s="166"/>
      <c r="E34" s="169"/>
      <c r="F34" s="215">
        <f ca="1">IF('数据-取费表'!B24=0,1,IF(B1="",'数据-取费表'!N16,INDIRECT("'数据-取费表'!n"&amp;$G$1)))</f>
        <v>1</v>
      </c>
      <c r="G34" s="168" t="s">
        <v>986</v>
      </c>
    </row>
    <row r="35" spans="1:7" ht="13.5" customHeight="1">
      <c r="A35" s="194" t="s">
        <v>926</v>
      </c>
      <c r="B35" s="164" t="s">
        <v>987</v>
      </c>
      <c r="C35" s="169">
        <f ca="1">ROUND(C34*F35,0)</f>
        <v>95</v>
      </c>
      <c r="D35" s="169"/>
      <c r="E35" s="169"/>
      <c r="F35" s="216">
        <f>'数据-取费表'!B33</f>
        <v>0.03</v>
      </c>
      <c r="G35" s="168" t="s">
        <v>988</v>
      </c>
    </row>
    <row r="36" spans="1:7" ht="24">
      <c r="A36" s="194" t="s">
        <v>928</v>
      </c>
      <c r="B36" s="164" t="s">
        <v>989</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990</v>
      </c>
    </row>
    <row r="37" spans="1:7" s="142" customFormat="1" ht="13.5" customHeight="1">
      <c r="A37" s="194" t="s">
        <v>971</v>
      </c>
      <c r="B37" s="164" t="s">
        <v>991</v>
      </c>
      <c r="C37" s="207">
        <f ca="1">ROUND(E37*D37*F34/10000,0)</f>
        <v>210</v>
      </c>
      <c r="D37" s="166">
        <f ca="1">D19</f>
        <v>10513.99</v>
      </c>
      <c r="E37" s="207">
        <f>'数据-取费表'!B35</f>
        <v>200</v>
      </c>
      <c r="F37" s="216"/>
      <c r="G37" s="218" t="s">
        <v>992</v>
      </c>
    </row>
    <row r="38" spans="1:7" ht="13.5" customHeight="1">
      <c r="A38" s="194" t="s">
        <v>993</v>
      </c>
      <c r="B38" s="164" t="s">
        <v>856</v>
      </c>
      <c r="C38" s="169">
        <f ca="1">ROUND(C34*F38,0)</f>
        <v>47</v>
      </c>
      <c r="D38" s="169"/>
      <c r="E38" s="169"/>
      <c r="F38" s="216">
        <f>'数据-取费表'!B36</f>
        <v>1.4999999999999999E-2</v>
      </c>
      <c r="G38" s="168" t="s">
        <v>988</v>
      </c>
    </row>
    <row r="39" spans="1:7" s="140" customFormat="1" ht="13.5" customHeight="1">
      <c r="A39" s="158" t="s">
        <v>953</v>
      </c>
      <c r="B39" s="159" t="s">
        <v>957</v>
      </c>
      <c r="C39" s="186">
        <f ca="1">ROUND(C33*F20,0)</f>
        <v>70</v>
      </c>
      <c r="D39" s="186"/>
      <c r="E39" s="186"/>
      <c r="F39" s="2235">
        <f>F20</f>
        <v>0.02</v>
      </c>
      <c r="G39" s="191" t="s">
        <v>994</v>
      </c>
    </row>
    <row r="40" spans="1:7" s="140" customFormat="1" ht="13.5" customHeight="1">
      <c r="A40" s="158" t="s">
        <v>956</v>
      </c>
      <c r="B40" s="159" t="s">
        <v>960</v>
      </c>
      <c r="C40" s="2236">
        <f>F21</f>
        <v>0.02</v>
      </c>
      <c r="D40" s="190" t="s">
        <v>995</v>
      </c>
      <c r="E40" s="186"/>
      <c r="F40" s="2235">
        <f>F21</f>
        <v>0.02</v>
      </c>
      <c r="G40" s="191" t="s">
        <v>996</v>
      </c>
    </row>
    <row r="41" spans="1:7" s="140" customFormat="1" ht="13.5" customHeight="1">
      <c r="A41" s="158" t="s">
        <v>959</v>
      </c>
      <c r="B41" s="159" t="s">
        <v>964</v>
      </c>
      <c r="C41" s="186">
        <f ca="1">ROUND(SUM(C42:C43),0)</f>
        <v>150</v>
      </c>
      <c r="D41" s="189">
        <f ca="1">C44</f>
        <v>8.0000000000000004E-4</v>
      </c>
      <c r="E41" s="190" t="s">
        <v>995</v>
      </c>
      <c r="F41" s="2237">
        <f ca="1">F22</f>
        <v>4.2000000000000003E-2</v>
      </c>
      <c r="G41" s="191" t="str">
        <f>IF('数据-取费表'!B22&lt;=1,"单利计息","复利计息")</f>
        <v>复利计息</v>
      </c>
    </row>
    <row r="42" spans="1:7" ht="13.5" customHeight="1">
      <c r="A42" s="194" t="s">
        <v>924</v>
      </c>
      <c r="B42" s="164" t="s">
        <v>965</v>
      </c>
      <c r="C42" s="196">
        <f ca="1">ROUND(IF('数据-取费表'!B22&lt;=1,C33*F22*'数据-取费表'!B21/2,C33*(POWER((1+F22),'数据-取费表'!B21/2)-1)),0)</f>
        <v>147</v>
      </c>
      <c r="D42" s="196"/>
      <c r="E42" s="196"/>
      <c r="F42" s="197"/>
      <c r="G42" s="3468" t="s">
        <v>997</v>
      </c>
    </row>
    <row r="43" spans="1:7" ht="13.5" customHeight="1">
      <c r="A43" s="194" t="s">
        <v>926</v>
      </c>
      <c r="B43" s="164" t="s">
        <v>967</v>
      </c>
      <c r="C43" s="196">
        <f ca="1">ROUND(IF('数据-取费表'!B22&lt;=1,C39*F22*'数据-取费表'!B21/2,C39*(POWER((1+F22),'数据-取费表'!B21/2)-1)),0)</f>
        <v>3</v>
      </c>
      <c r="D43" s="196"/>
      <c r="E43" s="196"/>
      <c r="F43" s="197"/>
      <c r="G43" s="3469"/>
    </row>
    <row r="44" spans="1:7" ht="13.5" customHeight="1">
      <c r="A44" s="194" t="s">
        <v>928</v>
      </c>
      <c r="B44" s="164" t="s">
        <v>969</v>
      </c>
      <c r="C44" s="196">
        <f ca="1">ROUND(IF('数据-取费表'!B22&lt;=1,C40*F22*'数据-取费表'!B21/2,C40*(POWER((1+F22),'数据-取费表'!B21/2)-1)),4)</f>
        <v>8.0000000000000004E-4</v>
      </c>
      <c r="D44" s="196"/>
      <c r="E44" s="196"/>
      <c r="F44" s="197"/>
      <c r="G44" s="3470"/>
    </row>
    <row r="45" spans="1:7" s="140" customFormat="1" ht="13.5" customHeight="1">
      <c r="A45" s="158" t="s">
        <v>963</v>
      </c>
      <c r="B45" s="202" t="s">
        <v>974</v>
      </c>
      <c r="C45" s="203">
        <f ca="1">C46</f>
        <v>536</v>
      </c>
      <c r="D45" s="189">
        <f ca="1">C47</f>
        <v>3.0000000000000001E-3</v>
      </c>
      <c r="E45" s="190" t="s">
        <v>995</v>
      </c>
      <c r="F45" s="2238">
        <f ca="1">F27</f>
        <v>0.15</v>
      </c>
      <c r="G45" s="205" t="s">
        <v>998</v>
      </c>
    </row>
    <row r="46" spans="1:7" s="140" customFormat="1" ht="13.5" customHeight="1">
      <c r="A46" s="194" t="s">
        <v>924</v>
      </c>
      <c r="B46" s="206" t="s">
        <v>999</v>
      </c>
      <c r="C46" s="207">
        <f ca="1">ROUND((C33+C39)*F27,0)</f>
        <v>536</v>
      </c>
      <c r="D46" s="220"/>
      <c r="E46" s="190"/>
      <c r="F46" s="204"/>
      <c r="G46" s="205"/>
    </row>
    <row r="47" spans="1:7" s="140" customFormat="1" ht="13.5" customHeight="1">
      <c r="A47" s="194" t="s">
        <v>926</v>
      </c>
      <c r="B47" s="206" t="s">
        <v>1000</v>
      </c>
      <c r="C47" s="196">
        <f ca="1">ROUND(C40*F27,4)</f>
        <v>3.0000000000000001E-3</v>
      </c>
      <c r="D47" s="220"/>
      <c r="E47" s="190"/>
      <c r="F47" s="204"/>
      <c r="G47" s="205"/>
    </row>
    <row r="48" spans="1:7" s="140" customFormat="1" ht="13.5" customHeight="1">
      <c r="A48" s="158" t="s">
        <v>973</v>
      </c>
      <c r="B48" s="159" t="s">
        <v>979</v>
      </c>
      <c r="C48" s="2236">
        <f>ROUND(F30/(1+'数据-取费表'!C42),4)</f>
        <v>5.33E-2</v>
      </c>
      <c r="D48" s="190" t="s">
        <v>995</v>
      </c>
      <c r="E48" s="186"/>
      <c r="F48" s="2237">
        <f>F30</f>
        <v>5.6000000000000001E-2</v>
      </c>
      <c r="G48" s="191" t="s">
        <v>1001</v>
      </c>
    </row>
    <row r="49" spans="1:7" ht="16.5" customHeight="1">
      <c r="A49" s="158" t="s">
        <v>978</v>
      </c>
      <c r="B49" s="159" t="s">
        <v>1002</v>
      </c>
      <c r="C49" s="186">
        <f ca="1">ROUND((C33+C39+C41+C45)/(1-C40-D41-D45-C48),0)</f>
        <v>4618</v>
      </c>
      <c r="D49" s="186"/>
      <c r="E49" s="186"/>
      <c r="F49" s="221"/>
      <c r="G49" s="191" t="s">
        <v>1003</v>
      </c>
    </row>
    <row r="50" spans="1:7" s="142" customFormat="1" ht="24">
      <c r="A50" s="158" t="s">
        <v>1004</v>
      </c>
      <c r="B50" s="159" t="s">
        <v>1005</v>
      </c>
      <c r="C50" s="186"/>
      <c r="D50" s="186"/>
      <c r="E50" s="186"/>
      <c r="F50" s="221">
        <f>IF('数据-取费表'!B24=0,'数据-取费表'!N16,1)</f>
        <v>0.71</v>
      </c>
      <c r="G50" s="205" t="s">
        <v>1006</v>
      </c>
    </row>
    <row r="51" spans="1:7" ht="16.5" customHeight="1">
      <c r="A51" s="158" t="s">
        <v>1007</v>
      </c>
      <c r="B51" s="159" t="s">
        <v>1008</v>
      </c>
      <c r="C51" s="186">
        <f ca="1">ROUND(C49*F50,0)</f>
        <v>3279</v>
      </c>
      <c r="D51" s="186"/>
      <c r="E51" s="186"/>
      <c r="F51" s="221"/>
      <c r="G51" s="191" t="s">
        <v>1009</v>
      </c>
    </row>
    <row r="52" spans="1:7" s="139" customFormat="1" ht="15.75">
      <c r="A52" s="222" t="s">
        <v>1010</v>
      </c>
      <c r="B52" s="223"/>
      <c r="C52" s="224">
        <f ca="1">C31+C51</f>
        <v>18535</v>
      </c>
      <c r="D52" s="223"/>
      <c r="E52" s="223"/>
      <c r="F52" s="223"/>
      <c r="G52" s="225"/>
    </row>
    <row r="55" spans="1:7" ht="15">
      <c r="B55" s="226" t="s">
        <v>1011</v>
      </c>
      <c r="C55" s="227"/>
    </row>
    <row r="56" spans="1:7">
      <c r="B56" s="228" t="s">
        <v>1012</v>
      </c>
      <c r="C56" s="230">
        <f ca="1">1-C57</f>
        <v>0.82299999999999995</v>
      </c>
    </row>
    <row r="57" spans="1:7">
      <c r="B57" s="228" t="s">
        <v>1013</v>
      </c>
      <c r="C57" s="229">
        <f ca="1">ROUND(C51/C52,3)</f>
        <v>0.17699999999999999</v>
      </c>
    </row>
  </sheetData>
  <sheetProtection password="CEE9" sheet="1" objects="1" scenarios="1" formatCells="0"/>
  <mergeCells count="1">
    <mergeCell ref="G42:G44"/>
  </mergeCells>
  <phoneticPr fontId="228"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51" customWidth="1"/>
    <col min="2" max="9" width="10" style="3251" customWidth="1"/>
    <col min="10" max="16384" width="9" style="3251"/>
  </cols>
  <sheetData>
    <row r="36" spans="1:9">
      <c r="A36" s="3250" t="s">
        <v>75</v>
      </c>
      <c r="B36" s="3250" t="s">
        <v>76</v>
      </c>
    </row>
    <row r="37" spans="1:9" ht="27.75" customHeight="1">
      <c r="A37" s="3250"/>
      <c r="B37" s="3279" t="str">
        <f>项目基本情况!B1</f>
        <v>北京市房地产抵押价值预评估</v>
      </c>
      <c r="C37" s="3279"/>
      <c r="D37" s="3279"/>
      <c r="E37" s="3279"/>
      <c r="F37" s="3279"/>
      <c r="G37" s="3279"/>
      <c r="H37" s="3279"/>
      <c r="I37" s="3279"/>
    </row>
    <row r="38" spans="1:9">
      <c r="A38" s="3252"/>
      <c r="B38" s="3252"/>
    </row>
    <row r="39" spans="1:9">
      <c r="A39" s="3250" t="s">
        <v>75</v>
      </c>
      <c r="B39" s="3250" t="s">
        <v>77</v>
      </c>
    </row>
    <row r="40" spans="1:9">
      <c r="A40" s="3250"/>
      <c r="B40" s="3253">
        <f>项目基本情况!B5</f>
        <v>0</v>
      </c>
    </row>
    <row r="41" spans="1:9">
      <c r="A41" s="3250"/>
      <c r="B41" s="3250"/>
    </row>
    <row r="42" spans="1:9">
      <c r="A42" s="3250" t="s">
        <v>75</v>
      </c>
      <c r="B42" s="3250" t="s">
        <v>78</v>
      </c>
    </row>
    <row r="43" spans="1:9">
      <c r="A43" s="3250"/>
      <c r="B43" s="3253" t="s">
        <v>79</v>
      </c>
    </row>
    <row r="44" spans="1:9">
      <c r="A44" s="3250"/>
      <c r="B44" s="3250"/>
    </row>
    <row r="45" spans="1:9">
      <c r="A45" s="3250" t="s">
        <v>75</v>
      </c>
      <c r="B45" s="3250" t="s">
        <v>80</v>
      </c>
    </row>
    <row r="46" spans="1:9" s="3250" customFormat="1" ht="12.75">
      <c r="B46" s="3253" t="str">
        <f>项目基本情况!K4</f>
        <v>（注册号：0)、（注册号：0)</v>
      </c>
    </row>
    <row r="47" spans="1:9">
      <c r="A47" s="3250"/>
      <c r="B47" s="3250" t="str">
        <f>项目基本情况!K5</f>
        <v>（注册号：0)、（注册号：0)</v>
      </c>
    </row>
    <row r="48" spans="1:9">
      <c r="A48" s="3250" t="s">
        <v>75</v>
      </c>
      <c r="B48" s="3250" t="s">
        <v>81</v>
      </c>
    </row>
    <row r="49" spans="2:2">
      <c r="B49" s="3253" t="str">
        <f>"康正预评字"&amp;项目基本情况!B2&amp;"号"</f>
        <v>康正预评字号</v>
      </c>
    </row>
  </sheetData>
  <sheetProtection password="C66D"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914</v>
      </c>
      <c r="B1" s="2225"/>
      <c r="C1" s="2226" t="s">
        <v>1014</v>
      </c>
      <c r="D1" s="148"/>
      <c r="E1" s="148"/>
      <c r="F1" s="148"/>
      <c r="G1" s="2227">
        <f>MATCH(B1,'数据-取费表'!A6:A16,0)+5</f>
        <v>8</v>
      </c>
      <c r="H1" s="1539" t="str">
        <f>IF(ISERROR(FIND("住宅",B1)),"非住宅","住宅")</f>
        <v>非住宅</v>
      </c>
    </row>
    <row r="2" spans="1:8" s="138" customFormat="1" ht="18" customHeight="1">
      <c r="A2" s="150" t="s">
        <v>915</v>
      </c>
      <c r="B2" s="151">
        <f ca="1">ROUND(IF(D2="——",C52/10000,C52/10000-E2),0)</f>
        <v>5869</v>
      </c>
      <c r="C2" s="149" t="s">
        <v>916</v>
      </c>
      <c r="D2" s="2228" t="s">
        <v>124</v>
      </c>
      <c r="E2" s="2229" t="e">
        <f ca="1">SUMIF(INDIRECT("'"&amp;G2&amp;"'"&amp;"!A:A"),"承租人权益价值",INDIRECT("'"&amp;G2&amp;"'"&amp;"!c:c"))</f>
        <v>#REF!</v>
      </c>
      <c r="F2" s="2230" t="s">
        <v>916</v>
      </c>
      <c r="G2" s="2231"/>
    </row>
    <row r="3" spans="1:8" s="138" customFormat="1" ht="18" customHeight="1">
      <c r="A3" s="153" t="s">
        <v>917</v>
      </c>
      <c r="B3" s="154">
        <f ca="1">ROUND(B2*10000/(IF(B1="",'数据-汇总表'!E3,INDIRECT("'数据-取费表'!k"&amp;$G$1))),0)</f>
        <v>3540</v>
      </c>
      <c r="C3" s="149" t="s">
        <v>918</v>
      </c>
      <c r="D3" s="149"/>
      <c r="E3" s="149"/>
      <c r="F3" s="149"/>
      <c r="G3" s="149"/>
    </row>
    <row r="4" spans="1:8" s="139" customFormat="1" ht="15.75">
      <c r="A4" s="155" t="s">
        <v>919</v>
      </c>
      <c r="B4" s="156"/>
      <c r="C4" s="156"/>
      <c r="D4" s="156"/>
      <c r="E4" s="156"/>
      <c r="F4" s="156"/>
      <c r="G4" s="157"/>
    </row>
    <row r="5" spans="1:8" s="140" customFormat="1" ht="13.5" customHeight="1">
      <c r="A5" s="158" t="s">
        <v>920</v>
      </c>
      <c r="B5" s="159" t="s">
        <v>921</v>
      </c>
      <c r="C5" s="160">
        <f ca="1">C6+C7+C8</f>
        <v>3315656</v>
      </c>
      <c r="D5" s="160" t="s">
        <v>922</v>
      </c>
      <c r="E5" s="161" t="s">
        <v>923</v>
      </c>
      <c r="F5" s="161" t="s">
        <v>820</v>
      </c>
      <c r="G5" s="162"/>
    </row>
    <row r="6" spans="1:8" s="140" customFormat="1" ht="13.5" customHeight="1">
      <c r="A6" s="163" t="s">
        <v>924</v>
      </c>
      <c r="B6" s="164" t="s">
        <v>925</v>
      </c>
      <c r="C6" s="165"/>
      <c r="D6" s="166"/>
      <c r="E6" s="167"/>
      <c r="F6" s="167"/>
      <c r="G6" s="168"/>
    </row>
    <row r="7" spans="1:8" s="140" customFormat="1" ht="13.5" customHeight="1">
      <c r="A7" s="163" t="s">
        <v>926</v>
      </c>
      <c r="B7" s="164" t="s">
        <v>927</v>
      </c>
      <c r="C7" s="169">
        <f>ROUND(C6*F7,0)</f>
        <v>0</v>
      </c>
      <c r="D7" s="169"/>
      <c r="E7" s="167"/>
      <c r="F7" s="170">
        <f>IF(项目基本情况!B8="出让",0,'数据-取费表'!B48+'数据-取费表'!B49)</f>
        <v>3.0499999999999999E-2</v>
      </c>
      <c r="G7" s="168"/>
    </row>
    <row r="8" spans="1:8" s="141" customFormat="1">
      <c r="A8" s="163" t="s">
        <v>928</v>
      </c>
      <c r="B8" s="164" t="s">
        <v>929</v>
      </c>
      <c r="C8" s="169">
        <f ca="1">IF(G8="已包含在土地购买价格中",0,C9+C10)</f>
        <v>3315656</v>
      </c>
      <c r="D8" s="171"/>
      <c r="E8" s="169"/>
      <c r="F8" s="170"/>
      <c r="G8" s="2232"/>
    </row>
    <row r="9" spans="1:8" s="140" customFormat="1" ht="13.5" customHeight="1">
      <c r="A9" s="173" t="s">
        <v>931</v>
      </c>
      <c r="B9" s="174" t="s">
        <v>932</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935</v>
      </c>
      <c r="B10" s="174" t="s">
        <v>936</v>
      </c>
      <c r="C10" s="175">
        <f ca="1">ROUND(D10*E10,0)</f>
        <v>3315656</v>
      </c>
      <c r="D10" s="176">
        <f ca="1">IF(B1="",'数据-汇总表'!E6,IF(INDIRECT("'数据-取费表'!c"&amp;$G$1)="住宅",INDIRECT("'数据-取费表'!s"&amp;$G$1),INDIRECT("'数据-取费表'!k"&amp;$G$1)+INDIRECT("'数据-取费表'!s"&amp;$G$1)))</f>
        <v>16578.28</v>
      </c>
      <c r="E10" s="175">
        <f>'数据-取费表'!B28</f>
        <v>200</v>
      </c>
      <c r="F10" s="170"/>
      <c r="G10" s="177"/>
    </row>
    <row r="11" spans="1:8" s="140" customFormat="1" ht="13.5" hidden="1" customHeight="1">
      <c r="A11" s="178" t="s">
        <v>937</v>
      </c>
      <c r="B11" s="164" t="s">
        <v>938</v>
      </c>
      <c r="C11" s="160"/>
      <c r="D11" s="179"/>
      <c r="E11" s="167"/>
      <c r="F11" s="167"/>
      <c r="G11" s="168"/>
    </row>
    <row r="12" spans="1:8" s="140" customFormat="1" ht="13.5" hidden="1" customHeight="1">
      <c r="A12" s="178" t="s">
        <v>939</v>
      </c>
      <c r="B12" s="164" t="s">
        <v>856</v>
      </c>
      <c r="C12" s="160">
        <v>0</v>
      </c>
      <c r="D12" s="179"/>
      <c r="E12" s="180"/>
      <c r="F12" s="170">
        <v>3.0499999999999999E-2</v>
      </c>
      <c r="G12" s="168"/>
    </row>
    <row r="13" spans="1:8" s="140" customFormat="1" ht="13.5" hidden="1" customHeight="1">
      <c r="A13" s="178" t="s">
        <v>940</v>
      </c>
      <c r="B13" s="164" t="s">
        <v>941</v>
      </c>
      <c r="C13" s="160"/>
      <c r="D13" s="179"/>
      <c r="E13" s="167"/>
      <c r="F13" s="167"/>
      <c r="G13" s="168"/>
    </row>
    <row r="14" spans="1:8" s="140" customFormat="1" ht="13.5" hidden="1" customHeight="1">
      <c r="A14" s="178" t="s">
        <v>942</v>
      </c>
      <c r="B14" s="164" t="s">
        <v>929</v>
      </c>
      <c r="C14" s="160"/>
      <c r="D14" s="179"/>
      <c r="E14" s="167"/>
      <c r="F14" s="167"/>
      <c r="G14" s="168" t="s">
        <v>943</v>
      </c>
    </row>
    <row r="15" spans="1:8" s="140" customFormat="1" ht="13.5" hidden="1" customHeight="1">
      <c r="A15" s="178" t="s">
        <v>944</v>
      </c>
      <c r="B15" s="164" t="s">
        <v>945</v>
      </c>
      <c r="C15" s="169"/>
      <c r="D15" s="179"/>
      <c r="E15" s="167"/>
      <c r="F15" s="167"/>
      <c r="G15" s="168" t="s">
        <v>946</v>
      </c>
    </row>
    <row r="16" spans="1:8" s="140" customFormat="1" ht="13.5" hidden="1" customHeight="1">
      <c r="A16" s="178" t="s">
        <v>947</v>
      </c>
      <c r="B16" s="164" t="s">
        <v>929</v>
      </c>
      <c r="C16" s="169"/>
      <c r="D16" s="179"/>
      <c r="E16" s="167"/>
      <c r="F16" s="167"/>
      <c r="G16" s="168"/>
    </row>
    <row r="17" spans="1:7" s="140" customFormat="1" ht="13.5" hidden="1" customHeight="1">
      <c r="A17" s="178" t="s">
        <v>948</v>
      </c>
      <c r="B17" s="164" t="s">
        <v>949</v>
      </c>
      <c r="C17" s="181"/>
      <c r="D17" s="182"/>
      <c r="E17" s="181"/>
      <c r="F17" s="181"/>
      <c r="G17" s="168" t="s">
        <v>946</v>
      </c>
    </row>
    <row r="18" spans="1:7" s="140" customFormat="1" ht="13.5" hidden="1" customHeight="1">
      <c r="A18" s="178" t="s">
        <v>950</v>
      </c>
      <c r="B18" s="164" t="s">
        <v>951</v>
      </c>
      <c r="C18" s="169">
        <v>0</v>
      </c>
      <c r="D18" s="179"/>
      <c r="E18" s="167"/>
      <c r="F18" s="170">
        <v>3.0499999999999999E-2</v>
      </c>
      <c r="G18" s="168" t="s">
        <v>952</v>
      </c>
    </row>
    <row r="19" spans="1:7" s="141" customFormat="1" ht="13.5" customHeight="1">
      <c r="A19" s="158" t="s">
        <v>953</v>
      </c>
      <c r="B19" s="159" t="s">
        <v>954</v>
      </c>
      <c r="C19" s="160">
        <f ca="1">IF(G19="已包含在土地取得成本中","0",ROUND(D19*E19,0))</f>
        <v>3315656</v>
      </c>
      <c r="D19" s="184">
        <f ca="1">D9+D10</f>
        <v>16578.28</v>
      </c>
      <c r="E19" s="160">
        <f>'数据-取费表'!B31</f>
        <v>200</v>
      </c>
      <c r="F19" s="185"/>
      <c r="G19" s="2232"/>
    </row>
    <row r="20" spans="1:7" s="140" customFormat="1" ht="13.5" customHeight="1">
      <c r="A20" s="158" t="s">
        <v>956</v>
      </c>
      <c r="B20" s="159" t="s">
        <v>957</v>
      </c>
      <c r="C20" s="186">
        <f ca="1">ROUND((C5+C19)*F20,0)</f>
        <v>132626</v>
      </c>
      <c r="D20" s="186"/>
      <c r="E20" s="186"/>
      <c r="F20" s="187">
        <f>'数据-取费表'!B37</f>
        <v>0.02</v>
      </c>
      <c r="G20" s="191" t="s">
        <v>958</v>
      </c>
    </row>
    <row r="21" spans="1:7" s="140" customFormat="1" ht="13.5" customHeight="1">
      <c r="A21" s="158" t="s">
        <v>959</v>
      </c>
      <c r="B21" s="159" t="s">
        <v>960</v>
      </c>
      <c r="C21" s="189">
        <f>F21</f>
        <v>0.02</v>
      </c>
      <c r="D21" s="190" t="s">
        <v>961</v>
      </c>
      <c r="E21" s="186"/>
      <c r="F21" s="187">
        <f>'数据-取费表'!B38</f>
        <v>0.02</v>
      </c>
      <c r="G21" s="191" t="s">
        <v>962</v>
      </c>
    </row>
    <row r="22" spans="1:7" s="140" customFormat="1" ht="13.5" customHeight="1">
      <c r="A22" s="158" t="s">
        <v>963</v>
      </c>
      <c r="B22" s="159" t="s">
        <v>964</v>
      </c>
      <c r="C22" s="2233">
        <f ca="1">ROUND(SUM(C23:C25),0)</f>
        <v>574298</v>
      </c>
      <c r="D22" s="189">
        <f ca="1">C26</f>
        <v>8.0000000000000004E-4</v>
      </c>
      <c r="E22" s="190" t="s">
        <v>961</v>
      </c>
      <c r="F22" s="193">
        <f ca="1">'数据-取费表'!B40</f>
        <v>4.2000000000000003E-2</v>
      </c>
      <c r="G22" s="191" t="str">
        <f>IF('数据-取费表'!B22&lt;=1,"单利计息","复利计息")</f>
        <v>复利计息</v>
      </c>
    </row>
    <row r="23" spans="1:7" s="140" customFormat="1" ht="13.5" customHeight="1">
      <c r="A23" s="194" t="s">
        <v>924</v>
      </c>
      <c r="B23" s="164" t="s">
        <v>965</v>
      </c>
      <c r="C23" s="2234">
        <f ca="1">ROUND(IF('数据-取费表'!B22&lt;=1,C5*F22*'数据-取费表'!B22,C5*(POWER((1+F22),'数据-取费表'!B22)-1)),0)</f>
        <v>284364</v>
      </c>
      <c r="D23" s="196"/>
      <c r="E23" s="196"/>
      <c r="F23" s="197"/>
      <c r="G23" s="198" t="s">
        <v>966</v>
      </c>
    </row>
    <row r="24" spans="1:7" s="140" customFormat="1" ht="13.5" customHeight="1">
      <c r="A24" s="194" t="s">
        <v>926</v>
      </c>
      <c r="B24" s="164" t="s">
        <v>967</v>
      </c>
      <c r="C24" s="2234">
        <f ca="1">ROUND(IF('数据-取费表'!B22&lt;=1,C19*F22*('数据-取费表'!B19/2+'数据-取费表'!B20),C19*(POWER((1+F22),('数据-取费表'!B19/2+'数据-取费表'!B20))-1)),0)</f>
        <v>284364</v>
      </c>
      <c r="D24" s="196"/>
      <c r="E24" s="196"/>
      <c r="F24" s="197"/>
      <c r="G24" s="198" t="s">
        <v>968</v>
      </c>
    </row>
    <row r="25" spans="1:7" s="140" customFormat="1" ht="24">
      <c r="A25" s="194" t="s">
        <v>928</v>
      </c>
      <c r="B25" s="164" t="s">
        <v>969</v>
      </c>
      <c r="C25" s="2234">
        <f ca="1">ROUND(IF('数据-取费表'!B22&lt;=1,C20*F22*'数据-取费表'!B22/2,C20*(POWER((1+F22),'数据-取费表'!B22/2)-1)),0)</f>
        <v>5570</v>
      </c>
      <c r="D25" s="196"/>
      <c r="E25" s="199"/>
      <c r="F25" s="197"/>
      <c r="G25" s="200" t="s">
        <v>970</v>
      </c>
    </row>
    <row r="26" spans="1:7" s="140" customFormat="1">
      <c r="A26" s="194" t="s">
        <v>971</v>
      </c>
      <c r="B26" s="164" t="s">
        <v>972</v>
      </c>
      <c r="C26" s="196">
        <f ca="1">ROUND(IF('数据-取费表'!B22&lt;=1,F21*F22*'数据-取费表'!B22/2,F21*(POWER((1+F22),'数据-取费表'!B22/2)-1)),4)</f>
        <v>8.0000000000000004E-4</v>
      </c>
      <c r="D26" s="196"/>
      <c r="E26" s="199"/>
      <c r="F26" s="197"/>
      <c r="G26" s="201"/>
    </row>
    <row r="27" spans="1:7" s="140" customFormat="1" ht="24.75">
      <c r="A27" s="158" t="s">
        <v>973</v>
      </c>
      <c r="B27" s="202" t="s">
        <v>974</v>
      </c>
      <c r="C27" s="203">
        <f ca="1">C28</f>
        <v>744033</v>
      </c>
      <c r="D27" s="189">
        <f ca="1">C29</f>
        <v>2.2000000000000001E-3</v>
      </c>
      <c r="E27" s="190" t="s">
        <v>961</v>
      </c>
      <c r="F27" s="204">
        <f ca="1">IF(B1="",'数据-取费表'!Q16,INDIRECT("'数据-取费表'!q"&amp;$G$1))</f>
        <v>0.11</v>
      </c>
      <c r="G27" s="205" t="s">
        <v>975</v>
      </c>
    </row>
    <row r="28" spans="1:7" s="140" customFormat="1" ht="13.5" customHeight="1">
      <c r="A28" s="194" t="s">
        <v>924</v>
      </c>
      <c r="B28" s="206" t="s">
        <v>976</v>
      </c>
      <c r="C28" s="207">
        <f ca="1">ROUND((C5+C19+C20)*F27,0)</f>
        <v>744033</v>
      </c>
      <c r="D28" s="189"/>
      <c r="E28" s="190"/>
      <c r="F28" s="204"/>
      <c r="G28" s="205"/>
    </row>
    <row r="29" spans="1:7" s="140" customFormat="1" ht="13.5" customHeight="1">
      <c r="A29" s="194" t="s">
        <v>926</v>
      </c>
      <c r="B29" s="206" t="s">
        <v>977</v>
      </c>
      <c r="C29" s="196">
        <f ca="1">ROUND(C21*F27,4)</f>
        <v>2.2000000000000001E-3</v>
      </c>
      <c r="D29" s="189"/>
      <c r="E29" s="190"/>
      <c r="F29" s="204"/>
      <c r="G29" s="205"/>
    </row>
    <row r="30" spans="1:7" s="140" customFormat="1" ht="13.5" customHeight="1">
      <c r="A30" s="158" t="s">
        <v>978</v>
      </c>
      <c r="B30" s="159" t="s">
        <v>979</v>
      </c>
      <c r="C30" s="189">
        <f>ROUND(F30/(1+'数据-取费表'!C42),4)</f>
        <v>5.33E-2</v>
      </c>
      <c r="D30" s="190" t="s">
        <v>961</v>
      </c>
      <c r="E30" s="199"/>
      <c r="F30" s="193">
        <f>'数据-取费表'!B41</f>
        <v>5.6000000000000001E-2</v>
      </c>
      <c r="G30" s="191" t="s">
        <v>980</v>
      </c>
    </row>
    <row r="31" spans="1:7" ht="16.5" customHeight="1">
      <c r="A31" s="208">
        <v>1</v>
      </c>
      <c r="B31" s="159" t="s">
        <v>981</v>
      </c>
      <c r="C31" s="160">
        <f ca="1">ROUND((C5+C19+C20+C22+C27)/(1-C21-D22-D27-C30),0)</f>
        <v>8749885</v>
      </c>
      <c r="D31" s="209"/>
      <c r="E31" s="160"/>
      <c r="F31" s="210"/>
      <c r="G31" s="191" t="s">
        <v>982</v>
      </c>
    </row>
    <row r="32" spans="1:7" s="139" customFormat="1" ht="15.75">
      <c r="A32" s="211" t="s">
        <v>1015</v>
      </c>
      <c r="B32" s="212"/>
      <c r="C32" s="212"/>
      <c r="D32" s="212"/>
      <c r="E32" s="212"/>
      <c r="F32" s="212"/>
      <c r="G32" s="213"/>
    </row>
    <row r="33" spans="1:7" s="140" customFormat="1" ht="13.5" customHeight="1">
      <c r="A33" s="158" t="s">
        <v>920</v>
      </c>
      <c r="B33" s="159" t="s">
        <v>1016</v>
      </c>
      <c r="C33" s="214">
        <f ca="1">SUM(C34:C38)</f>
        <v>55288564</v>
      </c>
      <c r="D33" s="186"/>
      <c r="E33" s="161"/>
      <c r="F33" s="199"/>
      <c r="G33" s="191"/>
    </row>
    <row r="34" spans="1:7" s="142" customFormat="1" ht="13.5" customHeight="1">
      <c r="A34" s="194" t="s">
        <v>924</v>
      </c>
      <c r="B34" s="164" t="s">
        <v>985</v>
      </c>
      <c r="C34" s="169">
        <f ca="1">ROUND(IF(B1="",SUMPRODUCT('数据-取费表'!K6:K14,'数据-取费表'!L6:L14),INDIRECT("'数据-取费表'!l"&amp;$G$1)*INDIRECT("'数据-取费表'!k"&amp;$G$1)+'数据-取费表'!L14*INDIRECT("'数据-取费表'!S"&amp;$G$1)),0)</f>
        <v>49734840</v>
      </c>
      <c r="D34" s="166"/>
      <c r="E34" s="169"/>
      <c r="F34" s="215"/>
      <c r="G34" s="168"/>
    </row>
    <row r="35" spans="1:7" ht="13.5" customHeight="1">
      <c r="A35" s="194" t="s">
        <v>926</v>
      </c>
      <c r="B35" s="164" t="s">
        <v>987</v>
      </c>
      <c r="C35" s="169">
        <f ca="1">ROUND(C34*F35,0)</f>
        <v>1492045</v>
      </c>
      <c r="D35" s="169"/>
      <c r="E35" s="169"/>
      <c r="F35" s="216">
        <f>'数据-取费表'!B33</f>
        <v>0.03</v>
      </c>
      <c r="G35" s="168" t="s">
        <v>988</v>
      </c>
    </row>
    <row r="36" spans="1:7" ht="24">
      <c r="A36" s="194" t="s">
        <v>928</v>
      </c>
      <c r="B36" s="164" t="s">
        <v>989</v>
      </c>
      <c r="C36" s="169">
        <f ca="1">ROUND(IF(B1="",SUM('数据-取费表'!AP6:AP13)*F36,IF(INDIRECT("'数据-取费表'!c"&amp;$G$1)="住宅",INDIRECT("'数据-取费表'!k"&amp;$G$1)*INDIRECT("'数据-取费表'!l"&amp;$G$1)*F36,0)),0)</f>
        <v>0</v>
      </c>
      <c r="D36" s="169"/>
      <c r="E36" s="169"/>
      <c r="F36" s="216">
        <f>'数据-取费表'!B34</f>
        <v>0</v>
      </c>
      <c r="G36" s="217" t="s">
        <v>990</v>
      </c>
    </row>
    <row r="37" spans="1:7" s="142" customFormat="1" ht="13.5" customHeight="1">
      <c r="A37" s="194" t="s">
        <v>971</v>
      </c>
      <c r="B37" s="164" t="s">
        <v>991</v>
      </c>
      <c r="C37" s="207">
        <f ca="1">ROUND(E37*D37,0)</f>
        <v>3315656</v>
      </c>
      <c r="D37" s="166">
        <f ca="1">D19</f>
        <v>16578.28</v>
      </c>
      <c r="E37" s="207">
        <f>'数据-取费表'!B35</f>
        <v>200</v>
      </c>
      <c r="F37" s="216"/>
      <c r="G37" s="218"/>
    </row>
    <row r="38" spans="1:7" ht="13.5" customHeight="1">
      <c r="A38" s="194" t="s">
        <v>993</v>
      </c>
      <c r="B38" s="164" t="s">
        <v>856</v>
      </c>
      <c r="C38" s="169">
        <f ca="1">ROUND(C34*F38,0)</f>
        <v>746023</v>
      </c>
      <c r="D38" s="169"/>
      <c r="E38" s="169"/>
      <c r="F38" s="216">
        <f>'数据-取费表'!B36</f>
        <v>1.4999999999999999E-2</v>
      </c>
      <c r="G38" s="168" t="s">
        <v>988</v>
      </c>
    </row>
    <row r="39" spans="1:7" s="140" customFormat="1" ht="13.5" customHeight="1">
      <c r="A39" s="158" t="s">
        <v>953</v>
      </c>
      <c r="B39" s="159" t="s">
        <v>957</v>
      </c>
      <c r="C39" s="186">
        <f ca="1">ROUND(C33*F20,0)</f>
        <v>1105771</v>
      </c>
      <c r="D39" s="186"/>
      <c r="E39" s="186"/>
      <c r="F39" s="2235">
        <f>F20</f>
        <v>0.02</v>
      </c>
      <c r="G39" s="191" t="s">
        <v>994</v>
      </c>
    </row>
    <row r="40" spans="1:7" s="140" customFormat="1" ht="13.5" customHeight="1">
      <c r="A40" s="158" t="s">
        <v>956</v>
      </c>
      <c r="B40" s="159" t="s">
        <v>960</v>
      </c>
      <c r="C40" s="2236">
        <f>F21</f>
        <v>0.02</v>
      </c>
      <c r="D40" s="190" t="s">
        <v>995</v>
      </c>
      <c r="E40" s="186"/>
      <c r="F40" s="2235">
        <f>F21</f>
        <v>0.02</v>
      </c>
      <c r="G40" s="191" t="s">
        <v>996</v>
      </c>
    </row>
    <row r="41" spans="1:7" s="140" customFormat="1" ht="13.5" customHeight="1">
      <c r="A41" s="158" t="s">
        <v>959</v>
      </c>
      <c r="B41" s="159" t="s">
        <v>964</v>
      </c>
      <c r="C41" s="186">
        <f ca="1">ROUND(SUM(C42:C43),0)</f>
        <v>2368562</v>
      </c>
      <c r="D41" s="189">
        <f ca="1">C44</f>
        <v>8.0000000000000004E-4</v>
      </c>
      <c r="E41" s="190" t="s">
        <v>995</v>
      </c>
      <c r="F41" s="2237">
        <f ca="1">F22</f>
        <v>4.2000000000000003E-2</v>
      </c>
      <c r="G41" s="191" t="str">
        <f>IF('数据-取费表'!B22&lt;=1,"单利计息","复利计息")</f>
        <v>复利计息</v>
      </c>
    </row>
    <row r="42" spans="1:7" ht="13.5" customHeight="1">
      <c r="A42" s="194" t="s">
        <v>924</v>
      </c>
      <c r="B42" s="164" t="s">
        <v>965</v>
      </c>
      <c r="C42" s="196">
        <f ca="1">ROUND(IF('数据-取费表'!B22&lt;=1,C33*F22*'数据-取费表'!B20/2,C33*(POWER((1+F22),'数据-取费表'!B20/2)-1)),0)</f>
        <v>2322120</v>
      </c>
      <c r="D42" s="196"/>
      <c r="E42" s="196"/>
      <c r="F42" s="197"/>
      <c r="G42" s="3468" t="s">
        <v>1017</v>
      </c>
    </row>
    <row r="43" spans="1:7" ht="13.5" customHeight="1">
      <c r="A43" s="194" t="s">
        <v>926</v>
      </c>
      <c r="B43" s="164" t="s">
        <v>967</v>
      </c>
      <c r="C43" s="196">
        <f ca="1">ROUND(IF('数据-取费表'!B22&lt;=1,C39*F22*'数据-取费表'!B20/2,C39*(POWER((1+F22),'数据-取费表'!B20/2)-1)),0)</f>
        <v>46442</v>
      </c>
      <c r="D43" s="196"/>
      <c r="E43" s="196"/>
      <c r="F43" s="197"/>
      <c r="G43" s="3469"/>
    </row>
    <row r="44" spans="1:7" ht="13.5" customHeight="1">
      <c r="A44" s="194" t="s">
        <v>928</v>
      </c>
      <c r="B44" s="164" t="s">
        <v>969</v>
      </c>
      <c r="C44" s="196">
        <f ca="1">ROUND(IF('数据-取费表'!B22&lt;=1,C40*F22*'数据-取费表'!B20/2,C40*(POWER((1+F22),'数据-取费表'!B20/2)-1)),4)</f>
        <v>8.0000000000000004E-4</v>
      </c>
      <c r="D44" s="196"/>
      <c r="E44" s="196"/>
      <c r="F44" s="197"/>
      <c r="G44" s="3470"/>
    </row>
    <row r="45" spans="1:7" s="140" customFormat="1" ht="13.5" customHeight="1">
      <c r="A45" s="158" t="s">
        <v>963</v>
      </c>
      <c r="B45" s="202" t="s">
        <v>974</v>
      </c>
      <c r="C45" s="203">
        <f ca="1">C46</f>
        <v>6203377</v>
      </c>
      <c r="D45" s="189">
        <f ca="1">C47</f>
        <v>2.2000000000000001E-3</v>
      </c>
      <c r="E45" s="190" t="s">
        <v>995</v>
      </c>
      <c r="F45" s="2238">
        <f ca="1">F27</f>
        <v>0.11</v>
      </c>
      <c r="G45" s="205" t="s">
        <v>998</v>
      </c>
    </row>
    <row r="46" spans="1:7" s="140" customFormat="1" ht="13.5" customHeight="1">
      <c r="A46" s="194" t="s">
        <v>924</v>
      </c>
      <c r="B46" s="206" t="s">
        <v>999</v>
      </c>
      <c r="C46" s="207">
        <f ca="1">ROUND((C33+C39)*F27,0)</f>
        <v>6203377</v>
      </c>
      <c r="D46" s="220"/>
      <c r="E46" s="190"/>
      <c r="F46" s="204"/>
      <c r="G46" s="205"/>
    </row>
    <row r="47" spans="1:7" s="140" customFormat="1" ht="13.5" customHeight="1">
      <c r="A47" s="194" t="s">
        <v>926</v>
      </c>
      <c r="B47" s="206" t="s">
        <v>1000</v>
      </c>
      <c r="C47" s="196">
        <f ca="1">ROUND(C40*F27,4)</f>
        <v>2.2000000000000001E-3</v>
      </c>
      <c r="D47" s="220"/>
      <c r="E47" s="190"/>
      <c r="F47" s="204"/>
      <c r="G47" s="205"/>
    </row>
    <row r="48" spans="1:7" s="140" customFormat="1" ht="13.5" customHeight="1">
      <c r="A48" s="158" t="s">
        <v>973</v>
      </c>
      <c r="B48" s="159" t="s">
        <v>979</v>
      </c>
      <c r="C48" s="219">
        <f>ROUND(F30/(1+'数据-取费表'!C42),4)</f>
        <v>5.33E-2</v>
      </c>
      <c r="D48" s="190" t="s">
        <v>995</v>
      </c>
      <c r="E48" s="186"/>
      <c r="F48" s="2237">
        <f>F30</f>
        <v>5.6000000000000001E-2</v>
      </c>
      <c r="G48" s="191" t="s">
        <v>1001</v>
      </c>
    </row>
    <row r="49" spans="1:7" ht="16.5" customHeight="1">
      <c r="A49" s="158" t="s">
        <v>978</v>
      </c>
      <c r="B49" s="159" t="s">
        <v>1018</v>
      </c>
      <c r="C49" s="186">
        <f ca="1">ROUND((C33+C39+C41+C45)/(1-C40-D41-D45-C48),0)</f>
        <v>70332656</v>
      </c>
      <c r="D49" s="186"/>
      <c r="E49" s="186"/>
      <c r="F49" s="221"/>
      <c r="G49" s="191" t="s">
        <v>1003</v>
      </c>
    </row>
    <row r="50" spans="1:7" s="142" customFormat="1">
      <c r="A50" s="158" t="s">
        <v>1004</v>
      </c>
      <c r="B50" s="159" t="s">
        <v>1005</v>
      </c>
      <c r="C50" s="186"/>
      <c r="D50" s="186"/>
      <c r="E50" s="186"/>
      <c r="F50" s="221">
        <f>IF('数据-取费表'!B24=0,'数据-取费表'!N16,1)</f>
        <v>0.71</v>
      </c>
      <c r="G50" s="205"/>
    </row>
    <row r="51" spans="1:7" ht="16.5" customHeight="1">
      <c r="A51" s="158" t="s">
        <v>1007</v>
      </c>
      <c r="B51" s="159" t="s">
        <v>1019</v>
      </c>
      <c r="C51" s="186">
        <f ca="1">ROUND(C49*F50,0)</f>
        <v>49936186</v>
      </c>
      <c r="D51" s="186"/>
      <c r="E51" s="186"/>
      <c r="F51" s="221"/>
      <c r="G51" s="191" t="s">
        <v>1009</v>
      </c>
    </row>
    <row r="52" spans="1:7" s="139" customFormat="1" ht="15.75">
      <c r="A52" s="222" t="s">
        <v>1010</v>
      </c>
      <c r="B52" s="223"/>
      <c r="C52" s="224">
        <f ca="1">C31+C51</f>
        <v>58686071</v>
      </c>
      <c r="D52" s="223"/>
      <c r="E52" s="223"/>
      <c r="F52" s="223"/>
      <c r="G52" s="225"/>
    </row>
    <row r="55" spans="1:7" ht="15">
      <c r="B55" s="226" t="s">
        <v>1011</v>
      </c>
      <c r="C55" s="227"/>
    </row>
    <row r="56" spans="1:7">
      <c r="B56" s="228" t="s">
        <v>1012</v>
      </c>
      <c r="C56" s="230">
        <f ca="1">1-C57</f>
        <v>0.14900000000000002</v>
      </c>
    </row>
    <row r="57" spans="1:7">
      <c r="B57" s="228" t="s">
        <v>1013</v>
      </c>
      <c r="C57" s="229">
        <f ca="1">ROUND(C51/C52,3)</f>
        <v>0.85099999999999998</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138" customWidth="1"/>
    <col min="3" max="3" width="10.375" style="2139" customWidth="1"/>
    <col min="4" max="4" width="9.875" style="2138" customWidth="1"/>
    <col min="5" max="5" width="9.5" style="335" customWidth="1"/>
    <col min="6" max="6" width="10.125" style="2138" customWidth="1"/>
    <col min="7" max="7" width="10.75" style="2138" customWidth="1"/>
    <col min="8" max="8" width="10" style="2138" customWidth="1"/>
    <col min="9" max="11" width="9.5" style="2138" customWidth="1"/>
    <col min="12" max="12" width="9" style="2138" customWidth="1"/>
    <col min="13" max="13" width="10.5" style="2138" customWidth="1"/>
    <col min="14" max="254" width="9" style="2138" customWidth="1"/>
    <col min="255" max="16384" width="6.625" style="2138"/>
  </cols>
  <sheetData>
    <row r="1" spans="1:33" ht="20.25">
      <c r="A1" s="146" t="s">
        <v>1020</v>
      </c>
      <c r="B1" s="1894"/>
      <c r="C1" s="2140"/>
      <c r="D1" s="2141"/>
      <c r="E1" s="2142"/>
      <c r="F1" s="2142"/>
      <c r="G1" s="2143"/>
      <c r="H1" s="2142"/>
      <c r="I1" s="2142"/>
      <c r="J1" s="2142"/>
      <c r="K1" s="2212">
        <f>MATCH(C1,'数据-取费表'!A6:A16,0)+5</f>
        <v>8</v>
      </c>
    </row>
    <row r="2" spans="1:33" ht="18" customHeight="1">
      <c r="A2" s="150" t="s">
        <v>915</v>
      </c>
      <c r="B2" s="154">
        <f ca="1">C32</f>
        <v>-134</v>
      </c>
      <c r="C2" s="2144" t="s">
        <v>1021</v>
      </c>
      <c r="D2" s="2144"/>
      <c r="E2" s="2142"/>
      <c r="F2" s="2142"/>
      <c r="G2" s="2142"/>
      <c r="H2" s="2142"/>
      <c r="I2" s="2142"/>
      <c r="J2" s="2142"/>
      <c r="K2" s="2142"/>
    </row>
    <row r="3" spans="1:33" ht="18" customHeight="1">
      <c r="A3" s="153" t="s">
        <v>917</v>
      </c>
      <c r="B3" s="154">
        <f ca="1">ROUND(B2*10000/IF(C1="",'数据-汇总表'!E3,INDIRECT("'数据-取费表'!K"&amp;$K$1)),0)</f>
        <v>-81</v>
      </c>
      <c r="C3" s="2144" t="s">
        <v>1022</v>
      </c>
      <c r="D3" s="2144"/>
      <c r="E3" s="2142"/>
      <c r="F3" s="2142"/>
      <c r="G3" s="2142"/>
      <c r="H3" s="2142"/>
      <c r="I3" s="2142"/>
      <c r="J3" s="2142"/>
      <c r="K3" s="2142"/>
    </row>
    <row r="4" spans="1:33" s="2129" customFormat="1" ht="16.5" customHeight="1">
      <c r="A4" s="2145" t="s">
        <v>1023</v>
      </c>
      <c r="B4" s="2146"/>
      <c r="C4" s="2147">
        <f>SUM(C8:K8)</f>
        <v>0</v>
      </c>
      <c r="D4" s="2146"/>
      <c r="E4" s="2146"/>
      <c r="F4" s="2146"/>
      <c r="G4" s="2146"/>
      <c r="H4" s="2146"/>
      <c r="I4" s="2146"/>
      <c r="J4" s="2146"/>
      <c r="K4" s="2213"/>
    </row>
    <row r="5" spans="1:33" s="2130" customFormat="1" ht="24.75">
      <c r="A5" s="2148" t="s">
        <v>1024</v>
      </c>
      <c r="B5" s="2149" t="s">
        <v>1025</v>
      </c>
      <c r="C5" s="2150" t="s">
        <v>1026</v>
      </c>
      <c r="D5" s="2150" t="s">
        <v>1027</v>
      </c>
      <c r="E5" s="2150" t="s">
        <v>1028</v>
      </c>
      <c r="F5" s="2150"/>
      <c r="G5" s="2150"/>
      <c r="H5" s="2150"/>
      <c r="I5" s="2150"/>
      <c r="J5" s="2150"/>
      <c r="K5" s="2150"/>
      <c r="L5" s="2214"/>
      <c r="M5" s="2214"/>
      <c r="N5" s="2214"/>
      <c r="O5" s="2214"/>
      <c r="P5" s="2214"/>
      <c r="Q5" s="2214"/>
      <c r="R5" s="2214"/>
      <c r="S5" s="2214"/>
      <c r="T5" s="2214"/>
      <c r="U5" s="2214"/>
      <c r="V5" s="2214"/>
      <c r="W5" s="2214"/>
      <c r="X5" s="2214"/>
      <c r="Y5" s="2214"/>
      <c r="Z5" s="2214"/>
      <c r="AA5" s="2214"/>
      <c r="AB5" s="2214"/>
      <c r="AC5" s="2214"/>
      <c r="AD5" s="2214"/>
      <c r="AE5" s="2214"/>
      <c r="AF5" s="2214"/>
      <c r="AG5" s="2214"/>
    </row>
    <row r="6" spans="1:33" s="2131" customFormat="1" ht="13.5" customHeight="1">
      <c r="A6" s="2151" t="s">
        <v>825</v>
      </c>
      <c r="B6" s="1857" t="s">
        <v>1029</v>
      </c>
      <c r="C6" s="2152"/>
      <c r="D6" s="2152"/>
      <c r="E6" s="2152"/>
      <c r="F6" s="2152"/>
      <c r="G6" s="2152"/>
      <c r="H6" s="2152"/>
      <c r="I6" s="2152"/>
      <c r="J6" s="2152"/>
      <c r="K6" s="2215"/>
      <c r="L6" s="2216"/>
      <c r="M6" s="2216"/>
      <c r="N6" s="2216"/>
      <c r="O6" s="2216"/>
      <c r="P6" s="2216"/>
      <c r="Q6" s="2216"/>
      <c r="R6" s="2216"/>
      <c r="S6" s="2216"/>
      <c r="T6" s="2216"/>
      <c r="U6" s="2216"/>
      <c r="V6" s="2216"/>
      <c r="W6" s="2216"/>
      <c r="X6" s="2216"/>
      <c r="Y6" s="2216"/>
      <c r="Z6" s="2216"/>
      <c r="AA6" s="2216"/>
      <c r="AB6" s="2216"/>
      <c r="AC6" s="2216"/>
      <c r="AD6" s="2216"/>
      <c r="AE6" s="2216"/>
      <c r="AF6" s="2216"/>
      <c r="AG6" s="2216"/>
    </row>
    <row r="7" spans="1:33" s="2131" customFormat="1" ht="13.5" customHeight="1">
      <c r="A7" s="2151" t="s">
        <v>829</v>
      </c>
      <c r="B7" s="1857" t="s">
        <v>361</v>
      </c>
      <c r="C7" s="2153">
        <f>SUMIF('数据-汇总表'!$C19:$C33,假设开发法!C5,'数据-汇总表'!$E19:$E33)</f>
        <v>0</v>
      </c>
      <c r="D7" s="2153">
        <f>SUMIF('数据-汇总表'!$C19:$C33,假设开发法!D5,'数据-汇总表'!$E19:$E33)</f>
        <v>0</v>
      </c>
      <c r="E7" s="2153">
        <f>SUMIF('数据-汇总表'!$C19:$C33,假设开发法!E5,'数据-汇总表'!$E19:$E33)</f>
        <v>6064.29</v>
      </c>
      <c r="F7" s="2153">
        <f>SUMIF('数据-汇总表'!$C19:$C33,假设开发法!F5,'数据-汇总表'!$E19:$E33)</f>
        <v>0</v>
      </c>
      <c r="G7" s="2153">
        <f>SUMIF('数据-汇总表'!$C19:$C33,假设开发法!G5,'数据-汇总表'!$E19:$E33)</f>
        <v>0</v>
      </c>
      <c r="H7" s="2153">
        <f>SUMIF('数据-汇总表'!$C19:$C33,假设开发法!H5,'数据-汇总表'!$E19:$E33)</f>
        <v>0</v>
      </c>
      <c r="I7" s="2153">
        <f>SUMIF('数据-汇总表'!$C19:$C33,假设开发法!I5,'数据-汇总表'!$E19:$E33)</f>
        <v>0</v>
      </c>
      <c r="J7" s="2153">
        <f>SUMIF('数据-汇总表'!$C19:$C33,假设开发法!J5,'数据-汇总表'!$E19:$E33)</f>
        <v>0</v>
      </c>
      <c r="K7" s="2217">
        <f>SUMIF('数据-汇总表'!$C19:$C33,假设开发法!K5,'数据-汇总表'!$E19:$E33)</f>
        <v>0</v>
      </c>
      <c r="L7" s="2216"/>
      <c r="M7" s="2216"/>
      <c r="N7" s="2216"/>
      <c r="O7" s="2216"/>
      <c r="P7" s="2216"/>
      <c r="Q7" s="2216"/>
      <c r="R7" s="2216"/>
      <c r="S7" s="2216"/>
      <c r="T7" s="2216"/>
      <c r="U7" s="2216"/>
      <c r="V7" s="2216"/>
      <c r="W7" s="2216"/>
      <c r="X7" s="2216"/>
      <c r="Y7" s="2216"/>
      <c r="Z7" s="2216"/>
      <c r="AA7" s="2216"/>
      <c r="AB7" s="2216"/>
      <c r="AC7" s="2216"/>
      <c r="AD7" s="2216"/>
      <c r="AE7" s="2216"/>
      <c r="AF7" s="2216"/>
      <c r="AG7" s="2216"/>
    </row>
    <row r="8" spans="1:33" s="2131" customFormat="1" ht="13.5" customHeight="1">
      <c r="A8" s="2154" t="s">
        <v>874</v>
      </c>
      <c r="B8" s="2155" t="s">
        <v>1030</v>
      </c>
      <c r="C8" s="2156"/>
      <c r="D8" s="2156"/>
      <c r="E8" s="2156"/>
      <c r="F8" s="2157"/>
      <c r="G8" s="2157"/>
      <c r="H8" s="2157"/>
      <c r="I8" s="2157"/>
      <c r="J8" s="2157"/>
      <c r="K8" s="2218"/>
      <c r="L8" s="2216"/>
      <c r="M8" s="2216"/>
      <c r="N8" s="2216"/>
      <c r="O8" s="2216"/>
      <c r="P8" s="2216"/>
      <c r="Q8" s="2216"/>
      <c r="R8" s="2216"/>
      <c r="S8" s="2216"/>
      <c r="T8" s="2216"/>
      <c r="U8" s="2216"/>
      <c r="V8" s="2216"/>
      <c r="W8" s="2216"/>
      <c r="X8" s="2216"/>
      <c r="Y8" s="2216"/>
      <c r="Z8" s="2216"/>
      <c r="AA8" s="2216"/>
      <c r="AB8" s="2216"/>
      <c r="AC8" s="2216"/>
      <c r="AD8" s="2216"/>
      <c r="AE8" s="2216"/>
      <c r="AF8" s="2216"/>
      <c r="AG8" s="2216"/>
    </row>
    <row r="9" spans="1:33" s="2129" customFormat="1" ht="16.5" customHeight="1">
      <c r="A9" s="2145" t="s">
        <v>1031</v>
      </c>
      <c r="B9" s="2146"/>
      <c r="C9" s="2146"/>
      <c r="D9" s="2146"/>
      <c r="E9" s="2146"/>
      <c r="F9" s="2146"/>
      <c r="G9" s="2146"/>
      <c r="H9" s="2146"/>
      <c r="I9" s="2146"/>
      <c r="J9" s="2146"/>
      <c r="K9" s="2213"/>
    </row>
    <row r="10" spans="1:33" s="2132" customFormat="1" ht="13.5" customHeight="1">
      <c r="A10" s="2148" t="s">
        <v>1024</v>
      </c>
      <c r="B10" s="2158" t="s">
        <v>1025</v>
      </c>
      <c r="C10" s="2159" t="s">
        <v>1032</v>
      </c>
      <c r="D10" s="2160" t="s">
        <v>1033</v>
      </c>
      <c r="E10" s="2160" t="s">
        <v>1034</v>
      </c>
      <c r="F10" s="2160" t="s">
        <v>1035</v>
      </c>
      <c r="G10" s="2158"/>
      <c r="H10" s="2161"/>
      <c r="I10" s="2161"/>
      <c r="J10" s="2161"/>
      <c r="K10" s="2219"/>
    </row>
    <row r="11" spans="1:33" s="2133" customFormat="1" ht="13.5" customHeight="1">
      <c r="A11" s="2162" t="s">
        <v>931</v>
      </c>
      <c r="B11" s="2163" t="s">
        <v>1036</v>
      </c>
      <c r="C11" s="2164">
        <f ca="1">IF(C1="",'数据-取费表'!P16,INDIRECT("'数据-取费表'!p"&amp;$K$1)+INDIRECT("'数据-取费表'!ar"&amp;$K$1))</f>
        <v>0</v>
      </c>
      <c r="D11" s="2165"/>
      <c r="E11" s="1860"/>
      <c r="F11" s="2166">
        <f ca="1">1-IF('数据-取费表'!B24=0,1,IF(C1="",'数据-取费表'!N16,INDIRECT("'数据-取费表'!n"&amp;$K$1)))</f>
        <v>0</v>
      </c>
      <c r="G11" s="2158"/>
      <c r="H11" s="2161"/>
      <c r="I11" s="2161"/>
      <c r="J11" s="2161"/>
      <c r="K11" s="2219"/>
    </row>
    <row r="12" spans="1:33" s="2133" customFormat="1" ht="13.5" customHeight="1">
      <c r="A12" s="2162" t="s">
        <v>935</v>
      </c>
      <c r="B12" s="2163" t="s">
        <v>1037</v>
      </c>
      <c r="C12" s="293">
        <f ca="1">ROUND(C11*F12,0)</f>
        <v>0</v>
      </c>
      <c r="D12" s="2165"/>
      <c r="E12" s="1860"/>
      <c r="F12" s="2167">
        <f>'数据-取费表'!B33</f>
        <v>0.03</v>
      </c>
      <c r="G12" s="2158" t="s">
        <v>1038</v>
      </c>
      <c r="H12" s="2161"/>
      <c r="I12" s="2161"/>
      <c r="J12" s="2161"/>
      <c r="K12" s="2219"/>
    </row>
    <row r="13" spans="1:33" s="2133" customFormat="1" ht="13.5" customHeight="1">
      <c r="A13" s="2162" t="s">
        <v>1039</v>
      </c>
      <c r="B13" s="2163" t="s">
        <v>1040</v>
      </c>
      <c r="C13" s="293">
        <f ca="1">ROUND(IF(C1="",SUMIF('数据-取费表'!C:C,"住宅",'数据-取费表'!P:P)*F13,IF(INDIRECT("'数据-取费表'!c"&amp;$K$1)="住宅",INDIRECT("'数据-取费表'!P"&amp;$K$1)*F13,0)),0)</f>
        <v>0</v>
      </c>
      <c r="D13" s="2168"/>
      <c r="E13" s="1860"/>
      <c r="F13" s="2167">
        <f>'数据-取费表'!B34</f>
        <v>0</v>
      </c>
      <c r="G13" s="2158" t="s">
        <v>1041</v>
      </c>
      <c r="H13" s="2161"/>
      <c r="I13" s="2161"/>
      <c r="J13" s="2161"/>
      <c r="K13" s="2219"/>
    </row>
    <row r="14" spans="1:33" s="2134" customFormat="1" ht="13.5" customHeight="1">
      <c r="A14" s="2162" t="s">
        <v>1042</v>
      </c>
      <c r="B14" s="2163" t="s">
        <v>1043</v>
      </c>
      <c r="C14" s="293">
        <f ca="1">ROUND(D14*E14*F11/10000,0)</f>
        <v>0</v>
      </c>
      <c r="D14" s="2168">
        <f ca="1">IF(C1="",'数据-汇总表'!E3,INDIRECT("'数据-取费表'!K"&amp;$K$1)+INDIRECT("'数据-取费表'!S"&amp;$K$1))</f>
        <v>16578.28</v>
      </c>
      <c r="E14" s="293">
        <f>'数据-取费表'!B35</f>
        <v>200</v>
      </c>
      <c r="F14" s="2167"/>
      <c r="G14" s="2158" t="s">
        <v>1044</v>
      </c>
      <c r="H14" s="2161"/>
      <c r="I14" s="2161"/>
      <c r="J14" s="2161"/>
      <c r="K14" s="2219"/>
      <c r="L14" s="2133"/>
      <c r="M14" s="2133"/>
      <c r="N14" s="2133"/>
      <c r="O14" s="2133"/>
      <c r="P14" s="2133"/>
      <c r="Q14" s="2133"/>
      <c r="R14" s="2133"/>
      <c r="S14" s="2133"/>
      <c r="T14" s="2133"/>
      <c r="U14" s="2133"/>
      <c r="V14" s="2133"/>
      <c r="W14" s="2133"/>
      <c r="X14" s="2133"/>
      <c r="Y14" s="2133"/>
      <c r="Z14" s="2133"/>
      <c r="AA14" s="2133"/>
      <c r="AB14" s="2133"/>
      <c r="AC14" s="2133"/>
      <c r="AD14" s="2133"/>
      <c r="AE14" s="2133"/>
      <c r="AF14" s="2133"/>
      <c r="AG14" s="2133"/>
    </row>
    <row r="15" spans="1:33" s="2134" customFormat="1" ht="13.5" customHeight="1">
      <c r="A15" s="2162" t="s">
        <v>1045</v>
      </c>
      <c r="B15" s="2163" t="s">
        <v>1046</v>
      </c>
      <c r="C15" s="2169">
        <f ca="1">ROUND(C11*F15,0)</f>
        <v>0</v>
      </c>
      <c r="D15" s="2170"/>
      <c r="E15" s="2169"/>
      <c r="F15" s="2171">
        <f>'数据-取费表'!B36</f>
        <v>1.4999999999999999E-2</v>
      </c>
      <c r="G15" s="1857" t="s">
        <v>1047</v>
      </c>
      <c r="H15" s="1971"/>
      <c r="I15" s="1971"/>
      <c r="J15" s="1971"/>
      <c r="K15" s="1972"/>
      <c r="L15" s="2133"/>
      <c r="M15" s="2133"/>
      <c r="N15" s="2133"/>
      <c r="O15" s="2133"/>
      <c r="P15" s="2133"/>
      <c r="Q15" s="2133"/>
      <c r="R15" s="2133"/>
      <c r="S15" s="2133"/>
      <c r="T15" s="2133"/>
      <c r="U15" s="2133"/>
      <c r="V15" s="2133"/>
      <c r="W15" s="2133"/>
      <c r="X15" s="2133"/>
      <c r="Y15" s="2133"/>
      <c r="Z15" s="2133"/>
      <c r="AA15" s="2133"/>
      <c r="AB15" s="2133"/>
      <c r="AC15" s="2133"/>
      <c r="AD15" s="2133"/>
      <c r="AE15" s="2133"/>
      <c r="AF15" s="2133"/>
      <c r="AG15" s="2133"/>
    </row>
    <row r="16" spans="1:33" s="2134" customFormat="1" ht="13.5" customHeight="1">
      <c r="A16" s="2162" t="s">
        <v>848</v>
      </c>
      <c r="B16" s="2163" t="s">
        <v>1048</v>
      </c>
      <c r="C16" s="2169">
        <f ca="1">SUM(C11:C15)</f>
        <v>0</v>
      </c>
      <c r="D16" s="2170"/>
      <c r="E16" s="2169"/>
      <c r="F16" s="2171"/>
      <c r="G16" s="1857"/>
      <c r="H16" s="2172"/>
      <c r="I16" s="1971"/>
      <c r="J16" s="1971"/>
      <c r="K16" s="1972"/>
      <c r="L16" s="2133"/>
      <c r="M16" s="2133"/>
      <c r="N16" s="2133"/>
      <c r="O16" s="2133"/>
      <c r="P16" s="2133"/>
      <c r="Q16" s="2133"/>
      <c r="R16" s="2133"/>
      <c r="S16" s="2133"/>
      <c r="T16" s="2133"/>
      <c r="U16" s="2133"/>
      <c r="V16" s="2133"/>
      <c r="W16" s="2133"/>
      <c r="X16" s="2133"/>
      <c r="Y16" s="2133"/>
      <c r="Z16" s="2133"/>
      <c r="AA16" s="2133"/>
      <c r="AB16" s="2133"/>
      <c r="AC16" s="2133"/>
      <c r="AD16" s="2133"/>
      <c r="AE16" s="2133"/>
      <c r="AF16" s="2133"/>
      <c r="AG16" s="2133"/>
    </row>
    <row r="17" spans="1:33" s="2134" customFormat="1" ht="13.5" customHeight="1">
      <c r="A17" s="2162" t="s">
        <v>852</v>
      </c>
      <c r="B17" s="2163" t="s">
        <v>1049</v>
      </c>
      <c r="C17" s="293">
        <f ca="1">ROUND(D17*E17/10000,0)</f>
        <v>0</v>
      </c>
      <c r="D17" s="2168">
        <f ca="1">D14</f>
        <v>16578.28</v>
      </c>
      <c r="E17" s="293">
        <f>'数据-取费表'!B32</f>
        <v>0</v>
      </c>
      <c r="F17" s="2170"/>
      <c r="G17" s="1857" t="s">
        <v>1050</v>
      </c>
      <c r="H17" s="2172"/>
      <c r="I17" s="1971"/>
      <c r="J17" s="1971"/>
      <c r="K17" s="1972"/>
      <c r="L17" s="2133"/>
      <c r="M17" s="2133"/>
      <c r="N17" s="2133"/>
      <c r="O17" s="2133"/>
      <c r="P17" s="2133"/>
      <c r="Q17" s="2133"/>
      <c r="R17" s="2133"/>
      <c r="S17" s="2133"/>
      <c r="T17" s="2133"/>
      <c r="U17" s="2133"/>
      <c r="V17" s="2133"/>
      <c r="W17" s="2133"/>
      <c r="X17" s="2133"/>
      <c r="Y17" s="2133"/>
      <c r="Z17" s="2133"/>
      <c r="AA17" s="2133"/>
      <c r="AB17" s="2133"/>
      <c r="AC17" s="2133"/>
      <c r="AD17" s="2133"/>
      <c r="AE17" s="2133"/>
      <c r="AF17" s="2133"/>
      <c r="AG17" s="2133"/>
    </row>
    <row r="18" spans="1:33" s="2133" customFormat="1" ht="13.5" customHeight="1">
      <c r="A18" s="2162" t="s">
        <v>1051</v>
      </c>
      <c r="B18" s="2163" t="s">
        <v>1052</v>
      </c>
      <c r="C18" s="293">
        <f ca="1">C19+C20-IF(C1="",'数据-取费表'!B29,IF(G18="已全部缴纳",C19+C20,H18))</f>
        <v>122</v>
      </c>
      <c r="D18" s="2168"/>
      <c r="E18" s="293"/>
      <c r="F18" s="2167"/>
      <c r="G18" s="2173"/>
      <c r="H18" s="2174"/>
      <c r="I18" s="2220" t="s">
        <v>1053</v>
      </c>
      <c r="J18" s="1971"/>
      <c r="K18" s="1972"/>
    </row>
    <row r="19" spans="1:33" s="2133" customFormat="1" ht="13.5" customHeight="1">
      <c r="A19" s="2162" t="s">
        <v>931</v>
      </c>
      <c r="B19" s="2163" t="s">
        <v>349</v>
      </c>
      <c r="C19" s="293">
        <f ca="1">ROUND(D19*E19/10000,0)</f>
        <v>0</v>
      </c>
      <c r="D19" s="2168">
        <f ca="1">IF(C1="",'数据-汇总表'!E5,IF(INDIRECT("'数据-取费表'!c"&amp;$K$1)="住宅",INDIRECT("'数据-取费表'!k"&amp;$K$1),0))</f>
        <v>0</v>
      </c>
      <c r="E19" s="293">
        <f>'数据-取费表'!B27</f>
        <v>0</v>
      </c>
      <c r="F19" s="2167"/>
      <c r="G19" s="1970"/>
      <c r="H19" s="2175"/>
      <c r="I19" s="2176"/>
      <c r="J19" s="2176"/>
      <c r="K19" s="2221"/>
    </row>
    <row r="20" spans="1:33" s="2133" customFormat="1" ht="13.5" customHeight="1">
      <c r="A20" s="2162" t="s">
        <v>935</v>
      </c>
      <c r="B20" s="2163" t="s">
        <v>1054</v>
      </c>
      <c r="C20" s="293">
        <f ca="1">ROUND(D20*E20/10000,0)</f>
        <v>332</v>
      </c>
      <c r="D20" s="2168">
        <f ca="1">IF(C1="",'数据-汇总表'!E6,IF(INDIRECT("'数据-取费表'!c"&amp;$K$1)="住宅",INDIRECT("'数据-取费表'!s"&amp;$K$1),INDIRECT("'数据-取费表'!k"&amp;$K$1)+INDIRECT("'数据-取费表'!s"&amp;$K$1)))</f>
        <v>16578.28</v>
      </c>
      <c r="E20" s="293">
        <f>'数据-取费表'!B28</f>
        <v>200</v>
      </c>
      <c r="F20" s="2167"/>
      <c r="G20" s="1970"/>
      <c r="H20" s="2176"/>
      <c r="I20" s="2176"/>
      <c r="J20" s="2176"/>
      <c r="K20" s="2221"/>
    </row>
    <row r="21" spans="1:33" s="2133" customFormat="1" ht="13.5" customHeight="1">
      <c r="A21" s="2151" t="s">
        <v>825</v>
      </c>
      <c r="B21" s="2177" t="s">
        <v>1055</v>
      </c>
      <c r="C21" s="2178">
        <f ca="1">C16+C17+C18</f>
        <v>122</v>
      </c>
      <c r="D21" s="2179"/>
      <c r="E21" s="2180"/>
      <c r="F21" s="2180"/>
      <c r="G21" s="1857" t="s">
        <v>1056</v>
      </c>
      <c r="H21" s="1971"/>
      <c r="I21" s="1971"/>
      <c r="J21" s="1971"/>
      <c r="K21" s="1972"/>
    </row>
    <row r="22" spans="1:33" s="2133" customFormat="1" ht="13.5" customHeight="1">
      <c r="A22" s="2151" t="s">
        <v>829</v>
      </c>
      <c r="B22" s="2177" t="s">
        <v>1057</v>
      </c>
      <c r="C22" s="2178">
        <f ca="1">ROUND(C21*F22,0)</f>
        <v>2</v>
      </c>
      <c r="D22" s="2180"/>
      <c r="E22" s="2180"/>
      <c r="F22" s="2181">
        <f>'数据-取费表'!B37</f>
        <v>0.02</v>
      </c>
      <c r="G22" s="2158" t="s">
        <v>1058</v>
      </c>
      <c r="H22" s="2161"/>
      <c r="I22" s="2161"/>
      <c r="J22" s="2161"/>
      <c r="K22" s="2219"/>
    </row>
    <row r="23" spans="1:33" s="2133" customFormat="1" ht="13.5" customHeight="1">
      <c r="A23" s="2151" t="s">
        <v>874</v>
      </c>
      <c r="B23" s="2177" t="s">
        <v>1059</v>
      </c>
      <c r="C23" s="2178">
        <f ca="1">ROUND(C4*F23*F11,0)</f>
        <v>0</v>
      </c>
      <c r="D23" s="2180"/>
      <c r="E23" s="2180"/>
      <c r="F23" s="2181">
        <f>'数据-取费表'!B38</f>
        <v>0.02</v>
      </c>
      <c r="G23" s="2158" t="s">
        <v>1060</v>
      </c>
      <c r="H23" s="2161"/>
      <c r="I23" s="2161"/>
      <c r="J23" s="2161"/>
      <c r="K23" s="2219"/>
    </row>
    <row r="24" spans="1:33" s="2133" customFormat="1" ht="13.5" customHeight="1">
      <c r="A24" s="2151" t="s">
        <v>877</v>
      </c>
      <c r="B24" s="2177" t="s">
        <v>1061</v>
      </c>
      <c r="C24" s="2182">
        <f>ROUND(F24/(1+'数据-取费表'!C42),4)</f>
        <v>2.9000000000000001E-2</v>
      </c>
      <c r="D24" s="2180" t="s">
        <v>1062</v>
      </c>
      <c r="E24" s="2180"/>
      <c r="F24" s="2181">
        <f>IF(项目基本情况!B8="出让",0,'数据-取费表'!B48+'数据-取费表'!B49)</f>
        <v>3.0499999999999999E-2</v>
      </c>
      <c r="G24" s="2158" t="s">
        <v>1063</v>
      </c>
      <c r="H24" s="2183"/>
      <c r="I24" s="2183"/>
      <c r="J24" s="2183"/>
      <c r="K24" s="2222"/>
    </row>
    <row r="25" spans="1:33" s="2133" customFormat="1" ht="13.5" customHeight="1">
      <c r="A25" s="2151" t="s">
        <v>881</v>
      </c>
      <c r="B25" s="2179" t="s">
        <v>1064</v>
      </c>
      <c r="C25" s="2184">
        <f ca="1">C27</f>
        <v>0</v>
      </c>
      <c r="D25" s="2182">
        <f ca="1">C26</f>
        <v>0</v>
      </c>
      <c r="E25" s="2185" t="s">
        <v>1062</v>
      </c>
      <c r="F25" s="2186">
        <f ca="1">'数据-取费表'!B40</f>
        <v>4.2000000000000003E-2</v>
      </c>
      <c r="G25" s="1857" t="str">
        <f>IF('数据-取费表'!B22&lt;=1,"单利计息。","复利计息。")&amp;"后续开发成本、管理费用及销售费用产生的利息。"</f>
        <v>复利计息。后续开发成本、管理费用及销售费用产生的利息。</v>
      </c>
      <c r="H25" s="2183"/>
      <c r="I25" s="2183"/>
      <c r="J25" s="2183"/>
      <c r="K25" s="2222"/>
    </row>
    <row r="26" spans="1:33" s="2135" customFormat="1" ht="13.5" customHeight="1">
      <c r="A26" s="2162" t="s">
        <v>848</v>
      </c>
      <c r="B26" s="2187" t="s">
        <v>1065</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（(1)+取得税费率）/(1+5%)×((1+年利率)^建设期-1)</v>
      </c>
      <c r="H26" s="1971"/>
      <c r="I26" s="1971"/>
      <c r="J26" s="1971"/>
      <c r="K26" s="1972"/>
    </row>
    <row r="27" spans="1:33" s="2135" customFormat="1" ht="13.5" customHeight="1">
      <c r="A27" s="2162" t="s">
        <v>852</v>
      </c>
      <c r="B27" s="2187" t="s">
        <v>1066</v>
      </c>
      <c r="C27" s="2193">
        <f ca="1">ROUND(IF('数据-取费表'!B22&lt;=1,(C21+C22+C23)*F25*'数据-取费表'!B24/2,(C21+C22+C23)*(POWER((1+F25),'数据-取费表'!B24/2)-1)),0)</f>
        <v>0</v>
      </c>
      <c r="D27" s="2189"/>
      <c r="E27" s="2190"/>
      <c r="F27" s="2191"/>
      <c r="G27" s="2192" t="str">
        <f>IF('数据-取费表'!B22&lt;=1,"（1）-（3）项×年利率×建设期÷2","（1）-（3）项×((1+年利率)^(建设期÷2)-1)")</f>
        <v>（1）-（3）项×((1+年利率)^(建设期÷2)-1)</v>
      </c>
      <c r="H27" s="1971"/>
      <c r="I27" s="1971"/>
      <c r="J27" s="1971"/>
      <c r="K27" s="1972"/>
    </row>
    <row r="28" spans="1:33" s="2136" customFormat="1" ht="13.5" customHeight="1">
      <c r="A28" s="2151" t="s">
        <v>882</v>
      </c>
      <c r="B28" s="2194" t="s">
        <v>1067</v>
      </c>
      <c r="C28" s="2195">
        <f ca="1">C30</f>
        <v>14</v>
      </c>
      <c r="D28" s="2182">
        <f ca="1">C29</f>
        <v>0</v>
      </c>
      <c r="E28" s="2185" t="s">
        <v>1062</v>
      </c>
      <c r="F28" s="1139">
        <f ca="1">IF(C1="",'数据-取费表'!Q16,INDIRECT("'数据-取费表'!q"&amp;$K$1))</f>
        <v>0.11</v>
      </c>
      <c r="G28" s="2196"/>
      <c r="H28" s="2183"/>
      <c r="I28" s="2183"/>
      <c r="J28" s="2183"/>
      <c r="K28" s="2222"/>
    </row>
    <row r="29" spans="1:33" s="2137" customFormat="1" ht="13.5" customHeight="1">
      <c r="A29" s="2162" t="s">
        <v>848</v>
      </c>
      <c r="B29" s="2197" t="s">
        <v>1068</v>
      </c>
      <c r="C29" s="2189">
        <f ca="1">ROUND((1+C24)*F28*'数据-取费表'!B24/'数据-取费表'!B20,4)</f>
        <v>0</v>
      </c>
      <c r="D29" s="2189"/>
      <c r="E29" s="2190"/>
      <c r="F29" s="2198"/>
      <c r="G29" s="1857" t="s">
        <v>1069</v>
      </c>
      <c r="H29" s="1971"/>
      <c r="I29" s="1971"/>
      <c r="J29" s="1971"/>
      <c r="K29" s="1972"/>
    </row>
    <row r="30" spans="1:33" s="2137" customFormat="1" ht="13.5" customHeight="1">
      <c r="A30" s="2162" t="s">
        <v>852</v>
      </c>
      <c r="B30" s="2197" t="s">
        <v>1070</v>
      </c>
      <c r="C30" s="2199">
        <f ca="1">ROUND((C21+C22+C23)*F28,0)</f>
        <v>14</v>
      </c>
      <c r="D30" s="2189"/>
      <c r="E30" s="2190"/>
      <c r="F30" s="2198"/>
      <c r="G30" s="1857"/>
      <c r="H30" s="1971"/>
      <c r="I30" s="1971"/>
      <c r="J30" s="1971"/>
      <c r="K30" s="1972"/>
    </row>
    <row r="31" spans="1:33" s="2133" customFormat="1" ht="13.5" customHeight="1">
      <c r="A31" s="2200" t="s">
        <v>1071</v>
      </c>
      <c r="B31" s="2201" t="s">
        <v>1072</v>
      </c>
      <c r="C31" s="2202">
        <f>ROUND(C4*F31/(1+'数据-取费表'!C42),0)</f>
        <v>0</v>
      </c>
      <c r="D31" s="2203"/>
      <c r="E31" s="2204"/>
      <c r="F31" s="2205">
        <f>'数据-取费表'!B41</f>
        <v>5.6000000000000001E-2</v>
      </c>
      <c r="G31" s="2206" t="s">
        <v>1073</v>
      </c>
      <c r="H31" s="2207"/>
      <c r="I31" s="2207"/>
      <c r="J31" s="2207"/>
      <c r="K31" s="2223"/>
    </row>
    <row r="32" spans="1:33" s="2132" customFormat="1" ht="13.5" customHeight="1">
      <c r="A32" s="2208" t="s">
        <v>1074</v>
      </c>
      <c r="B32" s="2209"/>
      <c r="C32" s="2210">
        <f ca="1">ROUND((C4-C21-C22-C23-C25-C28-C31)/(1+C24+D25+D28),0)</f>
        <v>-134</v>
      </c>
      <c r="D32" s="2209"/>
      <c r="E32" s="2209"/>
      <c r="F32" s="2209"/>
      <c r="G32" s="2211" t="s">
        <v>1075</v>
      </c>
      <c r="H32" s="2209"/>
      <c r="I32" s="2209"/>
      <c r="J32" s="2209"/>
      <c r="K32" s="2224"/>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42" sqref="H42"/>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1076</v>
      </c>
      <c r="B1" s="1129"/>
      <c r="C1" s="1788" t="s">
        <v>528</v>
      </c>
      <c r="D1" s="1789" t="s">
        <v>124</v>
      </c>
      <c r="E1" s="1790" t="s">
        <v>1077</v>
      </c>
      <c r="F1" s="1791">
        <f ca="1">J53</f>
        <v>16.829999999999998</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1078</v>
      </c>
      <c r="B2" s="1794">
        <f ca="1">C40+J29+L46</f>
        <v>26654</v>
      </c>
      <c r="C2" s="1795" t="s">
        <v>1079</v>
      </c>
      <c r="D2" s="1795"/>
      <c r="E2" s="1797"/>
      <c r="F2" s="1798"/>
      <c r="G2" s="1799"/>
      <c r="H2" s="1800"/>
      <c r="I2" s="1800"/>
      <c r="J2" s="1800"/>
      <c r="K2" s="1958"/>
      <c r="L2" s="1800"/>
      <c r="M2" s="1800"/>
    </row>
    <row r="3" spans="1:37" ht="18" customHeight="1">
      <c r="A3" s="1801" t="s">
        <v>1080</v>
      </c>
      <c r="B3" s="1802">
        <f ca="1">IF(ISERROR(B2*10000/F43),0,ROUND(B2*10000/F43,0))</f>
        <v>25351</v>
      </c>
      <c r="C3" s="1795" t="s">
        <v>1081</v>
      </c>
      <c r="D3" s="1795"/>
      <c r="E3" s="1797"/>
      <c r="F3" s="1798"/>
      <c r="G3" s="1799"/>
      <c r="H3" s="1803" t="s">
        <v>1082</v>
      </c>
      <c r="I3" s="1959"/>
      <c r="J3" s="1959"/>
      <c r="K3" s="1960"/>
      <c r="L3" s="1959"/>
      <c r="M3" s="1959"/>
    </row>
    <row r="4" spans="1:37" ht="18" customHeight="1">
      <c r="A4" s="1804" t="s">
        <v>1083</v>
      </c>
      <c r="B4" s="1805" t="s">
        <v>1084</v>
      </c>
      <c r="C4" s="1805" t="s">
        <v>1085</v>
      </c>
      <c r="D4" s="1805" t="s">
        <v>1086</v>
      </c>
      <c r="E4" s="1806" t="s">
        <v>1087</v>
      </c>
      <c r="F4" s="1807"/>
      <c r="G4" s="773"/>
      <c r="H4" s="1804" t="s">
        <v>1083</v>
      </c>
      <c r="I4" s="1805" t="s">
        <v>1084</v>
      </c>
      <c r="J4" s="1805" t="s">
        <v>1085</v>
      </c>
      <c r="K4" s="1805" t="s">
        <v>1086</v>
      </c>
      <c r="L4" s="1806" t="s">
        <v>1087</v>
      </c>
      <c r="M4" s="1807"/>
    </row>
    <row r="5" spans="1:37" ht="18" customHeight="1">
      <c r="A5" s="1808">
        <v>1</v>
      </c>
      <c r="B5" s="1809" t="s">
        <v>1088</v>
      </c>
      <c r="C5" s="1810">
        <f ca="1">C6+C10+C12</f>
        <v>2613</v>
      </c>
      <c r="D5" s="1811" t="s">
        <v>1089</v>
      </c>
      <c r="E5" s="1812"/>
      <c r="F5" s="1813"/>
      <c r="G5" s="773"/>
      <c r="H5" s="1808">
        <v>1</v>
      </c>
      <c r="I5" s="1809" t="s">
        <v>1088</v>
      </c>
      <c r="J5" s="1810">
        <f ca="1">J6+J10+J12</f>
        <v>0</v>
      </c>
      <c r="K5" s="1811" t="s">
        <v>1089</v>
      </c>
      <c r="L5" s="1812"/>
      <c r="M5" s="1813"/>
    </row>
    <row r="6" spans="1:37" ht="18" customHeight="1">
      <c r="A6" s="1814" t="s">
        <v>825</v>
      </c>
      <c r="B6" s="3473" t="s">
        <v>1090</v>
      </c>
      <c r="C6" s="1815">
        <f ca="1">ROUND(F6*F8*F7*(1-F9)/10000,0)</f>
        <v>2610</v>
      </c>
      <c r="D6" s="1816" t="s">
        <v>1091</v>
      </c>
      <c r="E6" s="1817" t="s">
        <v>1092</v>
      </c>
      <c r="F6" s="1818">
        <f ca="1">INDIRECT("'数据-取费表'!u"&amp;$G$1)</f>
        <v>8</v>
      </c>
      <c r="G6" s="773"/>
      <c r="H6" s="1814" t="s">
        <v>825</v>
      </c>
      <c r="I6" s="3473" t="s">
        <v>1090</v>
      </c>
      <c r="J6" s="1889">
        <f ca="1">ROUND(M6*M8*M7*(1-M9)/10000,0)</f>
        <v>0</v>
      </c>
      <c r="K6" s="1816" t="s">
        <v>1093</v>
      </c>
      <c r="L6" s="1817" t="s">
        <v>1092</v>
      </c>
      <c r="M6" s="1818">
        <f ca="1">INDIRECT("'数据-取费表'!z"&amp;$G$1)</f>
        <v>0</v>
      </c>
    </row>
    <row r="7" spans="1:37" ht="18" customHeight="1">
      <c r="A7" s="1819"/>
      <c r="B7" s="3474"/>
      <c r="C7" s="1820"/>
      <c r="D7" s="1821"/>
      <c r="E7" s="1822" t="s">
        <v>1094</v>
      </c>
      <c r="F7" s="1818">
        <f ca="1">IF(INDIRECT("'数据-取费表'!ah"&amp;$G$1)="",INDIRECT("'数据-取费表'!k"&amp;$G$1),INDIRECT("'数据-取费表'!ah"&amp;$G$1))</f>
        <v>10513.99</v>
      </c>
      <c r="G7" s="773"/>
      <c r="H7" s="1823"/>
      <c r="I7" s="3474"/>
      <c r="J7" s="1824"/>
      <c r="K7" s="1821"/>
      <c r="L7" s="1817" t="s">
        <v>1094</v>
      </c>
      <c r="M7" s="1818">
        <f ca="1">F7</f>
        <v>10513.99</v>
      </c>
    </row>
    <row r="8" spans="1:37" ht="18" customHeight="1">
      <c r="A8" s="1823"/>
      <c r="B8" s="3474"/>
      <c r="C8" s="1824"/>
      <c r="D8" s="1821"/>
      <c r="E8" s="1817" t="s">
        <v>1095</v>
      </c>
      <c r="F8" s="1818">
        <f ca="1">INDIRECT("'数据-取费表'!ai"&amp;$G$1)</f>
        <v>365</v>
      </c>
      <c r="G8" s="773"/>
      <c r="H8" s="1823"/>
      <c r="I8" s="3474"/>
      <c r="J8" s="1824"/>
      <c r="K8" s="1821"/>
      <c r="L8" s="1817" t="s">
        <v>1095</v>
      </c>
      <c r="M8" s="1818">
        <f ca="1">INDIRECT("'数据-取费表'!ai"&amp;$G$1)</f>
        <v>365</v>
      </c>
    </row>
    <row r="9" spans="1:37" ht="18" customHeight="1">
      <c r="A9" s="1823"/>
      <c r="B9" s="3475"/>
      <c r="C9" s="1824"/>
      <c r="D9" s="1821"/>
      <c r="E9" s="1817" t="s">
        <v>1096</v>
      </c>
      <c r="F9" s="1825">
        <f ca="1">INDIRECT("'数据-取费表'!w"&amp;$G$1)</f>
        <v>0.15</v>
      </c>
      <c r="G9" s="773"/>
      <c r="H9" s="1823"/>
      <c r="I9" s="3475"/>
      <c r="J9" s="1824"/>
      <c r="K9" s="1821"/>
      <c r="L9" s="1828" t="s">
        <v>1096</v>
      </c>
      <c r="M9" s="1833">
        <f ca="1">INDIRECT("'数据-取费表'!ab"&amp;$G$1)</f>
        <v>0</v>
      </c>
    </row>
    <row r="10" spans="1:37" ht="18" customHeight="1">
      <c r="A10" s="1814" t="s">
        <v>829</v>
      </c>
      <c r="B10" s="1826" t="s">
        <v>1097</v>
      </c>
      <c r="C10" s="292">
        <f ca="1">ROUND(IF(F10="押一",C6/12*F11,IF(F10="押二",C6/12*2*F11,IF(F10="押三",C6/12*3*F11,C11*F11))),0)</f>
        <v>3</v>
      </c>
      <c r="D10" s="1827" t="s">
        <v>1098</v>
      </c>
      <c r="E10" s="1828" t="s">
        <v>1099</v>
      </c>
      <c r="F10" s="1829" t="s">
        <v>1100</v>
      </c>
      <c r="G10" s="773"/>
      <c r="H10" s="1814" t="s">
        <v>829</v>
      </c>
      <c r="I10" s="1826" t="s">
        <v>1097</v>
      </c>
      <c r="J10" s="1889">
        <f ca="1">ROUND(IF(M10="押一",J6/12*M11,IF(M10="押二",J6/12*2*M11,IF(M10="押三",J6/12*3*M11,J11*M11))),0)</f>
        <v>0</v>
      </c>
      <c r="K10" s="1827" t="s">
        <v>1098</v>
      </c>
      <c r="L10" s="1828" t="s">
        <v>1099</v>
      </c>
      <c r="M10" s="1829" t="s">
        <v>1101</v>
      </c>
    </row>
    <row r="11" spans="1:37" ht="18" customHeight="1">
      <c r="A11" s="1830"/>
      <c r="B11" s="1831" t="s">
        <v>1102</v>
      </c>
      <c r="C11" s="1832"/>
      <c r="D11" s="2122"/>
      <c r="E11" s="1828" t="s">
        <v>1103</v>
      </c>
      <c r="F11" s="1833">
        <f ca="1">'数据-取费表'!B39</f>
        <v>1.4999999999999999E-2</v>
      </c>
      <c r="G11" s="773"/>
      <c r="H11" s="1834"/>
      <c r="I11" s="1831" t="s">
        <v>1102</v>
      </c>
      <c r="J11" s="1832"/>
      <c r="K11" s="1963"/>
      <c r="L11" s="1828" t="s">
        <v>1103</v>
      </c>
      <c r="M11" s="1964">
        <f ca="1">'数据-取费表'!B39</f>
        <v>1.4999999999999999E-2</v>
      </c>
    </row>
    <row r="12" spans="1:37" ht="18" customHeight="1">
      <c r="A12" s="1835" t="s">
        <v>874</v>
      </c>
      <c r="B12" s="1836" t="s">
        <v>1104</v>
      </c>
      <c r="C12" s="1837"/>
      <c r="D12" s="1838"/>
      <c r="E12" s="1839"/>
      <c r="F12" s="1840"/>
      <c r="G12" s="773"/>
      <c r="H12" s="1835" t="s">
        <v>874</v>
      </c>
      <c r="I12" s="1836" t="s">
        <v>1104</v>
      </c>
      <c r="J12" s="1837"/>
      <c r="K12" s="1965"/>
      <c r="L12" s="1839"/>
      <c r="M12" s="1966"/>
    </row>
    <row r="13" spans="1:37" ht="18" customHeight="1">
      <c r="A13" s="1841">
        <v>2</v>
      </c>
      <c r="B13" s="1842" t="s">
        <v>1105</v>
      </c>
      <c r="C13" s="1843">
        <f ca="1">ROUND(C29*F13,0)</f>
        <v>3279</v>
      </c>
      <c r="D13" s="1844" t="s">
        <v>1106</v>
      </c>
      <c r="E13" s="1844" t="s">
        <v>1107</v>
      </c>
      <c r="F13" s="1845">
        <f ca="1">INDIRECT("'数据-取费表'!y"&amp;$G$1)</f>
        <v>0.71</v>
      </c>
      <c r="G13" s="773"/>
      <c r="H13" s="1841">
        <v>2</v>
      </c>
      <c r="I13" s="1842" t="s">
        <v>1105</v>
      </c>
      <c r="J13" s="1967">
        <f ca="1">ROUND(J14*J15,0)</f>
        <v>0</v>
      </c>
      <c r="K13" s="1867" t="s">
        <v>1106</v>
      </c>
      <c r="L13" s="1968"/>
      <c r="M13" s="1969"/>
    </row>
    <row r="14" spans="1:37" ht="18" customHeight="1">
      <c r="A14" s="1846" t="s">
        <v>848</v>
      </c>
      <c r="B14" s="1817" t="s">
        <v>1108</v>
      </c>
      <c r="C14" s="1847">
        <f ca="1">INDIRECT("'数据-取费表'!m"&amp;$G$1)+INDIRECT("'数据-取费表'!t"&amp;$G$1)</f>
        <v>3154</v>
      </c>
      <c r="D14" s="1848" t="s">
        <v>1109</v>
      </c>
      <c r="E14" s="1849"/>
      <c r="F14" s="1850"/>
      <c r="G14" s="773"/>
      <c r="H14" s="1846" t="s">
        <v>825</v>
      </c>
      <c r="I14" s="1817" t="s">
        <v>1110</v>
      </c>
      <c r="J14" s="293">
        <f ca="1">C29</f>
        <v>4618</v>
      </c>
      <c r="K14" s="1970"/>
      <c r="L14" s="1971"/>
      <c r="M14" s="1972"/>
    </row>
    <row r="15" spans="1:37" s="1785" customFormat="1" ht="18" customHeight="1">
      <c r="A15" s="1846" t="s">
        <v>852</v>
      </c>
      <c r="B15" s="1817" t="s">
        <v>1037</v>
      </c>
      <c r="C15" s="293">
        <f ca="1">ROUND(C14*F15,0)</f>
        <v>95</v>
      </c>
      <c r="D15" s="1851" t="s">
        <v>1111</v>
      </c>
      <c r="E15" s="1851" t="s">
        <v>1112</v>
      </c>
      <c r="F15" s="1852">
        <f>'数据-取费表'!B33</f>
        <v>0.03</v>
      </c>
      <c r="G15" s="1853"/>
      <c r="H15" s="1854" t="s">
        <v>829</v>
      </c>
      <c r="I15" s="1839" t="s">
        <v>1107</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855</v>
      </c>
      <c r="B16" s="1817" t="s">
        <v>1040</v>
      </c>
      <c r="C16" s="293">
        <f ca="1">ROUND(INDIRECT("'数据-取费表'!m"&amp;$G$1)*F16,0)</f>
        <v>0</v>
      </c>
      <c r="D16" s="1817" t="s">
        <v>1111</v>
      </c>
      <c r="E16" s="1817" t="s">
        <v>1112</v>
      </c>
      <c r="F16" s="1855">
        <f ca="1">IF(INDIRECT("'数据-取费表'!c"&amp;$G$1)="住宅",'数据-取费表'!B34,0)</f>
        <v>0</v>
      </c>
      <c r="G16" s="773"/>
      <c r="H16" s="1841" t="s">
        <v>1113</v>
      </c>
      <c r="I16" s="1842" t="s">
        <v>1114</v>
      </c>
      <c r="J16" s="1843">
        <f ca="1">ROUND(J17+J22+J23+J24,0)</f>
        <v>91</v>
      </c>
      <c r="K16" s="1867" t="s">
        <v>1115</v>
      </c>
      <c r="L16" s="1868"/>
      <c r="M16" s="1813"/>
    </row>
    <row r="17" spans="1:37" s="1785" customFormat="1" ht="18" customHeight="1">
      <c r="A17" s="1846" t="s">
        <v>1116</v>
      </c>
      <c r="B17" s="1817" t="s">
        <v>1117</v>
      </c>
      <c r="C17" s="293">
        <f ca="1">ROUND(F17*(F43+INDIRECT("'数据-取费表'!S"&amp;$G$1))/10000,0)</f>
        <v>210</v>
      </c>
      <c r="D17" s="1817" t="s">
        <v>1118</v>
      </c>
      <c r="E17" s="1817" t="s">
        <v>1119</v>
      </c>
      <c r="F17" s="1856">
        <f>'数据-取费表'!B35</f>
        <v>200</v>
      </c>
      <c r="G17" s="1853"/>
      <c r="H17" s="1846" t="s">
        <v>825</v>
      </c>
      <c r="I17" s="1817" t="s">
        <v>1120</v>
      </c>
      <c r="J17" s="1870">
        <f ca="1">ROUND(IF(AND(项目基本情况!B11="自然人",项目基本情况!B10="北京市"),J6*M17/(1+'数据-取费表'!C42),J18+J19+J20),0)</f>
        <v>45</v>
      </c>
      <c r="K17" s="1848" t="s">
        <v>1121</v>
      </c>
      <c r="L17" s="1871" t="s">
        <v>1122</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1123</v>
      </c>
      <c r="B18" s="1817" t="s">
        <v>1046</v>
      </c>
      <c r="C18" s="293">
        <f ca="1">ROUND(C14*F18,0)</f>
        <v>47</v>
      </c>
      <c r="D18" s="1817" t="s">
        <v>1111</v>
      </c>
      <c r="E18" s="1817" t="s">
        <v>1112</v>
      </c>
      <c r="F18" s="1855">
        <f>'数据-取费表'!B36</f>
        <v>1.4999999999999999E-2</v>
      </c>
      <c r="G18" s="1853"/>
      <c r="H18" s="1846" t="s">
        <v>848</v>
      </c>
      <c r="I18" s="1817" t="s">
        <v>1124</v>
      </c>
      <c r="J18" s="293">
        <f ca="1">ROUND(J6*M18/(1+'数据-取费表'!C42),2)</f>
        <v>0</v>
      </c>
      <c r="K18" s="1871" t="s">
        <v>1125</v>
      </c>
      <c r="L18" s="1817" t="s">
        <v>1112</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825</v>
      </c>
      <c r="B19" s="1817" t="s">
        <v>1126</v>
      </c>
      <c r="C19" s="293">
        <f ca="1">SUM(C14:C18)</f>
        <v>3506</v>
      </c>
      <c r="D19" s="1857" t="s">
        <v>1127</v>
      </c>
      <c r="E19" s="295"/>
      <c r="F19" s="1856"/>
      <c r="G19" s="773"/>
      <c r="H19" s="1846" t="s">
        <v>852</v>
      </c>
      <c r="I19" s="1817" t="s">
        <v>1128</v>
      </c>
      <c r="J19" s="293">
        <f ca="1">IF(K19="按租金收入计税",ROUND(J6*M19/(1+'数据-取费表'!C42),2),ROUND(C29*M19*0.7,2))</f>
        <v>38.79</v>
      </c>
      <c r="K19" s="1874" t="s">
        <v>1129</v>
      </c>
      <c r="L19" s="1817" t="s">
        <v>1112</v>
      </c>
      <c r="M19" s="1855">
        <f>IF(K19="按租金收入计税",'数据-取费表'!B51,'数据-取费表'!B50)</f>
        <v>1.2E-2</v>
      </c>
    </row>
    <row r="20" spans="1:37" s="1785" customFormat="1" ht="18" customHeight="1">
      <c r="A20" s="1846" t="s">
        <v>829</v>
      </c>
      <c r="B20" s="1817" t="s">
        <v>1130</v>
      </c>
      <c r="C20" s="293">
        <f ca="1">ROUND(C19*F20,0)</f>
        <v>70</v>
      </c>
      <c r="D20" s="1858" t="s">
        <v>1131</v>
      </c>
      <c r="E20" s="1817" t="s">
        <v>1112</v>
      </c>
      <c r="F20" s="1855">
        <f>'数据-取费表'!B37</f>
        <v>0.02</v>
      </c>
      <c r="G20" s="1853"/>
      <c r="H20" s="1846" t="s">
        <v>855</v>
      </c>
      <c r="I20" s="1816" t="s">
        <v>1132</v>
      </c>
      <c r="J20" s="1876">
        <f ca="1">ROUND(M20*M21/10000,2)</f>
        <v>6.61</v>
      </c>
      <c r="K20" s="1877" t="s">
        <v>1133</v>
      </c>
      <c r="L20" s="1817" t="s">
        <v>1134</v>
      </c>
      <c r="M20" s="186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874</v>
      </c>
      <c r="B21" s="1817" t="s">
        <v>1135</v>
      </c>
      <c r="C21" s="293" t="s">
        <v>124</v>
      </c>
      <c r="D21" s="1858" t="s">
        <v>1136</v>
      </c>
      <c r="E21" s="1817" t="s">
        <v>1137</v>
      </c>
      <c r="F21" s="1855">
        <f>'数据-取费表'!B38</f>
        <v>0.02</v>
      </c>
      <c r="G21" s="1853"/>
      <c r="H21" s="1859"/>
      <c r="I21" s="1976"/>
      <c r="J21" s="1880"/>
      <c r="K21" s="1881"/>
      <c r="L21" s="1817" t="s">
        <v>1138</v>
      </c>
      <c r="M21" s="1818">
        <f ca="1">INDIRECT("'数据-取费表'!r"&amp;$G$1)</f>
        <v>3670.93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877</v>
      </c>
      <c r="B22" s="1817" t="s">
        <v>1139</v>
      </c>
      <c r="C22" s="293"/>
      <c r="D22" s="1857" t="str">
        <f>IF(F23&lt;=1,"单利计息。","复利计息。")&amp;"建造成本、管理费用、销售费用产生的利息。"</f>
        <v>复利计息。建造成本、管理费用、销售费用产生的利息。</v>
      </c>
      <c r="E22" s="295"/>
      <c r="F22" s="1856"/>
      <c r="G22" s="773"/>
      <c r="H22" s="1846" t="s">
        <v>829</v>
      </c>
      <c r="I22" s="1817" t="s">
        <v>1140</v>
      </c>
      <c r="J22" s="293">
        <f ca="1">ROUND(J14*M22,1)</f>
        <v>46.2</v>
      </c>
      <c r="K22" s="1871" t="s">
        <v>1141</v>
      </c>
      <c r="L22" s="1817" t="s">
        <v>1112</v>
      </c>
      <c r="M22" s="1883">
        <f ca="1">INDIRECT("'数据-取费表'!Ak"&amp;$G$1)</f>
        <v>0.01</v>
      </c>
    </row>
    <row r="23" spans="1:37" s="1785" customFormat="1" ht="18" customHeight="1">
      <c r="A23" s="1846" t="s">
        <v>848</v>
      </c>
      <c r="B23" s="1817" t="s">
        <v>1142</v>
      </c>
      <c r="C23" s="293">
        <f ca="1">IF('数据-取费表'!B22&lt;=1,ROUND(C19*F24*F23/2,0)+ROUND(C20*F24*F23/2,0),ROUND(C19*(POWER((1+F24),F23/2)-1),0)+ROUND(C20*(POWER((1+F24),F23/2)-1),0))</f>
        <v>150</v>
      </c>
      <c r="D23" s="1860" t="str">
        <f>IF(F23&lt;=1,"(建造成本+管理费用)×利率×(建设周期÷2)","(建造成本+管理费用)×((1+利率)^(建设周期÷2)-1)")</f>
        <v>(建造成本+管理费用)×((1+利率)^(建设周期÷2)-1)</v>
      </c>
      <c r="E23" s="1817" t="s">
        <v>1143</v>
      </c>
      <c r="F23" s="1861">
        <f>'数据-取费表'!B20</f>
        <v>2</v>
      </c>
      <c r="G23" s="1853"/>
      <c r="H23" s="1846" t="s">
        <v>874</v>
      </c>
      <c r="I23" s="1817" t="s">
        <v>1144</v>
      </c>
      <c r="J23" s="293">
        <f ca="1">ROUND(J13*M23,1)</f>
        <v>0</v>
      </c>
      <c r="K23" s="1871" t="s">
        <v>1145</v>
      </c>
      <c r="L23" s="1817" t="s">
        <v>1112</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852</v>
      </c>
      <c r="B24" s="1817" t="s">
        <v>1146</v>
      </c>
      <c r="C24" s="293">
        <f ca="1">ROUND(IF('数据-取费表'!B22&lt;=1,F21*F24*F23/2,F21*(POWER((1+F24),F23/2)-1)),4)</f>
        <v>8.0000000000000004E-4</v>
      </c>
      <c r="D24" s="1860" t="str">
        <f>IF(F23&lt;=1,"销售费用×利率×(建设周期÷2)","销售费用×((1+利率)^(建设周期÷2)-1)")</f>
        <v>销售费用×((1+利率)^(建设周期÷2)-1)</v>
      </c>
      <c r="E24" s="1817" t="s">
        <v>1147</v>
      </c>
      <c r="F24" s="1862">
        <f ca="1">'数据-取费表'!B40</f>
        <v>4.2000000000000003E-2</v>
      </c>
      <c r="G24" s="1853"/>
      <c r="H24" s="1854" t="s">
        <v>877</v>
      </c>
      <c r="I24" s="1839" t="s">
        <v>1130</v>
      </c>
      <c r="J24" s="1863">
        <f ca="1">ROUND(J5*M24,1)</f>
        <v>0</v>
      </c>
      <c r="K24" s="1864" t="s">
        <v>1148</v>
      </c>
      <c r="L24" s="1839" t="s">
        <v>1112</v>
      </c>
      <c r="M24" s="1840">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881</v>
      </c>
      <c r="B25" s="1817" t="s">
        <v>1149</v>
      </c>
      <c r="C25" s="293"/>
      <c r="D25" s="1857" t="s">
        <v>1150</v>
      </c>
      <c r="E25" s="295"/>
      <c r="F25" s="1856"/>
      <c r="G25" s="773"/>
      <c r="H25" s="1841" t="s">
        <v>1151</v>
      </c>
      <c r="I25" s="1885" t="s">
        <v>1152</v>
      </c>
      <c r="J25" s="1843">
        <f ca="1">J5-J16</f>
        <v>-91</v>
      </c>
      <c r="K25" s="1886" t="s">
        <v>1153</v>
      </c>
      <c r="L25" s="1887"/>
      <c r="M25" s="1888"/>
    </row>
    <row r="26" spans="1:37">
      <c r="A26" s="1846" t="s">
        <v>848</v>
      </c>
      <c r="B26" s="1817" t="s">
        <v>1154</v>
      </c>
      <c r="C26" s="293">
        <f ca="1">ROUND((C19+C20)*F26,0)</f>
        <v>536</v>
      </c>
      <c r="D26" s="1858" t="s">
        <v>1155</v>
      </c>
      <c r="E26" s="1828" t="s">
        <v>1156</v>
      </c>
      <c r="F26" s="1825">
        <f ca="1">INDIRECT("'数据-取费表'!q"&amp;$G$1)</f>
        <v>0.15</v>
      </c>
      <c r="G26" s="773"/>
      <c r="H26" s="1808" t="s">
        <v>1157</v>
      </c>
      <c r="I26" s="1809" t="s">
        <v>1158</v>
      </c>
      <c r="J26" s="1889">
        <f ca="1">IF(J5&lt;&gt;0,ROUND(J25*(1-((1+M28)/(1+M26))^M27)/(M26-M28),0),0)</f>
        <v>0</v>
      </c>
      <c r="K26" s="1877" t="s">
        <v>1159</v>
      </c>
      <c r="L26" s="1817" t="s">
        <v>1160</v>
      </c>
      <c r="M26" s="1825">
        <f ca="1">INDIRECT("'数据-取费表'!I"&amp;$G$1)</f>
        <v>5.5E-2</v>
      </c>
    </row>
    <row r="27" spans="1:37" ht="18" customHeight="1">
      <c r="A27" s="1846" t="s">
        <v>852</v>
      </c>
      <c r="B27" s="1817" t="s">
        <v>1161</v>
      </c>
      <c r="C27" s="293">
        <f ca="1">ROUND(F21*F26,4)</f>
        <v>3.0000000000000001E-3</v>
      </c>
      <c r="D27" s="1858" t="s">
        <v>1162</v>
      </c>
      <c r="E27" s="1851"/>
      <c r="F27" s="1852"/>
      <c r="G27" s="773"/>
      <c r="H27" s="1823"/>
      <c r="I27" s="1891"/>
      <c r="J27" s="1824"/>
      <c r="K27" s="1892" t="s">
        <v>1163</v>
      </c>
      <c r="L27" s="1817" t="s">
        <v>1164</v>
      </c>
      <c r="M27" s="1893">
        <f ca="1">INDIRECT("'数据-取费表'!ag"&amp;$G$1)</f>
        <v>0</v>
      </c>
    </row>
    <row r="28" spans="1:37" s="1785" customFormat="1" ht="18" customHeight="1">
      <c r="A28" s="1846" t="s">
        <v>882</v>
      </c>
      <c r="B28" s="1817" t="s">
        <v>1165</v>
      </c>
      <c r="C28" s="293">
        <f>ROUND(F28/(1+'数据-取费表'!C42),4)</f>
        <v>5.33E-2</v>
      </c>
      <c r="D28" s="1858" t="s">
        <v>1166</v>
      </c>
      <c r="E28" s="1817" t="s">
        <v>1112</v>
      </c>
      <c r="F28" s="1855">
        <f>'数据-取费表'!B41</f>
        <v>5.6000000000000001E-2</v>
      </c>
      <c r="G28" s="1853"/>
      <c r="H28" s="1830"/>
      <c r="I28" s="1895"/>
      <c r="J28" s="1843"/>
      <c r="K28" s="1881"/>
      <c r="L28" s="1817" t="s">
        <v>1167</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1071</v>
      </c>
      <c r="B29" s="1839" t="s">
        <v>1168</v>
      </c>
      <c r="C29" s="1863">
        <f ca="1">ROUND((C19+C20+C23+C26)/(1-F21-C24-C27-C28),0)</f>
        <v>4618</v>
      </c>
      <c r="D29" s="1864"/>
      <c r="E29" s="1839"/>
      <c r="F29" s="1865"/>
      <c r="G29" s="1853"/>
      <c r="H29" s="1866" t="s">
        <v>1169</v>
      </c>
      <c r="I29" s="1896" t="s">
        <v>1170</v>
      </c>
      <c r="J29" s="1897">
        <f ca="1">ROUND(J26/(1+F40)^F41,0)</f>
        <v>0</v>
      </c>
      <c r="K29" s="1898" t="s">
        <v>1171</v>
      </c>
      <c r="L29" s="1899"/>
      <c r="M29" s="1900">
        <f ca="1">INDIRECT("'数据-取费表'!k"&amp;$G$1)</f>
        <v>10513.99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1113</v>
      </c>
      <c r="B30" s="1842" t="s">
        <v>1114</v>
      </c>
      <c r="C30" s="1843">
        <f ca="1">ROUND(C31+C36+C37+C38,0)</f>
        <v>534</v>
      </c>
      <c r="D30" s="1867" t="s">
        <v>1115</v>
      </c>
      <c r="E30" s="1868"/>
      <c r="F30" s="1813"/>
      <c r="G30" s="773"/>
      <c r="H30" s="1869"/>
      <c r="I30" s="1977"/>
      <c r="J30" s="1978"/>
      <c r="K30" s="1979"/>
      <c r="L30" s="1980"/>
      <c r="M30" s="1981"/>
    </row>
    <row r="31" spans="1:37" ht="18" customHeight="1">
      <c r="A31" s="1846" t="s">
        <v>825</v>
      </c>
      <c r="B31" s="1817" t="s">
        <v>1120</v>
      </c>
      <c r="C31" s="1870">
        <f ca="1">ROUND(IF(AND(项目基本情况!B11="自然人",项目基本情况!B10="北京市"),C6*F31/(1+'数据-取费表'!C42),C32+C33+C34),0)</f>
        <v>444</v>
      </c>
      <c r="D31" s="1848" t="s">
        <v>1121</v>
      </c>
      <c r="E31" s="1871" t="s">
        <v>1122</v>
      </c>
      <c r="F31" s="1872" t="str">
        <f>IF(项目基本情况!B11="企业","——",IF('数据-取费表'!B10="住宅",IF(F6*F7*F8/12/(1+'数据-取费表'!F30)&gt;100000,4%,2.5%),IF(F6*F7*F8/12/(1+'数据-取费表'!F30)&gt;100000,12%,7%)))</f>
        <v>——</v>
      </c>
      <c r="G31" s="773"/>
      <c r="H31" s="1873" t="s">
        <v>1172</v>
      </c>
      <c r="I31" s="1977"/>
      <c r="J31" s="1978"/>
      <c r="K31" s="1979"/>
      <c r="L31" s="1980"/>
      <c r="M31" s="1981"/>
    </row>
    <row r="32" spans="1:37" ht="18" customHeight="1">
      <c r="A32" s="1846" t="s">
        <v>848</v>
      </c>
      <c r="B32" s="1817" t="s">
        <v>1124</v>
      </c>
      <c r="C32" s="293">
        <f ca="1">IF(项目基本情况!B11="自然人","——",ROUND(C6*F32/(1+'数据-取费表'!C42),2))</f>
        <v>139.19999999999999</v>
      </c>
      <c r="D32" s="1871" t="s">
        <v>1125</v>
      </c>
      <c r="E32" s="1817" t="s">
        <v>1112</v>
      </c>
      <c r="F32" s="1862">
        <f>'数据-取费表'!B41</f>
        <v>5.6000000000000001E-2</v>
      </c>
      <c r="G32" s="773"/>
      <c r="H32" s="1869"/>
      <c r="I32" s="1977"/>
      <c r="J32" s="1978"/>
      <c r="K32" s="1979"/>
      <c r="L32" s="1980"/>
      <c r="M32" s="1981"/>
    </row>
    <row r="33" spans="1:18" ht="18" customHeight="1">
      <c r="A33" s="1846" t="s">
        <v>852</v>
      </c>
      <c r="B33" s="1817" t="s">
        <v>1128</v>
      </c>
      <c r="C33" s="293">
        <f ca="1">IF(项目基本情况!B11="自然人","——",IF(D33="按租金收入计税",ROUND(C6*F33/(1+'数据-取费表'!C42),2),IF(D33="按房产原值计税",ROUND(C29*F33*0.7,2),INDIRECT("'数据-取费表'!Aj"&amp;$G$1))))</f>
        <v>298.29000000000002</v>
      </c>
      <c r="D33" s="1874" t="s">
        <v>1173</v>
      </c>
      <c r="E33" s="1817" t="s">
        <v>1112</v>
      </c>
      <c r="F33" s="1855">
        <f>IF(D33="按票据","——",IF(D33="按租金收入计税",'数据-取费表'!B51,'数据-取费表'!B50))</f>
        <v>0.12</v>
      </c>
      <c r="G33" s="773"/>
      <c r="H33" s="1875"/>
      <c r="I33" s="1977"/>
      <c r="J33" s="1978"/>
      <c r="K33" s="1982"/>
      <c r="L33" s="1875"/>
      <c r="M33" s="1875"/>
    </row>
    <row r="34" spans="1:18" ht="18" customHeight="1">
      <c r="A34" s="1814" t="s">
        <v>855</v>
      </c>
      <c r="B34" s="1816" t="s">
        <v>1132</v>
      </c>
      <c r="C34" s="1876">
        <f ca="1">IF(项目基本情况!B11="自然人","——",ROUND(F34*F35/10000,2))</f>
        <v>6.61</v>
      </c>
      <c r="D34" s="1877" t="s">
        <v>1133</v>
      </c>
      <c r="E34" s="1817" t="s">
        <v>1134</v>
      </c>
      <c r="F34" s="1861">
        <f>'数据-取费表'!B52</f>
        <v>18</v>
      </c>
      <c r="G34" s="773"/>
      <c r="H34" s="1869"/>
      <c r="I34" s="1977"/>
      <c r="J34" s="1978"/>
      <c r="K34" s="1983"/>
      <c r="L34" s="1984"/>
      <c r="M34" s="1984"/>
    </row>
    <row r="35" spans="1:18" ht="18" customHeight="1">
      <c r="A35" s="1878"/>
      <c r="B35" s="1879"/>
      <c r="C35" s="1880"/>
      <c r="D35" s="1881"/>
      <c r="E35" s="1817" t="s">
        <v>1138</v>
      </c>
      <c r="F35" s="1818">
        <f ca="1">INDIRECT("'数据-取费表'!r"&amp;$G$1)</f>
        <v>3670.93</v>
      </c>
      <c r="G35" s="773"/>
      <c r="H35" s="1869"/>
      <c r="I35" s="1977"/>
      <c r="J35" s="1978"/>
      <c r="K35" s="1982"/>
      <c r="L35" s="1875"/>
      <c r="M35" s="1875"/>
    </row>
    <row r="36" spans="1:18" ht="18" customHeight="1">
      <c r="A36" s="1882" t="s">
        <v>829</v>
      </c>
      <c r="B36" s="1817" t="s">
        <v>1140</v>
      </c>
      <c r="C36" s="293">
        <f ca="1">ROUND(C29*F36,1)</f>
        <v>46.2</v>
      </c>
      <c r="D36" s="1871" t="s">
        <v>1174</v>
      </c>
      <c r="E36" s="1817" t="s">
        <v>1112</v>
      </c>
      <c r="F36" s="1883">
        <f ca="1">INDIRECT("'数据-取费表'!Ak"&amp;$G$1)</f>
        <v>0.01</v>
      </c>
      <c r="G36" s="773"/>
      <c r="H36" s="1875"/>
      <c r="I36" s="1977"/>
      <c r="J36" s="1978"/>
      <c r="K36" s="1985"/>
      <c r="L36" s="1875"/>
      <c r="M36" s="1875"/>
    </row>
    <row r="37" spans="1:18" ht="18" customHeight="1">
      <c r="A37" s="1846" t="s">
        <v>874</v>
      </c>
      <c r="B37" s="1817" t="s">
        <v>1144</v>
      </c>
      <c r="C37" s="293">
        <f ca="1">ROUND(C13*F37,1)</f>
        <v>4.9000000000000004</v>
      </c>
      <c r="D37" s="1871" t="s">
        <v>1145</v>
      </c>
      <c r="E37" s="1817" t="s">
        <v>1112</v>
      </c>
      <c r="F37" s="1884">
        <f ca="1">INDIRECT("'数据-取费表'!Al"&amp;$G$1)</f>
        <v>1.5E-3</v>
      </c>
      <c r="G37" s="773"/>
      <c r="H37" s="1875"/>
      <c r="I37" s="1977"/>
      <c r="J37" s="1978"/>
      <c r="K37" s="1985"/>
      <c r="L37" s="1875"/>
      <c r="M37" s="1875"/>
    </row>
    <row r="38" spans="1:18" ht="18" customHeight="1">
      <c r="A38" s="1854" t="s">
        <v>877</v>
      </c>
      <c r="B38" s="1839" t="s">
        <v>1130</v>
      </c>
      <c r="C38" s="1863">
        <f ca="1">ROUND(C5*F38,1)</f>
        <v>39.200000000000003</v>
      </c>
      <c r="D38" s="1864" t="s">
        <v>1148</v>
      </c>
      <c r="E38" s="1839" t="s">
        <v>1112</v>
      </c>
      <c r="F38" s="1840">
        <f ca="1">INDIRECT("'数据-取费表'!Am"&amp;$G$1)</f>
        <v>1.4999999999999999E-2</v>
      </c>
      <c r="G38" s="773"/>
      <c r="H38" s="1875"/>
      <c r="I38" s="1977"/>
      <c r="J38" s="1978"/>
      <c r="K38" s="1986"/>
      <c r="L38" s="1875"/>
      <c r="M38" s="1875"/>
    </row>
    <row r="39" spans="1:18" ht="24.6" customHeight="1">
      <c r="A39" s="1841" t="s">
        <v>1151</v>
      </c>
      <c r="B39" s="1885" t="s">
        <v>1152</v>
      </c>
      <c r="C39" s="1843">
        <f ca="1">C5-C30</f>
        <v>2079</v>
      </c>
      <c r="D39" s="1886" t="s">
        <v>1153</v>
      </c>
      <c r="E39" s="1887"/>
      <c r="F39" s="1888"/>
      <c r="G39" s="773"/>
      <c r="H39" s="1875"/>
      <c r="I39" s="1977"/>
      <c r="J39" s="1978"/>
      <c r="K39" s="1986"/>
      <c r="L39" s="1875"/>
      <c r="M39" s="1875"/>
    </row>
    <row r="40" spans="1:18" ht="18" customHeight="1">
      <c r="A40" s="1808" t="s">
        <v>1157</v>
      </c>
      <c r="B40" s="1809" t="s">
        <v>1175</v>
      </c>
      <c r="C40" s="1889">
        <f ca="1">ROUND(C39*(1-((1+F42)/(1+F40))^F41)/(F40-F42),0)</f>
        <v>26654</v>
      </c>
      <c r="D40" s="1877" t="s">
        <v>1159</v>
      </c>
      <c r="E40" s="1817" t="s">
        <v>1160</v>
      </c>
      <c r="F40" s="1825">
        <f ca="1">INDIRECT("'数据-取费表'!I"&amp;$G$1)</f>
        <v>5.5E-2</v>
      </c>
      <c r="G40" s="773"/>
      <c r="H40" s="1890"/>
      <c r="I40" s="1977"/>
      <c r="J40" s="1978"/>
      <c r="K40" s="1986"/>
      <c r="L40" s="1890"/>
      <c r="M40" s="1890"/>
    </row>
    <row r="41" spans="1:18" ht="18" customHeight="1">
      <c r="A41" s="1823"/>
      <c r="B41" s="1891"/>
      <c r="C41" s="1824"/>
      <c r="D41" s="1892" t="s">
        <v>1163</v>
      </c>
      <c r="E41" s="1817" t="s">
        <v>1164</v>
      </c>
      <c r="F41" s="1893">
        <f ca="1">IF(INDIRECT("'数据-取费表'!af"&amp;$G$1)=0,INDIRECT("'数据-取费表'!ae"&amp;$G$1),INDIRECT("'数据-取费表'!af"&amp;$G$1))</f>
        <v>16.829999999999998</v>
      </c>
      <c r="G41" s="773"/>
      <c r="H41" s="1894"/>
      <c r="I41" s="1977"/>
      <c r="J41" s="1978"/>
      <c r="K41" s="1985"/>
      <c r="L41" s="1894"/>
      <c r="M41" s="1894"/>
    </row>
    <row r="42" spans="1:18" ht="18" customHeight="1">
      <c r="A42" s="1830"/>
      <c r="B42" s="1895"/>
      <c r="C42" s="1843"/>
      <c r="D42" s="1881"/>
      <c r="E42" s="1817" t="s">
        <v>1167</v>
      </c>
      <c r="F42" s="1825">
        <f ca="1">INDIRECT("'数据-取费表'!v"&amp;$G$1)</f>
        <v>2.5000000000000001E-2</v>
      </c>
      <c r="G42" s="773"/>
      <c r="H42" s="1894"/>
      <c r="I42" s="1977"/>
      <c r="J42" s="1978"/>
      <c r="K42" s="1985"/>
      <c r="L42" s="1894"/>
      <c r="M42" s="1894"/>
    </row>
    <row r="43" spans="1:18" ht="18" customHeight="1">
      <c r="A43" s="1866" t="s">
        <v>1169</v>
      </c>
      <c r="B43" s="1896" t="s">
        <v>1176</v>
      </c>
      <c r="C43" s="1897">
        <f ca="1">ROUND(C40*10000/F43,0)</f>
        <v>25351</v>
      </c>
      <c r="D43" s="1898" t="s">
        <v>1177</v>
      </c>
      <c r="E43" s="1899" t="s">
        <v>1178</v>
      </c>
      <c r="F43" s="1900">
        <f ca="1">INDIRECT("'数据-取费表'!k"&amp;$G$1)</f>
        <v>10513.99</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128" t="s">
        <v>1179</v>
      </c>
      <c r="P45" s="1890"/>
      <c r="Q45" s="1890"/>
      <c r="R45" s="1890"/>
    </row>
    <row r="46" spans="1:18" s="773" customFormat="1">
      <c r="A46" s="1905" t="s">
        <v>1180</v>
      </c>
      <c r="C46" s="1906">
        <f ca="1">C68-C40</f>
        <v>-31470</v>
      </c>
      <c r="D46" s="1907" t="str">
        <f>C2</f>
        <v>万元</v>
      </c>
      <c r="E46" s="1901"/>
      <c r="F46" s="1901"/>
      <c r="I46" s="1989" t="s">
        <v>1181</v>
      </c>
      <c r="J46" s="1990"/>
      <c r="K46" s="1991"/>
      <c r="L46" s="1992" t="str">
        <f ca="1">IF(M47="住宅",0,IF(L48&gt;J51,L60,J60))</f>
        <v>0</v>
      </c>
      <c r="O46" s="1993" t="s">
        <v>1182</v>
      </c>
      <c r="P46" s="1994" t="s">
        <v>1183</v>
      </c>
      <c r="Q46" s="2038" t="s">
        <v>1184</v>
      </c>
      <c r="R46" s="2038" t="s">
        <v>1185</v>
      </c>
    </row>
    <row r="47" spans="1:18" s="773" customFormat="1">
      <c r="A47" s="1908" t="s">
        <v>1083</v>
      </c>
      <c r="B47" s="1909" t="s">
        <v>1084</v>
      </c>
      <c r="C47" s="2123" t="s">
        <v>1085</v>
      </c>
      <c r="D47" s="1909" t="s">
        <v>1086</v>
      </c>
      <c r="E47" s="1910" t="s">
        <v>1087</v>
      </c>
      <c r="F47" s="286"/>
      <c r="G47" s="1911"/>
      <c r="I47" s="1995" t="s">
        <v>1186</v>
      </c>
      <c r="J47" s="1996" t="s">
        <v>1187</v>
      </c>
      <c r="K47" s="1997" t="s">
        <v>1188</v>
      </c>
      <c r="L47" s="1998">
        <f ca="1">INDIRECT("'数据-取费表'!d"&amp;$G$1)</f>
        <v>40</v>
      </c>
      <c r="M47" s="1999" t="str">
        <f>IF(ISNUMBER(FIND("住宅",C1)),"住宅","非住宅")</f>
        <v>非住宅</v>
      </c>
      <c r="O47" s="2000" t="s">
        <v>931</v>
      </c>
      <c r="P47" s="2001" t="s">
        <v>1189</v>
      </c>
      <c r="Q47" s="2039">
        <f ca="1">C40+J29</f>
        <v>26654</v>
      </c>
      <c r="R47" s="2039" t="s">
        <v>1190</v>
      </c>
    </row>
    <row r="48" spans="1:18" s="773" customFormat="1" ht="27.75">
      <c r="A48" s="1912" t="s">
        <v>1191</v>
      </c>
      <c r="B48" s="1809" t="s">
        <v>1088</v>
      </c>
      <c r="C48" s="294">
        <f ca="1">C49+C53+C55</f>
        <v>0</v>
      </c>
      <c r="D48" s="1913"/>
      <c r="E48" s="1914"/>
      <c r="F48" s="1915"/>
      <c r="G48" s="1911"/>
      <c r="H48" s="1916"/>
      <c r="I48" s="834" t="s">
        <v>1192</v>
      </c>
      <c r="J48" s="2002" t="s">
        <v>1193</v>
      </c>
      <c r="K48" s="2003" t="s">
        <v>1194</v>
      </c>
      <c r="L48" s="2004">
        <f ca="1">INDIRECT("'数据-取费表'!f"&amp;$G$1)</f>
        <v>16.829999999999998</v>
      </c>
      <c r="O48" s="2000" t="s">
        <v>935</v>
      </c>
      <c r="P48" s="2001" t="s">
        <v>1195</v>
      </c>
      <c r="Q48" s="2039" t="str">
        <f ca="1">J60</f>
        <v>0</v>
      </c>
      <c r="R48" s="2039" t="s">
        <v>1196</v>
      </c>
    </row>
    <row r="49" spans="1:18" s="773" customFormat="1">
      <c r="A49" s="1917" t="s">
        <v>1197</v>
      </c>
      <c r="B49" s="1918" t="s">
        <v>1198</v>
      </c>
      <c r="C49" s="1919">
        <f ca="1">ROUND(F49*F51*F50*(1-F52)/10000,0)</f>
        <v>0</v>
      </c>
      <c r="D49" s="1920" t="s">
        <v>1093</v>
      </c>
      <c r="E49" s="1921" t="s">
        <v>1199</v>
      </c>
      <c r="F49" s="1922"/>
      <c r="G49" s="1923"/>
      <c r="H49" s="1916"/>
      <c r="I49" s="834" t="s">
        <v>1200</v>
      </c>
      <c r="J49" s="2005">
        <f>'数据-取费表'!N20</f>
        <v>2002</v>
      </c>
      <c r="K49" s="2003" t="s">
        <v>1201</v>
      </c>
      <c r="L49" s="2006"/>
      <c r="O49" s="2007" t="s">
        <v>1202</v>
      </c>
      <c r="P49" s="2001" t="s">
        <v>1203</v>
      </c>
      <c r="Q49" s="2039">
        <f ca="1">C29</f>
        <v>4618</v>
      </c>
      <c r="R49" s="2039" t="s">
        <v>1190</v>
      </c>
    </row>
    <row r="50" spans="1:18" s="773" customFormat="1">
      <c r="A50" s="1924"/>
      <c r="B50" s="1925"/>
      <c r="C50" s="2124"/>
      <c r="D50" s="1927"/>
      <c r="E50" s="1928" t="s">
        <v>1094</v>
      </c>
      <c r="F50" s="1929">
        <f ca="1">F7</f>
        <v>10513.99</v>
      </c>
      <c r="H50" s="1916"/>
      <c r="I50" s="834" t="s">
        <v>1204</v>
      </c>
      <c r="J50" s="2008">
        <f>SUMPRODUCT((I63:I65=J47)*(J62:L62=J48)*(J63:L65))</f>
        <v>60</v>
      </c>
      <c r="K50" s="2003" t="s">
        <v>1205</v>
      </c>
      <c r="L50" s="2006"/>
      <c r="M50" s="2009"/>
      <c r="O50" s="2007" t="s">
        <v>1206</v>
      </c>
      <c r="P50" s="2001" t="s">
        <v>1207</v>
      </c>
      <c r="Q50" s="2040" t="e">
        <f ca="1">J58</f>
        <v>#VALUE!</v>
      </c>
      <c r="R50" s="2039"/>
    </row>
    <row r="51" spans="1:18" s="773" customFormat="1">
      <c r="A51" s="1930"/>
      <c r="B51" s="1925"/>
      <c r="C51" s="1926"/>
      <c r="D51" s="1927"/>
      <c r="E51" s="1931" t="s">
        <v>1095</v>
      </c>
      <c r="F51" s="1818">
        <f ca="1">F8</f>
        <v>365</v>
      </c>
      <c r="I51" s="2010" t="s">
        <v>1208</v>
      </c>
      <c r="J51" s="2011">
        <f>IF(J49="",J50,J49+J50-YEAR('数据-取费表'!B2))</f>
        <v>40</v>
      </c>
      <c r="K51" s="2012" t="s">
        <v>1209</v>
      </c>
      <c r="L51" s="2013">
        <f ca="1">ROUND(-PV(INDIRECT("'数据-取费表'!h"&amp;$G$1),J51,(C39-C13*C76),0),0)</f>
        <v>31454</v>
      </c>
      <c r="M51" s="2014"/>
      <c r="O51" s="2007" t="s">
        <v>1210</v>
      </c>
      <c r="P51" s="2001" t="s">
        <v>1211</v>
      </c>
      <c r="Q51" s="2040">
        <f>J52</f>
        <v>0.08</v>
      </c>
      <c r="R51" s="2039"/>
    </row>
    <row r="52" spans="1:18" s="773" customFormat="1">
      <c r="A52" s="1930"/>
      <c r="B52" s="1925"/>
      <c r="C52" s="1926"/>
      <c r="D52" s="1927"/>
      <c r="E52" s="1931" t="s">
        <v>1096</v>
      </c>
      <c r="F52" s="1932"/>
      <c r="I52" s="2015" t="s">
        <v>1212</v>
      </c>
      <c r="J52" s="2016">
        <v>0.08</v>
      </c>
      <c r="K52" s="2015" t="s">
        <v>1213</v>
      </c>
      <c r="L52" s="2016"/>
      <c r="O52" s="2007" t="s">
        <v>1214</v>
      </c>
      <c r="P52" s="2001" t="s">
        <v>1215</v>
      </c>
      <c r="Q52" s="2039">
        <f ca="1">J53</f>
        <v>16.829999999999998</v>
      </c>
      <c r="R52" s="2039" t="s">
        <v>1216</v>
      </c>
    </row>
    <row r="53" spans="1:18" s="773" customFormat="1" ht="24">
      <c r="A53" s="2125" t="s">
        <v>1217</v>
      </c>
      <c r="B53" s="2126" t="s">
        <v>1097</v>
      </c>
      <c r="C53" s="292">
        <f ca="1">ROUND(IF(F53="押一",C49/12*F11,IF(F53="押二",C49/12*2*F11,IF(F53="押三",C49/12*3*F11,C54*F11))),0)</f>
        <v>0</v>
      </c>
      <c r="D53" s="1827" t="s">
        <v>1098</v>
      </c>
      <c r="E53" s="1828" t="s">
        <v>1099</v>
      </c>
      <c r="F53" s="1829"/>
      <c r="I53" s="2017" t="s">
        <v>1218</v>
      </c>
      <c r="J53" s="2018">
        <f ca="1">IF(M47="住宅",IF(D1="——",MAX(J51,L48),MAX(J51,L48-'数据-取费表'!B24)),IF(D1="——",MIN(J51,L48),MIN(J51,L48-'数据-取费表'!B24)))</f>
        <v>16.829999999999998</v>
      </c>
      <c r="K53" s="3471" t="s">
        <v>1219</v>
      </c>
      <c r="L53" s="3472"/>
      <c r="O53" s="2000" t="s">
        <v>1039</v>
      </c>
      <c r="P53" s="2001" t="s">
        <v>1220</v>
      </c>
      <c r="Q53" s="2039">
        <f ca="1">Q47+Q48</f>
        <v>26654</v>
      </c>
      <c r="R53" s="2039" t="s">
        <v>1221</v>
      </c>
    </row>
    <row r="54" spans="1:18" s="773" customFormat="1">
      <c r="A54" s="2127"/>
      <c r="B54" s="1831" t="s">
        <v>1102</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1222</v>
      </c>
      <c r="P54" s="2021"/>
      <c r="Q54" s="2021"/>
      <c r="R54" s="2021"/>
    </row>
    <row r="55" spans="1:18" s="773" customFormat="1">
      <c r="A55" s="1835" t="s">
        <v>874</v>
      </c>
      <c r="B55" s="1836" t="s">
        <v>1104</v>
      </c>
      <c r="C55" s="1837"/>
      <c r="D55" s="1827"/>
      <c r="E55" s="1935"/>
      <c r="F55" s="1936"/>
      <c r="I55" s="2022" t="s">
        <v>1223</v>
      </c>
      <c r="J55" s="2023" t="e">
        <f ca="1">ROUND(IF(J47="钢混",J57/J50,1-(1-2%)*(J50-J57)/J50),3)</f>
        <v>#VALUE!</v>
      </c>
      <c r="K55" s="2024" t="s">
        <v>1224</v>
      </c>
      <c r="L55" s="2025" t="s">
        <v>1225</v>
      </c>
      <c r="O55" s="1993" t="s">
        <v>1182</v>
      </c>
      <c r="P55" s="1994" t="s">
        <v>1183</v>
      </c>
      <c r="Q55" s="2038" t="s">
        <v>1184</v>
      </c>
      <c r="R55" s="2038" t="s">
        <v>1185</v>
      </c>
    </row>
    <row r="56" spans="1:18" s="773" customFormat="1" ht="24">
      <c r="A56" s="1937">
        <v>2</v>
      </c>
      <c r="B56" s="1938" t="s">
        <v>1105</v>
      </c>
      <c r="C56" s="186">
        <f ca="1">C13</f>
        <v>3279</v>
      </c>
      <c r="D56" s="1939"/>
      <c r="E56" s="1940"/>
      <c r="F56" s="1936"/>
      <c r="I56" s="2026" t="s">
        <v>1226</v>
      </c>
      <c r="J56" s="2027" t="s">
        <v>461</v>
      </c>
      <c r="K56" s="834" t="s">
        <v>1227</v>
      </c>
      <c r="L56" s="2004" t="str">
        <f ca="1">IF(L48&lt;J51,"——",L48-J53)</f>
        <v>——</v>
      </c>
      <c r="O56" s="2000" t="s">
        <v>931</v>
      </c>
      <c r="P56" s="2001" t="s">
        <v>1189</v>
      </c>
      <c r="Q56" s="2039">
        <f ca="1">C40+J29</f>
        <v>26654</v>
      </c>
      <c r="R56" s="2039" t="s">
        <v>1190</v>
      </c>
    </row>
    <row r="57" spans="1:18" s="773" customFormat="1" ht="24">
      <c r="A57" s="1941"/>
      <c r="B57" s="1942" t="s">
        <v>1168</v>
      </c>
      <c r="C57" s="196">
        <f ca="1">C29</f>
        <v>4618</v>
      </c>
      <c r="D57" s="1943"/>
      <c r="E57" s="1944"/>
      <c r="F57" s="1945"/>
      <c r="I57" s="2028" t="s">
        <v>1228</v>
      </c>
      <c r="J57" s="2029" t="str">
        <f ca="1">IF(OR(M47="住宅",J51&lt;L48,J56="是"),"——",J51-L48)</f>
        <v>——</v>
      </c>
      <c r="K57" s="834" t="s">
        <v>1229</v>
      </c>
      <c r="L57" s="2004" t="str">
        <f ca="1">IF(L48&lt;J51,"——",IF(L55="比较法",L49,IF(L55="基准地价",L50,L51)))</f>
        <v>——</v>
      </c>
      <c r="O57" s="2000" t="s">
        <v>935</v>
      </c>
      <c r="P57" s="2001" t="s">
        <v>1230</v>
      </c>
      <c r="Q57" s="2039">
        <f ca="1">L60</f>
        <v>0</v>
      </c>
      <c r="R57" s="2039" t="s">
        <v>1231</v>
      </c>
    </row>
    <row r="58" spans="1:18" s="773" customFormat="1" ht="24">
      <c r="A58" s="1946" t="s">
        <v>1113</v>
      </c>
      <c r="B58" s="1938" t="s">
        <v>1114</v>
      </c>
      <c r="C58" s="292">
        <f ca="1">ROUND(C59+C64+C65+C66,0)</f>
        <v>446</v>
      </c>
      <c r="D58" s="1947" t="s">
        <v>1115</v>
      </c>
      <c r="E58" s="1948"/>
      <c r="F58" s="1915"/>
      <c r="I58" s="2028" t="s">
        <v>1232</v>
      </c>
      <c r="J58" s="2030" t="e">
        <f ca="1">IF(J55&lt;0.4,0.4,J55)</f>
        <v>#VALUE!</v>
      </c>
      <c r="K58" s="2012" t="s">
        <v>1233</v>
      </c>
      <c r="L58" s="2004" t="e">
        <f ca="1">ROUND(POWER(1+L52,L47-L48)*(POWER(1+L52,L48)-1)/(POWER(1+L52,L47)-1),4)</f>
        <v>#DIV/0!</v>
      </c>
      <c r="O58" s="2007" t="s">
        <v>1202</v>
      </c>
      <c r="P58" s="2001" t="s">
        <v>1234</v>
      </c>
      <c r="Q58" s="2039">
        <f>IF(L55="比较法",L49,IF(L55="基准地价",L50,0))</f>
        <v>0</v>
      </c>
      <c r="R58" s="2039" t="s">
        <v>1190</v>
      </c>
    </row>
    <row r="59" spans="1:18" s="773" customFormat="1" ht="24">
      <c r="A59" s="1846" t="s">
        <v>825</v>
      </c>
      <c r="B59" s="1942" t="s">
        <v>1120</v>
      </c>
      <c r="C59" s="1870">
        <f ca="1">ROUND(IF(AND(项目基本情况!B11="自然人",项目基本情况!B10="北京市"),C49*F59/(1+'数据-取费表'!C42),C60+C61+C62),0)</f>
        <v>395</v>
      </c>
      <c r="D59" s="1949" t="s">
        <v>1121</v>
      </c>
      <c r="E59" s="1950" t="s">
        <v>1122</v>
      </c>
      <c r="F59" s="1872" t="str">
        <f>IF(项目基本情况!B11="企业","——",IF('数据-取费表'!B10="住宅",IF(F49*F50*F51/12/(1+'数据-取费表'!F30)&gt;100000,4%,2.5%),IF(F49*F50*F51/12/(1+'数据-取费表'!F30)&gt;100000,12%,7%)))</f>
        <v>——</v>
      </c>
      <c r="I59" s="2028" t="s">
        <v>1235</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1206</v>
      </c>
      <c r="P59" s="2001" t="s">
        <v>1236</v>
      </c>
      <c r="Q59" s="2040">
        <f>L52</f>
        <v>0</v>
      </c>
      <c r="R59" s="2039"/>
    </row>
    <row r="60" spans="1:18" s="773" customFormat="1" ht="15.75">
      <c r="A60" s="1846" t="s">
        <v>848</v>
      </c>
      <c r="B60" s="1942" t="s">
        <v>1124</v>
      </c>
      <c r="C60" s="293">
        <f ca="1">IF(项目基本情况!B11="自然人","——",ROUND(C48*F60/(1+'数据-取费表'!C42),2))</f>
        <v>0</v>
      </c>
      <c r="D60" s="1950" t="s">
        <v>1125</v>
      </c>
      <c r="E60" s="1942" t="s">
        <v>1112</v>
      </c>
      <c r="F60" s="1862">
        <f t="shared" ref="F60:F66" si="0">F32</f>
        <v>5.6000000000000001E-2</v>
      </c>
      <c r="I60" s="2031" t="s">
        <v>1237</v>
      </c>
      <c r="J60" s="2032" t="str">
        <f ca="1">IF(OR(M47="住宅",J51&lt;L48,J56="是"),"0",ROUND(J59/(1+J52)^J53,0))</f>
        <v>0</v>
      </c>
      <c r="K60" s="2033" t="s">
        <v>1238</v>
      </c>
      <c r="L60" s="2032">
        <f ca="1">IF(OR(M47="住宅",L48&lt;J51),0,ROUND(L57*(L58/L59-1),0))</f>
        <v>0</v>
      </c>
      <c r="O60" s="2007" t="s">
        <v>1210</v>
      </c>
      <c r="P60" s="2001" t="s">
        <v>1239</v>
      </c>
      <c r="Q60" s="2039" t="e">
        <f ca="1">L58</f>
        <v>#DIV/0!</v>
      </c>
      <c r="R60" s="2039" t="s">
        <v>1240</v>
      </c>
    </row>
    <row r="61" spans="1:18" s="773" customFormat="1">
      <c r="A61" s="1846" t="s">
        <v>852</v>
      </c>
      <c r="B61" s="1942" t="s">
        <v>1128</v>
      </c>
      <c r="C61" s="293">
        <f ca="1">IF(项目基本情况!B11="自然人","——",IF(D61="按租金收入计税",ROUND(C49*F61/(1+'数据-取费表'!C42),2),IF(D61="按房产原值计税",ROUND(C57*F61*0.7,2),INDIRECT("'数据-取费表'!Aj"&amp;$G$1))))</f>
        <v>387.91</v>
      </c>
      <c r="D61" s="1874" t="s">
        <v>1129</v>
      </c>
      <c r="E61" s="1942" t="s">
        <v>1112</v>
      </c>
      <c r="F61" s="1855">
        <f t="shared" si="0"/>
        <v>0.12</v>
      </c>
      <c r="I61" s="1890"/>
      <c r="J61" s="1890"/>
      <c r="K61" s="1890"/>
      <c r="L61" s="1890"/>
      <c r="O61" s="2007" t="s">
        <v>1214</v>
      </c>
      <c r="P61" s="2001" t="str">
        <f>K59</f>
        <v>建筑物剩余耐用年限下的土地年期修正系数Kn</v>
      </c>
      <c r="Q61" s="2039" t="e">
        <f ca="1">L59</f>
        <v>#DIV/0!</v>
      </c>
      <c r="R61" s="2039" t="s">
        <v>1241</v>
      </c>
    </row>
    <row r="62" spans="1:18" s="773" customFormat="1">
      <c r="A62" s="1846" t="s">
        <v>855</v>
      </c>
      <c r="B62" s="1951" t="s">
        <v>1132</v>
      </c>
      <c r="C62" s="1876">
        <f ca="1">IF(项目基本情况!B11="自然人","——",ROUND(F62*F63/10000,2))</f>
        <v>6.61</v>
      </c>
      <c r="D62" s="1952" t="s">
        <v>1133</v>
      </c>
      <c r="E62" s="1942" t="s">
        <v>1134</v>
      </c>
      <c r="F62" s="1861">
        <f t="shared" si="0"/>
        <v>18</v>
      </c>
      <c r="I62" s="2034" t="s">
        <v>1242</v>
      </c>
      <c r="J62" s="2035" t="s">
        <v>1243</v>
      </c>
      <c r="K62" s="2035" t="s">
        <v>1244</v>
      </c>
      <c r="L62" s="2035" t="s">
        <v>1245</v>
      </c>
      <c r="M62" s="2036" t="s">
        <v>1246</v>
      </c>
      <c r="O62" s="2000" t="s">
        <v>1039</v>
      </c>
      <c r="P62" s="2001" t="s">
        <v>1220</v>
      </c>
      <c r="Q62" s="2039">
        <f ca="1">Q56+Q57</f>
        <v>26654</v>
      </c>
      <c r="R62" s="2039" t="s">
        <v>1221</v>
      </c>
    </row>
    <row r="63" spans="1:18" s="773" customFormat="1">
      <c r="A63" s="1859"/>
      <c r="B63" s="1953"/>
      <c r="C63" s="1880"/>
      <c r="D63" s="1954"/>
      <c r="E63" s="1942" t="s">
        <v>1138</v>
      </c>
      <c r="F63" s="1818">
        <f t="shared" ca="1" si="0"/>
        <v>3670.93</v>
      </c>
      <c r="I63" s="2034" t="s">
        <v>1247</v>
      </c>
      <c r="J63" s="2035">
        <v>70</v>
      </c>
      <c r="K63" s="2035">
        <v>50</v>
      </c>
      <c r="L63" s="2035">
        <v>80</v>
      </c>
      <c r="M63" s="2037">
        <v>0.02</v>
      </c>
      <c r="O63" s="1988" t="s">
        <v>1248</v>
      </c>
      <c r="P63" s="2021"/>
      <c r="Q63" s="2021"/>
      <c r="R63" s="2021"/>
    </row>
    <row r="64" spans="1:18" s="773" customFormat="1">
      <c r="A64" s="1846" t="s">
        <v>829</v>
      </c>
      <c r="B64" s="1942" t="s">
        <v>1140</v>
      </c>
      <c r="C64" s="293">
        <f ca="1">ROUND(C57*F64,1)</f>
        <v>46.2</v>
      </c>
      <c r="D64" s="1950" t="s">
        <v>1174</v>
      </c>
      <c r="E64" s="1942" t="s">
        <v>1112</v>
      </c>
      <c r="F64" s="1883">
        <f t="shared" ca="1" si="0"/>
        <v>0.01</v>
      </c>
      <c r="I64" s="2034" t="s">
        <v>1249</v>
      </c>
      <c r="J64" s="2035">
        <v>50</v>
      </c>
      <c r="K64" s="2035">
        <v>35</v>
      </c>
      <c r="L64" s="2035">
        <v>60</v>
      </c>
      <c r="M64" s="2036">
        <v>0</v>
      </c>
      <c r="O64" s="1993" t="s">
        <v>1182</v>
      </c>
      <c r="P64" s="1994" t="s">
        <v>1183</v>
      </c>
      <c r="Q64" s="2038" t="s">
        <v>1184</v>
      </c>
      <c r="R64" s="2038" t="s">
        <v>1185</v>
      </c>
    </row>
    <row r="65" spans="1:18" s="773" customFormat="1">
      <c r="A65" s="1846" t="s">
        <v>874</v>
      </c>
      <c r="B65" s="1942" t="s">
        <v>1144</v>
      </c>
      <c r="C65" s="293">
        <f ca="1">ROUND(C56*F65,1)</f>
        <v>4.9000000000000004</v>
      </c>
      <c r="D65" s="1950" t="s">
        <v>1145</v>
      </c>
      <c r="E65" s="1942" t="s">
        <v>1112</v>
      </c>
      <c r="F65" s="1884">
        <f t="shared" ca="1" si="0"/>
        <v>1.5E-3</v>
      </c>
      <c r="I65" s="2034" t="s">
        <v>1250</v>
      </c>
      <c r="J65" s="2035">
        <v>40</v>
      </c>
      <c r="K65" s="2035">
        <v>30</v>
      </c>
      <c r="L65" s="2035">
        <v>50</v>
      </c>
      <c r="M65" s="2037">
        <v>0.02</v>
      </c>
      <c r="O65" s="2000" t="s">
        <v>931</v>
      </c>
      <c r="P65" s="2001" t="s">
        <v>1189</v>
      </c>
      <c r="Q65" s="2039">
        <f ca="1">C40+J29</f>
        <v>26654</v>
      </c>
      <c r="R65" s="2039" t="s">
        <v>1190</v>
      </c>
    </row>
    <row r="66" spans="1:18" s="773" customFormat="1" ht="15.75">
      <c r="A66" s="1846" t="s">
        <v>877</v>
      </c>
      <c r="B66" s="1942" t="s">
        <v>1130</v>
      </c>
      <c r="C66" s="293">
        <f ca="1">ROUND(C48*F66,1)</f>
        <v>0</v>
      </c>
      <c r="D66" s="1950" t="s">
        <v>1148</v>
      </c>
      <c r="E66" s="1942" t="s">
        <v>1112</v>
      </c>
      <c r="F66" s="1825">
        <f t="shared" ca="1" si="0"/>
        <v>1.4999999999999999E-2</v>
      </c>
      <c r="O66" s="2000" t="s">
        <v>935</v>
      </c>
      <c r="P66" s="2001" t="s">
        <v>1230</v>
      </c>
      <c r="Q66" s="2039">
        <f ca="1">L60</f>
        <v>0</v>
      </c>
      <c r="R66" s="2039" t="s">
        <v>1231</v>
      </c>
    </row>
    <row r="67" spans="1:18" s="773" customFormat="1" ht="15.75">
      <c r="A67" s="1937" t="s">
        <v>1151</v>
      </c>
      <c r="B67" s="2041" t="s">
        <v>1152</v>
      </c>
      <c r="C67" s="292">
        <f ca="1">C48-C58</f>
        <v>-446</v>
      </c>
      <c r="D67" s="1949" t="s">
        <v>1153</v>
      </c>
      <c r="E67" s="2042"/>
      <c r="F67" s="2043"/>
      <c r="O67" s="2007" t="s">
        <v>1202</v>
      </c>
      <c r="P67" s="2001" t="s">
        <v>1234</v>
      </c>
      <c r="Q67" s="2063">
        <f ca="1">L51</f>
        <v>31454</v>
      </c>
      <c r="R67" s="2039" t="s">
        <v>1251</v>
      </c>
    </row>
    <row r="68" spans="1:18" s="773" customFormat="1" ht="15.75">
      <c r="A68" s="2044" t="s">
        <v>1157</v>
      </c>
      <c r="B68" s="2045" t="s">
        <v>1175</v>
      </c>
      <c r="C68" s="1889">
        <f ca="1">ROUND(C67*(1-((1+F70)/(1+F68))^F69)/(F68-F70),0)</f>
        <v>-4816</v>
      </c>
      <c r="D68" s="1952" t="s">
        <v>1159</v>
      </c>
      <c r="E68" s="1942" t="s">
        <v>1160</v>
      </c>
      <c r="F68" s="1825">
        <f ca="1">F40</f>
        <v>5.5E-2</v>
      </c>
      <c r="O68" s="2007" t="s">
        <v>1206</v>
      </c>
      <c r="P68" s="2062" t="s">
        <v>1252</v>
      </c>
      <c r="Q68" s="2039">
        <f ca="1">ROUND(Q69-Q70*Q71,0)</f>
        <v>1833</v>
      </c>
      <c r="R68" s="2039" t="s">
        <v>1253</v>
      </c>
    </row>
    <row r="69" spans="1:18" s="773" customFormat="1">
      <c r="A69" s="2046"/>
      <c r="B69" s="2047"/>
      <c r="C69" s="1824"/>
      <c r="D69" s="2048" t="s">
        <v>1163</v>
      </c>
      <c r="E69" s="1942" t="s">
        <v>1164</v>
      </c>
      <c r="F69" s="1893">
        <f ca="1">F41</f>
        <v>16.829999999999998</v>
      </c>
      <c r="O69" s="2007" t="s">
        <v>1254</v>
      </c>
      <c r="P69" s="2062" t="s">
        <v>1255</v>
      </c>
      <c r="Q69" s="2039">
        <f ca="1">C39</f>
        <v>2079</v>
      </c>
      <c r="R69" s="2039" t="s">
        <v>1190</v>
      </c>
    </row>
    <row r="70" spans="1:18" s="773" customFormat="1">
      <c r="A70" s="2049"/>
      <c r="B70" s="2050"/>
      <c r="C70" s="1843"/>
      <c r="D70" s="1954"/>
      <c r="E70" s="1942" t="s">
        <v>1167</v>
      </c>
      <c r="F70" s="1932"/>
      <c r="O70" s="2007" t="s">
        <v>1256</v>
      </c>
      <c r="P70" s="2062" t="s">
        <v>1257</v>
      </c>
      <c r="Q70" s="2039">
        <f ca="1">C13</f>
        <v>3279</v>
      </c>
      <c r="R70" s="2039" t="s">
        <v>1190</v>
      </c>
    </row>
    <row r="71" spans="1:18" s="773" customFormat="1">
      <c r="A71" s="2051" t="s">
        <v>1169</v>
      </c>
      <c r="B71" s="2052" t="s">
        <v>1176</v>
      </c>
      <c r="C71" s="1897">
        <f ca="1">ROUND(C68*10000/F71,0)</f>
        <v>-4581</v>
      </c>
      <c r="D71" s="2053" t="s">
        <v>1177</v>
      </c>
      <c r="E71" s="2054" t="s">
        <v>1178</v>
      </c>
      <c r="F71" s="1900">
        <f ca="1">F43</f>
        <v>10513.99</v>
      </c>
      <c r="O71" s="2007" t="s">
        <v>1258</v>
      </c>
      <c r="P71" s="2062" t="s">
        <v>1259</v>
      </c>
      <c r="Q71" s="2040">
        <f ca="1">C76</f>
        <v>7.4999999999999997E-2</v>
      </c>
      <c r="R71" s="2039"/>
    </row>
    <row r="72" spans="1:18" s="773" customFormat="1">
      <c r="B72" s="327"/>
      <c r="C72" s="327"/>
      <c r="O72" s="2007" t="s">
        <v>1210</v>
      </c>
      <c r="P72" s="2001" t="s">
        <v>1236</v>
      </c>
      <c r="Q72" s="2040">
        <f>L52</f>
        <v>0</v>
      </c>
      <c r="R72" s="2039"/>
    </row>
    <row r="73" spans="1:18" ht="15.75">
      <c r="A73" s="773"/>
      <c r="B73" s="327"/>
      <c r="C73" s="327"/>
      <c r="D73" s="773"/>
      <c r="E73" s="773"/>
      <c r="F73" s="773"/>
      <c r="O73" s="2007" t="s">
        <v>1214</v>
      </c>
      <c r="P73" s="2001" t="s">
        <v>1239</v>
      </c>
      <c r="Q73" s="2039" t="e">
        <f ca="1">L58</f>
        <v>#DIV/0!</v>
      </c>
      <c r="R73" s="2039" t="s">
        <v>1240</v>
      </c>
    </row>
    <row r="74" spans="1:18">
      <c r="A74" s="773"/>
      <c r="B74" s="228" t="s">
        <v>1260</v>
      </c>
      <c r="C74" s="2055"/>
      <c r="D74" s="773"/>
      <c r="E74" s="773"/>
      <c r="F74" s="773"/>
      <c r="O74" s="2007" t="s">
        <v>1261</v>
      </c>
      <c r="P74" s="2001" t="str">
        <f>K59</f>
        <v>建筑物剩余耐用年限下的土地年期修正系数Kn</v>
      </c>
      <c r="Q74" s="2039" t="e">
        <f ca="1">L59</f>
        <v>#DIV/0!</v>
      </c>
      <c r="R74" s="2039" t="s">
        <v>1241</v>
      </c>
    </row>
    <row r="75" spans="1:18">
      <c r="A75" s="773"/>
      <c r="B75" s="2056" t="s">
        <v>1262</v>
      </c>
      <c r="C75" s="2057">
        <f ca="1">ROUND(C13*C76,0)</f>
        <v>246</v>
      </c>
      <c r="D75" s="773"/>
      <c r="E75" s="773"/>
      <c r="F75" s="773"/>
      <c r="K75" s="1987"/>
      <c r="L75" s="773"/>
      <c r="O75" s="2000" t="s">
        <v>1039</v>
      </c>
      <c r="P75" s="2001" t="s">
        <v>1220</v>
      </c>
      <c r="Q75" s="2039">
        <f ca="1">Q65+Q66</f>
        <v>26654</v>
      </c>
      <c r="R75" s="2039" t="s">
        <v>1221</v>
      </c>
    </row>
    <row r="76" spans="1:18">
      <c r="B76" s="592" t="s">
        <v>1263</v>
      </c>
      <c r="C76" s="2058">
        <f ca="1">INDIRECT("'数据-取费表'!j"&amp;$G$1)</f>
        <v>7.4999999999999997E-2</v>
      </c>
      <c r="I76" s="773"/>
      <c r="J76" s="773"/>
      <c r="K76" s="1987"/>
      <c r="L76" s="773"/>
    </row>
    <row r="77" spans="1:18">
      <c r="B77" s="2059" t="s">
        <v>1264</v>
      </c>
      <c r="C77" s="2060"/>
      <c r="I77" s="773"/>
      <c r="J77" s="773"/>
      <c r="K77" s="1987"/>
      <c r="L77" s="773"/>
    </row>
    <row r="78" spans="1:18">
      <c r="B78" s="226" t="s">
        <v>1265</v>
      </c>
      <c r="C78" s="2061"/>
    </row>
    <row r="79" spans="1:18">
      <c r="B79" s="2056" t="s">
        <v>1266</v>
      </c>
      <c r="C79" s="229">
        <f ca="1">1-C80</f>
        <v>0.88200000000000001</v>
      </c>
    </row>
    <row r="80" spans="1:18">
      <c r="B80" s="2056" t="s">
        <v>1267</v>
      </c>
      <c r="C80" s="229">
        <f ca="1">ROUND(C75/C39,3)</f>
        <v>0.11799999999999999</v>
      </c>
    </row>
    <row r="81" spans="2:3">
      <c r="B81" s="226" t="s">
        <v>1268</v>
      </c>
      <c r="C81" s="196"/>
    </row>
    <row r="82" spans="2:3">
      <c r="B82" s="228" t="s">
        <v>1012</v>
      </c>
      <c r="C82" s="230">
        <f ca="1">1-C83</f>
        <v>0.877</v>
      </c>
    </row>
    <row r="83" spans="2:3">
      <c r="B83" s="228" t="s">
        <v>1013</v>
      </c>
      <c r="C83" s="229">
        <f ca="1">ROUND(C13/C40,3)</f>
        <v>0.123</v>
      </c>
    </row>
  </sheetData>
  <sheetProtection formatCells="0" formatColumns="0" formatRows="0"/>
  <mergeCells count="3">
    <mergeCell ref="K53:L53"/>
    <mergeCell ref="B6:B9"/>
    <mergeCell ref="I6:I9"/>
  </mergeCells>
  <phoneticPr fontId="228"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66"/>
  <sheetViews>
    <sheetView workbookViewId="0">
      <pane xSplit="4" ySplit="2" topLeftCell="E213" activePane="bottomRight" state="frozen"/>
      <selection pane="topRight"/>
      <selection pane="bottomLeft"/>
      <selection pane="bottomRight" activeCell="H241" sqref="H241:H260"/>
    </sheetView>
  </sheetViews>
  <sheetFormatPr defaultColWidth="9" defaultRowHeight="13.5"/>
  <cols>
    <col min="1" max="1" width="9" style="2067"/>
    <col min="2" max="2" width="33.625" style="2067" customWidth="1"/>
    <col min="3" max="3" width="20.75" style="2068" customWidth="1"/>
    <col min="4" max="4" width="9.625" style="2067" customWidth="1"/>
    <col min="5" max="5" width="21.25" style="2067" customWidth="1"/>
    <col min="6" max="6" width="9" style="2067" customWidth="1"/>
    <col min="7" max="7" width="12.75" style="2067" customWidth="1"/>
    <col min="8" max="8" width="14.5" style="2067" customWidth="1"/>
    <col min="9" max="9" width="18.75" style="2067" customWidth="1"/>
    <col min="10" max="10" width="9" style="2067" customWidth="1"/>
    <col min="11" max="11" width="13.375" style="2068" customWidth="1"/>
    <col min="12" max="16384" width="9" style="2067"/>
  </cols>
  <sheetData>
    <row r="1" spans="1:11">
      <c r="A1" s="3476" t="s">
        <v>1269</v>
      </c>
      <c r="B1" s="3476"/>
      <c r="C1" s="3476"/>
      <c r="D1" s="3476"/>
      <c r="E1" s="3476"/>
      <c r="F1" s="3476"/>
      <c r="G1" s="3476"/>
      <c r="H1" s="3476"/>
      <c r="I1" s="3476"/>
      <c r="J1" s="3476"/>
      <c r="K1" s="3476"/>
    </row>
    <row r="2" spans="1:11">
      <c r="A2" s="2069" t="s">
        <v>1270</v>
      </c>
      <c r="B2" s="2069" t="s">
        <v>1271</v>
      </c>
      <c r="C2" s="2070" t="s">
        <v>1272</v>
      </c>
      <c r="D2" s="2069" t="s">
        <v>1273</v>
      </c>
      <c r="E2" s="2069" t="s">
        <v>1274</v>
      </c>
      <c r="F2" s="2069" t="s">
        <v>1275</v>
      </c>
      <c r="G2" s="2069" t="s">
        <v>1276</v>
      </c>
      <c r="H2" s="2069" t="s">
        <v>1277</v>
      </c>
      <c r="I2" s="2084" t="s">
        <v>1278</v>
      </c>
      <c r="J2" s="2084" t="s">
        <v>1279</v>
      </c>
      <c r="K2" s="2085" t="s">
        <v>1280</v>
      </c>
    </row>
    <row r="3" spans="1:11" s="2064" customFormat="1" ht="15" customHeight="1">
      <c r="A3" s="2069" t="s">
        <v>1281</v>
      </c>
      <c r="B3" s="2069"/>
      <c r="C3" s="2071"/>
      <c r="D3" s="2069"/>
      <c r="E3" s="2069"/>
      <c r="F3" s="2072"/>
      <c r="G3" s="2073"/>
      <c r="H3" s="2074"/>
      <c r="I3" s="2086"/>
      <c r="J3" s="2086"/>
      <c r="K3" s="2087"/>
    </row>
    <row r="4" spans="1:11" s="2065" customFormat="1" ht="15" customHeight="1">
      <c r="A4" s="2075">
        <v>1</v>
      </c>
      <c r="B4" s="2075" t="s">
        <v>1282</v>
      </c>
      <c r="C4" s="2076" t="s">
        <v>1283</v>
      </c>
      <c r="D4" s="2075">
        <v>24</v>
      </c>
      <c r="E4" s="2075" t="s">
        <v>1284</v>
      </c>
      <c r="F4" s="2077">
        <v>5</v>
      </c>
      <c r="G4" s="2078">
        <v>9.26</v>
      </c>
      <c r="H4" s="2079">
        <f t="shared" ref="H4:H22" si="0">D4*365*G4</f>
        <v>81117.599999999991</v>
      </c>
      <c r="I4" s="2088" t="s">
        <v>1285</v>
      </c>
      <c r="J4" s="2088">
        <v>12000</v>
      </c>
      <c r="K4" s="2089" t="s">
        <v>1286</v>
      </c>
    </row>
    <row r="5" spans="1:11" s="2065" customFormat="1" ht="15" customHeight="1">
      <c r="A5" s="2075">
        <v>2</v>
      </c>
      <c r="B5" s="2075" t="s">
        <v>1287</v>
      </c>
      <c r="C5" s="2076" t="s">
        <v>1288</v>
      </c>
      <c r="D5" s="2075">
        <v>24</v>
      </c>
      <c r="E5" s="2075" t="s">
        <v>1289</v>
      </c>
      <c r="F5" s="2077">
        <v>3</v>
      </c>
      <c r="G5" s="2078">
        <v>12.13</v>
      </c>
      <c r="H5" s="2079">
        <f t="shared" si="0"/>
        <v>106258.8</v>
      </c>
      <c r="I5" s="2084" t="s">
        <v>1290</v>
      </c>
      <c r="J5" s="2088">
        <v>18000</v>
      </c>
      <c r="K5" s="2085" t="s">
        <v>1291</v>
      </c>
    </row>
    <row r="6" spans="1:11" s="2065" customFormat="1" ht="15" customHeight="1">
      <c r="A6" s="2075">
        <v>3</v>
      </c>
      <c r="B6" s="2075" t="s">
        <v>1292</v>
      </c>
      <c r="C6" s="2076" t="s">
        <v>1293</v>
      </c>
      <c r="D6" s="2075">
        <v>27</v>
      </c>
      <c r="E6" s="2075" t="s">
        <v>1294</v>
      </c>
      <c r="F6" s="2077">
        <v>3</v>
      </c>
      <c r="G6" s="2078">
        <v>9.92</v>
      </c>
      <c r="H6" s="2079">
        <f t="shared" si="0"/>
        <v>97761.600000000006</v>
      </c>
      <c r="I6" s="2088" t="s">
        <v>1285</v>
      </c>
      <c r="J6" s="2088">
        <v>17000</v>
      </c>
      <c r="K6" s="2089" t="s">
        <v>1295</v>
      </c>
    </row>
    <row r="7" spans="1:11" s="2065" customFormat="1" ht="15" customHeight="1">
      <c r="A7" s="2075">
        <v>4</v>
      </c>
      <c r="B7" s="2075" t="s">
        <v>1296</v>
      </c>
      <c r="C7" s="2076" t="s">
        <v>1297</v>
      </c>
      <c r="D7" s="2075">
        <v>20</v>
      </c>
      <c r="E7" s="2075" t="s">
        <v>1298</v>
      </c>
      <c r="F7" s="2077">
        <v>5</v>
      </c>
      <c r="G7" s="2078">
        <v>7.3</v>
      </c>
      <c r="H7" s="2079">
        <f t="shared" si="0"/>
        <v>53290</v>
      </c>
      <c r="I7" s="2088" t="s">
        <v>1285</v>
      </c>
      <c r="J7" s="2088">
        <v>10000</v>
      </c>
      <c r="K7" s="2089" t="s">
        <v>1299</v>
      </c>
    </row>
    <row r="8" spans="1:11" s="2065" customFormat="1" ht="15" customHeight="1">
      <c r="A8" s="2075">
        <v>5</v>
      </c>
      <c r="B8" s="2075" t="s">
        <v>1300</v>
      </c>
      <c r="C8" s="2076" t="s">
        <v>1301</v>
      </c>
      <c r="D8" s="2075">
        <v>20</v>
      </c>
      <c r="E8" s="2075" t="s">
        <v>1302</v>
      </c>
      <c r="F8" s="2080" t="s">
        <v>1303</v>
      </c>
      <c r="G8" s="2078">
        <v>10.34</v>
      </c>
      <c r="H8" s="2079">
        <f t="shared" si="0"/>
        <v>75482</v>
      </c>
      <c r="I8" s="2088" t="s">
        <v>1285</v>
      </c>
      <c r="J8" s="2088">
        <v>12000</v>
      </c>
      <c r="K8" s="2085" t="s">
        <v>1304</v>
      </c>
    </row>
    <row r="9" spans="1:11" s="2065" customFormat="1" ht="15" customHeight="1">
      <c r="A9" s="2075">
        <v>6</v>
      </c>
      <c r="B9" s="2075" t="s">
        <v>1305</v>
      </c>
      <c r="C9" s="2076" t="s">
        <v>1306</v>
      </c>
      <c r="D9" s="2075">
        <v>20</v>
      </c>
      <c r="E9" s="2075" t="s">
        <v>1307</v>
      </c>
      <c r="F9" s="2077">
        <v>3</v>
      </c>
      <c r="G9" s="2078">
        <v>9.92</v>
      </c>
      <c r="H9" s="2079">
        <f t="shared" si="0"/>
        <v>72416</v>
      </c>
      <c r="I9" s="2088" t="s">
        <v>1285</v>
      </c>
      <c r="J9" s="2088">
        <v>13000</v>
      </c>
      <c r="K9" s="2085" t="s">
        <v>1308</v>
      </c>
    </row>
    <row r="10" spans="1:11" s="2065" customFormat="1" ht="15" customHeight="1">
      <c r="A10" s="2075">
        <v>7</v>
      </c>
      <c r="B10" s="2075" t="s">
        <v>1309</v>
      </c>
      <c r="C10" s="2076" t="s">
        <v>1310</v>
      </c>
      <c r="D10" s="2075">
        <v>22</v>
      </c>
      <c r="E10" s="2075" t="s">
        <v>1311</v>
      </c>
      <c r="F10" s="2077">
        <v>3</v>
      </c>
      <c r="G10" s="2078">
        <v>9.92</v>
      </c>
      <c r="H10" s="2079">
        <f t="shared" si="0"/>
        <v>79657.600000000006</v>
      </c>
      <c r="I10" s="2088" t="s">
        <v>1285</v>
      </c>
      <c r="J10" s="2088">
        <v>14000</v>
      </c>
      <c r="K10" s="2085" t="s">
        <v>1312</v>
      </c>
    </row>
    <row r="11" spans="1:11" s="2065" customFormat="1" ht="15" customHeight="1">
      <c r="A11" s="2075">
        <v>8</v>
      </c>
      <c r="B11" s="2075" t="s">
        <v>1313</v>
      </c>
      <c r="C11" s="2076" t="s">
        <v>1314</v>
      </c>
      <c r="D11" s="2075">
        <v>26</v>
      </c>
      <c r="E11" s="2075" t="s">
        <v>1315</v>
      </c>
      <c r="F11" s="2077">
        <v>5</v>
      </c>
      <c r="G11" s="2078">
        <v>10.42</v>
      </c>
      <c r="H11" s="2079">
        <f t="shared" si="0"/>
        <v>98885.8</v>
      </c>
      <c r="I11" s="2084" t="s">
        <v>1285</v>
      </c>
      <c r="J11" s="2088">
        <v>13000</v>
      </c>
      <c r="K11" s="2085" t="s">
        <v>1316</v>
      </c>
    </row>
    <row r="12" spans="1:11" s="2065" customFormat="1" ht="15" customHeight="1">
      <c r="A12" s="2075">
        <v>9</v>
      </c>
      <c r="B12" s="2075" t="s">
        <v>1317</v>
      </c>
      <c r="C12" s="2076" t="s">
        <v>1318</v>
      </c>
      <c r="D12" s="2075">
        <v>23</v>
      </c>
      <c r="E12" s="2075" t="s">
        <v>1319</v>
      </c>
      <c r="F12" s="2077">
        <v>5</v>
      </c>
      <c r="G12" s="2075">
        <v>7.91</v>
      </c>
      <c r="H12" s="2079">
        <f t="shared" si="0"/>
        <v>66404.45</v>
      </c>
      <c r="I12" s="2084" t="s">
        <v>1320</v>
      </c>
      <c r="J12" s="2088">
        <v>10000</v>
      </c>
      <c r="K12" s="2085" t="s">
        <v>1321</v>
      </c>
    </row>
    <row r="13" spans="1:11" s="2065" customFormat="1" ht="15" customHeight="1">
      <c r="A13" s="2075">
        <v>10</v>
      </c>
      <c r="B13" s="2075" t="s">
        <v>1322</v>
      </c>
      <c r="C13" s="2076" t="s">
        <v>1323</v>
      </c>
      <c r="D13" s="2075">
        <v>25</v>
      </c>
      <c r="E13" s="2075" t="s">
        <v>1324</v>
      </c>
      <c r="F13" s="2077">
        <v>5</v>
      </c>
      <c r="G13" s="2075">
        <v>7.91</v>
      </c>
      <c r="H13" s="2079">
        <f t="shared" si="0"/>
        <v>72178.75</v>
      </c>
      <c r="I13" s="2084" t="s">
        <v>1320</v>
      </c>
      <c r="J13" s="2088">
        <v>10000</v>
      </c>
      <c r="K13" s="2085" t="s">
        <v>1325</v>
      </c>
    </row>
    <row r="14" spans="1:11" s="2065" customFormat="1" ht="15" customHeight="1">
      <c r="A14" s="2075">
        <v>11</v>
      </c>
      <c r="B14" s="2075"/>
      <c r="C14" s="2076" t="s">
        <v>1326</v>
      </c>
      <c r="D14" s="2075">
        <v>26</v>
      </c>
      <c r="E14" s="2075"/>
      <c r="F14" s="2077"/>
      <c r="G14" s="2078"/>
      <c r="H14" s="2079">
        <f t="shared" si="0"/>
        <v>0</v>
      </c>
      <c r="I14" s="2084"/>
      <c r="J14" s="2088"/>
      <c r="K14" s="2085"/>
    </row>
    <row r="15" spans="1:11" s="2065" customFormat="1" ht="15" customHeight="1">
      <c r="A15" s="2075">
        <v>12</v>
      </c>
      <c r="B15" s="2075" t="s">
        <v>1327</v>
      </c>
      <c r="C15" s="2076" t="s">
        <v>1328</v>
      </c>
      <c r="D15" s="2075">
        <v>27</v>
      </c>
      <c r="E15" s="2075" t="s">
        <v>1329</v>
      </c>
      <c r="F15" s="2077">
        <v>3</v>
      </c>
      <c r="G15" s="2081">
        <v>9.7200000000000006</v>
      </c>
      <c r="H15" s="2079">
        <f t="shared" si="0"/>
        <v>95790.6</v>
      </c>
      <c r="I15" s="2088" t="s">
        <v>1285</v>
      </c>
      <c r="J15" s="2088">
        <v>16000</v>
      </c>
      <c r="K15" s="2085" t="s">
        <v>1330</v>
      </c>
    </row>
    <row r="16" spans="1:11" s="2065" customFormat="1" ht="15" customHeight="1">
      <c r="A16" s="2075">
        <v>13</v>
      </c>
      <c r="B16" s="2075" t="s">
        <v>1331</v>
      </c>
      <c r="C16" s="2076" t="s">
        <v>1332</v>
      </c>
      <c r="D16" s="2075">
        <v>28</v>
      </c>
      <c r="E16" s="2075" t="s">
        <v>1333</v>
      </c>
      <c r="F16" s="2077">
        <v>2</v>
      </c>
      <c r="G16" s="2081">
        <v>12.13</v>
      </c>
      <c r="H16" s="2079">
        <f t="shared" si="0"/>
        <v>123968.6</v>
      </c>
      <c r="I16" s="2084" t="s">
        <v>1290</v>
      </c>
      <c r="J16" s="2088">
        <v>21000</v>
      </c>
      <c r="K16" s="2089" t="s">
        <v>1334</v>
      </c>
    </row>
    <row r="17" spans="1:11" s="2065" customFormat="1" ht="15" customHeight="1">
      <c r="A17" s="2075">
        <v>14</v>
      </c>
      <c r="B17" s="2075" t="s">
        <v>1335</v>
      </c>
      <c r="C17" s="2076" t="s">
        <v>1336</v>
      </c>
      <c r="D17" s="2075">
        <v>25</v>
      </c>
      <c r="E17" s="2075" t="s">
        <v>1337</v>
      </c>
      <c r="F17" s="2077">
        <v>2</v>
      </c>
      <c r="G17" s="2078">
        <v>9.11</v>
      </c>
      <c r="H17" s="2079">
        <f t="shared" si="0"/>
        <v>83128.75</v>
      </c>
      <c r="I17" s="2088" t="s">
        <v>1285</v>
      </c>
      <c r="J17" s="2088">
        <v>12500</v>
      </c>
      <c r="K17" s="2085" t="s">
        <v>1338</v>
      </c>
    </row>
    <row r="18" spans="1:11" s="2065" customFormat="1" ht="15" customHeight="1">
      <c r="A18" s="2075">
        <v>15</v>
      </c>
      <c r="B18" s="2075" t="s">
        <v>1339</v>
      </c>
      <c r="C18" s="2076" t="s">
        <v>1340</v>
      </c>
      <c r="D18" s="2075">
        <v>23</v>
      </c>
      <c r="E18" s="2075" t="s">
        <v>1341</v>
      </c>
      <c r="F18" s="2077">
        <v>3</v>
      </c>
      <c r="G18" s="2078">
        <v>8.4</v>
      </c>
      <c r="H18" s="2079">
        <f t="shared" si="0"/>
        <v>70518</v>
      </c>
      <c r="I18" s="2088" t="s">
        <v>1285</v>
      </c>
      <c r="J18" s="2088">
        <v>12000</v>
      </c>
      <c r="K18" s="2085" t="s">
        <v>1342</v>
      </c>
    </row>
    <row r="19" spans="1:11" s="2065" customFormat="1" ht="15" customHeight="1">
      <c r="A19" s="2075">
        <v>16</v>
      </c>
      <c r="B19" s="2075"/>
      <c r="C19" s="2076" t="s">
        <v>1343</v>
      </c>
      <c r="D19" s="2075">
        <v>23</v>
      </c>
      <c r="E19" s="2075"/>
      <c r="F19" s="2077"/>
      <c r="G19" s="2078"/>
      <c r="H19" s="2079">
        <f t="shared" si="0"/>
        <v>0</v>
      </c>
      <c r="I19" s="2084"/>
      <c r="J19" s="2088"/>
      <c r="K19" s="2085"/>
    </row>
    <row r="20" spans="1:11" s="2065" customFormat="1" ht="15" customHeight="1">
      <c r="A20" s="2075">
        <v>17</v>
      </c>
      <c r="B20" s="2075" t="s">
        <v>1344</v>
      </c>
      <c r="C20" s="2076" t="s">
        <v>1345</v>
      </c>
      <c r="D20" s="2075">
        <v>25</v>
      </c>
      <c r="E20" s="2075" t="s">
        <v>1346</v>
      </c>
      <c r="F20" s="2077">
        <v>3</v>
      </c>
      <c r="G20" s="2078">
        <v>8.52</v>
      </c>
      <c r="H20" s="2079">
        <f t="shared" si="0"/>
        <v>77745</v>
      </c>
      <c r="I20" s="2084" t="s">
        <v>1347</v>
      </c>
      <c r="J20" s="2088">
        <v>12500</v>
      </c>
      <c r="K20" s="2085" t="s">
        <v>1348</v>
      </c>
    </row>
    <row r="21" spans="1:11" s="2065" customFormat="1" ht="15" customHeight="1">
      <c r="A21" s="2075">
        <v>18</v>
      </c>
      <c r="B21" s="2075" t="s">
        <v>1349</v>
      </c>
      <c r="C21" s="2076" t="s">
        <v>1350</v>
      </c>
      <c r="D21" s="2075">
        <v>24</v>
      </c>
      <c r="E21" s="2075" t="s">
        <v>1351</v>
      </c>
      <c r="F21" s="2077">
        <v>5</v>
      </c>
      <c r="G21" s="2078">
        <v>7.3</v>
      </c>
      <c r="H21" s="2079">
        <f t="shared" si="0"/>
        <v>63948</v>
      </c>
      <c r="I21" s="2088" t="s">
        <v>1285</v>
      </c>
      <c r="J21" s="2088">
        <v>10000</v>
      </c>
      <c r="K21" s="2089" t="s">
        <v>1352</v>
      </c>
    </row>
    <row r="22" spans="1:11" s="2065" customFormat="1" ht="15" customHeight="1">
      <c r="A22" s="2075">
        <v>19</v>
      </c>
      <c r="B22" s="2075"/>
      <c r="C22" s="2076" t="s">
        <v>1353</v>
      </c>
      <c r="D22" s="2075">
        <v>27</v>
      </c>
      <c r="E22" s="2075"/>
      <c r="F22" s="2077"/>
      <c r="G22" s="2078"/>
      <c r="H22" s="2079">
        <f t="shared" si="0"/>
        <v>0</v>
      </c>
      <c r="I22" s="2088"/>
      <c r="J22" s="2088"/>
      <c r="K22" s="2085"/>
    </row>
    <row r="23" spans="1:11" s="2065" customFormat="1" ht="15" customHeight="1">
      <c r="A23" s="2075">
        <v>20</v>
      </c>
      <c r="B23" s="2075"/>
      <c r="C23" s="2076" t="s">
        <v>1354</v>
      </c>
      <c r="D23" s="2075">
        <v>23</v>
      </c>
      <c r="E23" s="2075"/>
      <c r="F23" s="2077"/>
      <c r="G23" s="2081"/>
      <c r="H23" s="2079"/>
      <c r="I23" s="2088"/>
      <c r="J23" s="2088"/>
      <c r="K23" s="2089"/>
    </row>
    <row r="24" spans="1:11" s="2065" customFormat="1" ht="15" customHeight="1">
      <c r="A24" s="2075">
        <v>21</v>
      </c>
      <c r="B24" s="2075"/>
      <c r="C24" s="2076" t="s">
        <v>1355</v>
      </c>
      <c r="D24" s="2075">
        <v>21</v>
      </c>
      <c r="E24" s="2075"/>
      <c r="F24" s="2077"/>
      <c r="G24" s="2078"/>
      <c r="H24" s="2079">
        <f>D24*365*G24</f>
        <v>0</v>
      </c>
      <c r="I24" s="2084"/>
      <c r="J24" s="2088"/>
      <c r="K24" s="2085"/>
    </row>
    <row r="25" spans="1:11" s="2065" customFormat="1" ht="15" customHeight="1">
      <c r="A25" s="2075">
        <v>22</v>
      </c>
      <c r="B25" s="2075"/>
      <c r="C25" s="2076" t="s">
        <v>1356</v>
      </c>
      <c r="D25" s="2075">
        <v>19</v>
      </c>
      <c r="E25" s="2075"/>
      <c r="F25" s="2077"/>
      <c r="G25" s="2081"/>
      <c r="H25" s="2079">
        <f>D25*365*G25</f>
        <v>0</v>
      </c>
      <c r="I25" s="2084"/>
      <c r="J25" s="2088"/>
      <c r="K25" s="2085"/>
    </row>
    <row r="26" spans="1:11" s="2065" customFormat="1" ht="15" customHeight="1">
      <c r="A26" s="2075">
        <v>23</v>
      </c>
      <c r="B26" s="2075"/>
      <c r="C26" s="2076" t="s">
        <v>1357</v>
      </c>
      <c r="D26" s="2075">
        <v>15</v>
      </c>
      <c r="E26" s="2075"/>
      <c r="F26" s="2077"/>
      <c r="G26" s="2081"/>
      <c r="H26" s="2079"/>
      <c r="I26" s="2084"/>
      <c r="J26" s="2088"/>
      <c r="K26" s="2085"/>
    </row>
    <row r="27" spans="1:11" s="2065" customFormat="1" ht="15" customHeight="1">
      <c r="A27" s="2075">
        <v>24</v>
      </c>
      <c r="B27" s="2075"/>
      <c r="C27" s="2076" t="s">
        <v>1358</v>
      </c>
      <c r="D27" s="2075">
        <v>10</v>
      </c>
      <c r="E27" s="2075"/>
      <c r="F27" s="2077"/>
      <c r="G27" s="2078"/>
      <c r="H27" s="2079">
        <f t="shared" ref="H27:H90" si="1">D27*365*G27</f>
        <v>0</v>
      </c>
      <c r="I27" s="2088"/>
      <c r="J27" s="2088"/>
      <c r="K27" s="2085"/>
    </row>
    <row r="28" spans="1:11" s="2065" customFormat="1" ht="15" customHeight="1">
      <c r="A28" s="2075">
        <v>25</v>
      </c>
      <c r="B28" s="2075" t="s">
        <v>1359</v>
      </c>
      <c r="C28" s="2076" t="s">
        <v>1360</v>
      </c>
      <c r="D28" s="2075">
        <v>8</v>
      </c>
      <c r="E28" s="2075" t="s">
        <v>1361</v>
      </c>
      <c r="F28" s="2077">
        <v>3</v>
      </c>
      <c r="G28" s="2078">
        <v>9.11</v>
      </c>
      <c r="H28" s="2079">
        <f t="shared" si="1"/>
        <v>26601.199999999997</v>
      </c>
      <c r="I28" s="2084" t="s">
        <v>1362</v>
      </c>
      <c r="J28" s="2088">
        <v>10000</v>
      </c>
      <c r="K28" s="2085" t="s">
        <v>1363</v>
      </c>
    </row>
    <row r="29" spans="1:11" s="2065" customFormat="1" ht="15" customHeight="1">
      <c r="A29" s="2075">
        <v>26</v>
      </c>
      <c r="B29" s="2075" t="s">
        <v>1364</v>
      </c>
      <c r="C29" s="2076" t="s">
        <v>1365</v>
      </c>
      <c r="D29" s="2075">
        <v>38</v>
      </c>
      <c r="E29" s="2075" t="s">
        <v>1366</v>
      </c>
      <c r="F29" s="2077">
        <v>3</v>
      </c>
      <c r="G29" s="2078">
        <v>8.52</v>
      </c>
      <c r="H29" s="2079">
        <f t="shared" si="1"/>
        <v>118172.4</v>
      </c>
      <c r="I29" s="2088" t="s">
        <v>1347</v>
      </c>
      <c r="J29" s="2088">
        <v>19000</v>
      </c>
      <c r="K29" s="2085" t="s">
        <v>1367</v>
      </c>
    </row>
    <row r="30" spans="1:11" s="2065" customFormat="1" ht="15" customHeight="1">
      <c r="A30" s="2075">
        <v>27</v>
      </c>
      <c r="B30" s="2075" t="s">
        <v>1368</v>
      </c>
      <c r="C30" s="2076" t="s">
        <v>1369</v>
      </c>
      <c r="D30" s="2075">
        <v>15</v>
      </c>
      <c r="E30" s="2075" t="s">
        <v>1370</v>
      </c>
      <c r="F30" s="2077">
        <v>5</v>
      </c>
      <c r="G30" s="2081">
        <v>9.26</v>
      </c>
      <c r="H30" s="2079">
        <f t="shared" si="1"/>
        <v>50698.5</v>
      </c>
      <c r="I30" s="2088" t="s">
        <v>1285</v>
      </c>
      <c r="J30" s="2088">
        <v>10000</v>
      </c>
      <c r="K30" s="2085" t="s">
        <v>1371</v>
      </c>
    </row>
    <row r="31" spans="1:11" s="2065" customFormat="1" ht="15" customHeight="1">
      <c r="A31" s="2075">
        <v>28</v>
      </c>
      <c r="B31" s="2075" t="s">
        <v>1372</v>
      </c>
      <c r="C31" s="2076" t="s">
        <v>1373</v>
      </c>
      <c r="D31" s="2075">
        <v>15</v>
      </c>
      <c r="E31" s="2075" t="s">
        <v>1374</v>
      </c>
      <c r="F31" s="2077">
        <v>5</v>
      </c>
      <c r="G31" s="2081">
        <v>9.7200000000000006</v>
      </c>
      <c r="H31" s="2079">
        <f t="shared" si="1"/>
        <v>53217</v>
      </c>
      <c r="I31" s="2088" t="s">
        <v>1285</v>
      </c>
      <c r="J31" s="2088">
        <v>10000</v>
      </c>
      <c r="K31" s="2085" t="s">
        <v>1375</v>
      </c>
    </row>
    <row r="32" spans="1:11" s="2065" customFormat="1" ht="15" customHeight="1">
      <c r="A32" s="2075">
        <v>29</v>
      </c>
      <c r="B32" s="2075" t="s">
        <v>1376</v>
      </c>
      <c r="C32" s="2076" t="s">
        <v>1377</v>
      </c>
      <c r="D32" s="2075">
        <v>15</v>
      </c>
      <c r="E32" s="2075" t="s">
        <v>1374</v>
      </c>
      <c r="F32" s="2077">
        <v>5</v>
      </c>
      <c r="G32" s="2081">
        <v>9.7200000000000006</v>
      </c>
      <c r="H32" s="2079">
        <f t="shared" si="1"/>
        <v>53217</v>
      </c>
      <c r="I32" s="2088" t="s">
        <v>1285</v>
      </c>
      <c r="J32" s="2088">
        <v>10000</v>
      </c>
      <c r="K32" s="2085" t="s">
        <v>1375</v>
      </c>
    </row>
    <row r="33" spans="1:11" s="2065" customFormat="1" ht="15" customHeight="1">
      <c r="A33" s="2075">
        <v>30</v>
      </c>
      <c r="B33" s="2075"/>
      <c r="C33" s="2076" t="s">
        <v>1378</v>
      </c>
      <c r="D33" s="2075">
        <v>15</v>
      </c>
      <c r="E33" s="2075"/>
      <c r="F33" s="2077"/>
      <c r="G33" s="2081"/>
      <c r="H33" s="2079">
        <f t="shared" si="1"/>
        <v>0</v>
      </c>
      <c r="I33" s="2088"/>
      <c r="J33" s="2088"/>
      <c r="K33" s="2085"/>
    </row>
    <row r="34" spans="1:11" s="2065" customFormat="1" ht="15" customHeight="1">
      <c r="A34" s="2075">
        <v>31</v>
      </c>
      <c r="B34" s="2082" t="s">
        <v>1379</v>
      </c>
      <c r="C34" s="2076" t="s">
        <v>1380</v>
      </c>
      <c r="D34" s="2082">
        <v>29</v>
      </c>
      <c r="E34" s="2075" t="s">
        <v>1346</v>
      </c>
      <c r="F34" s="2077">
        <v>3</v>
      </c>
      <c r="G34" s="2081">
        <v>8.52</v>
      </c>
      <c r="H34" s="2079">
        <f t="shared" si="1"/>
        <v>90184.2</v>
      </c>
      <c r="I34" s="2084" t="s">
        <v>1347</v>
      </c>
      <c r="J34" s="2088">
        <v>14500</v>
      </c>
      <c r="K34" s="2085" t="s">
        <v>1381</v>
      </c>
    </row>
    <row r="35" spans="1:11" s="2065" customFormat="1" ht="15" customHeight="1">
      <c r="A35" s="2075">
        <v>32</v>
      </c>
      <c r="B35" s="2075"/>
      <c r="C35" s="2076" t="s">
        <v>1382</v>
      </c>
      <c r="D35" s="2075">
        <v>15</v>
      </c>
      <c r="E35" s="2075"/>
      <c r="F35" s="2077"/>
      <c r="G35" s="2081"/>
      <c r="H35" s="2079">
        <f t="shared" si="1"/>
        <v>0</v>
      </c>
      <c r="I35" s="2084"/>
      <c r="J35" s="2088"/>
      <c r="K35" s="2085"/>
    </row>
    <row r="36" spans="1:11" s="2065" customFormat="1" ht="15" customHeight="1">
      <c r="A36" s="2075">
        <v>33</v>
      </c>
      <c r="B36" s="2075" t="s">
        <v>1383</v>
      </c>
      <c r="C36" s="2076" t="s">
        <v>1384</v>
      </c>
      <c r="D36" s="2075">
        <v>15</v>
      </c>
      <c r="E36" s="2075" t="s">
        <v>1385</v>
      </c>
      <c r="F36" s="2080" t="s">
        <v>1386</v>
      </c>
      <c r="G36" s="2081">
        <v>8.52</v>
      </c>
      <c r="H36" s="2079">
        <f t="shared" si="1"/>
        <v>46647</v>
      </c>
      <c r="I36" s="2084" t="s">
        <v>1285</v>
      </c>
      <c r="J36" s="2088">
        <v>10000</v>
      </c>
      <c r="K36" s="2085" t="s">
        <v>1304</v>
      </c>
    </row>
    <row r="37" spans="1:11" s="2065" customFormat="1" ht="15" customHeight="1">
      <c r="A37" s="2075">
        <v>34</v>
      </c>
      <c r="B37" s="2075" t="s">
        <v>1387</v>
      </c>
      <c r="C37" s="2076" t="s">
        <v>1388</v>
      </c>
      <c r="D37" s="2075">
        <v>30</v>
      </c>
      <c r="E37" s="2075" t="s">
        <v>1389</v>
      </c>
      <c r="F37" s="2077">
        <v>3</v>
      </c>
      <c r="G37" s="2081">
        <v>9.7200000000000006</v>
      </c>
      <c r="H37" s="2079">
        <f t="shared" si="1"/>
        <v>106434</v>
      </c>
      <c r="I37" s="2088" t="s">
        <v>1285</v>
      </c>
      <c r="J37" s="2088">
        <v>17000</v>
      </c>
      <c r="K37" s="2085" t="s">
        <v>1390</v>
      </c>
    </row>
    <row r="38" spans="1:11" s="2065" customFormat="1" ht="15" customHeight="1">
      <c r="A38" s="2075">
        <v>35</v>
      </c>
      <c r="B38" s="2075" t="s">
        <v>1391</v>
      </c>
      <c r="C38" s="2076" t="s">
        <v>1392</v>
      </c>
      <c r="D38" s="2075">
        <v>15</v>
      </c>
      <c r="E38" s="2075" t="s">
        <v>1389</v>
      </c>
      <c r="F38" s="2077">
        <v>3</v>
      </c>
      <c r="G38" s="2081">
        <v>9.98</v>
      </c>
      <c r="H38" s="2079">
        <f t="shared" si="1"/>
        <v>54640.5</v>
      </c>
      <c r="I38" s="2084" t="s">
        <v>1285</v>
      </c>
      <c r="J38" s="2088">
        <v>10000</v>
      </c>
      <c r="K38" s="2085" t="s">
        <v>1393</v>
      </c>
    </row>
    <row r="39" spans="1:11" s="2065" customFormat="1" ht="15" customHeight="1">
      <c r="A39" s="2075">
        <v>36</v>
      </c>
      <c r="B39" s="2075" t="s">
        <v>1394</v>
      </c>
      <c r="C39" s="2076" t="s">
        <v>1395</v>
      </c>
      <c r="D39" s="2075">
        <v>30</v>
      </c>
      <c r="E39" s="2075" t="s">
        <v>1289</v>
      </c>
      <c r="F39" s="2077">
        <v>3</v>
      </c>
      <c r="G39" s="2081">
        <v>12.13</v>
      </c>
      <c r="H39" s="2079">
        <f t="shared" si="1"/>
        <v>132823.5</v>
      </c>
      <c r="I39" s="2084" t="s">
        <v>1290</v>
      </c>
      <c r="J39" s="2088">
        <v>23000</v>
      </c>
      <c r="K39" s="2085" t="s">
        <v>1396</v>
      </c>
    </row>
    <row r="40" spans="1:11" s="2065" customFormat="1" ht="15" customHeight="1">
      <c r="A40" s="2075">
        <v>37</v>
      </c>
      <c r="B40" s="2083" t="s">
        <v>1397</v>
      </c>
      <c r="C40" s="2076" t="s">
        <v>1398</v>
      </c>
      <c r="D40" s="2075">
        <v>15</v>
      </c>
      <c r="E40" s="2075" t="s">
        <v>1399</v>
      </c>
      <c r="F40" s="2080">
        <v>3</v>
      </c>
      <c r="G40" s="2078">
        <v>9</v>
      </c>
      <c r="H40" s="2079">
        <f t="shared" si="1"/>
        <v>49275</v>
      </c>
      <c r="I40" s="2088" t="s">
        <v>1285</v>
      </c>
      <c r="J40" s="2088">
        <v>10000</v>
      </c>
      <c r="K40" s="2089" t="s">
        <v>1400</v>
      </c>
    </row>
    <row r="41" spans="1:11" s="2065" customFormat="1" ht="15" customHeight="1">
      <c r="A41" s="2075">
        <v>38</v>
      </c>
      <c r="B41" s="2075" t="s">
        <v>1401</v>
      </c>
      <c r="C41" s="2076" t="s">
        <v>1402</v>
      </c>
      <c r="D41" s="2075">
        <v>15</v>
      </c>
      <c r="E41" s="2075" t="s">
        <v>1403</v>
      </c>
      <c r="F41" s="2077">
        <v>3</v>
      </c>
      <c r="G41" s="2081">
        <v>10.48</v>
      </c>
      <c r="H41" s="2079">
        <f t="shared" si="1"/>
        <v>57378</v>
      </c>
      <c r="I41" s="2088" t="s">
        <v>1285</v>
      </c>
      <c r="J41" s="2088">
        <v>10000</v>
      </c>
      <c r="K41" s="2085" t="s">
        <v>1404</v>
      </c>
    </row>
    <row r="42" spans="1:11" s="2065" customFormat="1" ht="15" customHeight="1">
      <c r="A42" s="2075">
        <v>39</v>
      </c>
      <c r="B42" s="2075" t="s">
        <v>1405</v>
      </c>
      <c r="C42" s="2076" t="s">
        <v>1406</v>
      </c>
      <c r="D42" s="2075">
        <v>15</v>
      </c>
      <c r="E42" s="2075" t="s">
        <v>1407</v>
      </c>
      <c r="F42" s="2077">
        <v>3</v>
      </c>
      <c r="G42" s="2081">
        <v>9</v>
      </c>
      <c r="H42" s="2079">
        <f t="shared" si="1"/>
        <v>49275</v>
      </c>
      <c r="I42" s="2090" t="s">
        <v>1285</v>
      </c>
      <c r="J42" s="2088">
        <v>10000</v>
      </c>
      <c r="K42" s="2089" t="s">
        <v>1408</v>
      </c>
    </row>
    <row r="43" spans="1:11" s="2065" customFormat="1" ht="15" customHeight="1">
      <c r="A43" s="2075">
        <v>40</v>
      </c>
      <c r="B43" s="2075" t="s">
        <v>1409</v>
      </c>
      <c r="C43" s="2076" t="s">
        <v>1410</v>
      </c>
      <c r="D43" s="2075">
        <v>15</v>
      </c>
      <c r="E43" s="2075" t="s">
        <v>1411</v>
      </c>
      <c r="F43" s="2077">
        <v>3</v>
      </c>
      <c r="G43" s="2081">
        <v>9.98</v>
      </c>
      <c r="H43" s="2079">
        <f t="shared" si="1"/>
        <v>54640.5</v>
      </c>
      <c r="I43" s="2084" t="s">
        <v>1285</v>
      </c>
      <c r="J43" s="2088">
        <v>10000</v>
      </c>
      <c r="K43" s="2085" t="s">
        <v>1412</v>
      </c>
    </row>
    <row r="44" spans="1:11" s="2065" customFormat="1" ht="15" customHeight="1">
      <c r="A44" s="2075">
        <v>41</v>
      </c>
      <c r="B44" s="2075" t="s">
        <v>1413</v>
      </c>
      <c r="C44" s="2076" t="s">
        <v>1414</v>
      </c>
      <c r="D44" s="2075">
        <v>30</v>
      </c>
      <c r="E44" s="2075" t="s">
        <v>1415</v>
      </c>
      <c r="F44" s="2077">
        <v>5</v>
      </c>
      <c r="G44" s="2081">
        <v>9.7200000000000006</v>
      </c>
      <c r="H44" s="2079">
        <f t="shared" si="1"/>
        <v>106434</v>
      </c>
      <c r="I44" s="2088" t="s">
        <v>1347</v>
      </c>
      <c r="J44" s="2088">
        <v>15000</v>
      </c>
      <c r="K44" s="2085" t="s">
        <v>1416</v>
      </c>
    </row>
    <row r="45" spans="1:11" s="2065" customFormat="1" ht="15" customHeight="1">
      <c r="A45" s="2075">
        <v>42</v>
      </c>
      <c r="B45" s="2075" t="s">
        <v>1417</v>
      </c>
      <c r="C45" s="2076" t="s">
        <v>1418</v>
      </c>
      <c r="D45" s="2075">
        <v>15</v>
      </c>
      <c r="E45" s="2075" t="s">
        <v>1419</v>
      </c>
      <c r="F45" s="2077">
        <v>3</v>
      </c>
      <c r="G45" s="2078">
        <v>9.26</v>
      </c>
      <c r="H45" s="2079">
        <f t="shared" si="1"/>
        <v>50698.5</v>
      </c>
      <c r="I45" s="2088" t="s">
        <v>1285</v>
      </c>
      <c r="J45" s="2088">
        <v>10000</v>
      </c>
      <c r="K45" s="2085" t="s">
        <v>1420</v>
      </c>
    </row>
    <row r="46" spans="1:11" s="2065" customFormat="1" ht="15" customHeight="1">
      <c r="A46" s="2075">
        <v>43</v>
      </c>
      <c r="B46" s="2075" t="s">
        <v>1421</v>
      </c>
      <c r="C46" s="2076" t="s">
        <v>1422</v>
      </c>
      <c r="D46" s="2075">
        <v>15</v>
      </c>
      <c r="E46" s="2075" t="s">
        <v>1419</v>
      </c>
      <c r="F46" s="2077">
        <v>3</v>
      </c>
      <c r="G46" s="2081">
        <v>9.26</v>
      </c>
      <c r="H46" s="2079">
        <f t="shared" si="1"/>
        <v>50698.5</v>
      </c>
      <c r="I46" s="2088" t="s">
        <v>1285</v>
      </c>
      <c r="J46" s="2088">
        <v>10000</v>
      </c>
      <c r="K46" s="2085" t="s">
        <v>1423</v>
      </c>
    </row>
    <row r="47" spans="1:11" s="2065" customFormat="1" ht="15" customHeight="1">
      <c r="A47" s="2075">
        <v>44</v>
      </c>
      <c r="B47" s="2075" t="s">
        <v>1424</v>
      </c>
      <c r="C47" s="2076" t="s">
        <v>1425</v>
      </c>
      <c r="D47" s="2075">
        <v>15</v>
      </c>
      <c r="E47" s="2075" t="s">
        <v>1426</v>
      </c>
      <c r="F47" s="2080">
        <v>3</v>
      </c>
      <c r="G47" s="2081">
        <v>9.7200000000000006</v>
      </c>
      <c r="H47" s="2079">
        <f t="shared" si="1"/>
        <v>53217</v>
      </c>
      <c r="I47" s="2084" t="s">
        <v>1285</v>
      </c>
      <c r="J47" s="2088">
        <v>10000</v>
      </c>
      <c r="K47" s="2085" t="s">
        <v>1427</v>
      </c>
    </row>
    <row r="48" spans="1:11" s="2065" customFormat="1" ht="15" customHeight="1">
      <c r="A48" s="2075">
        <v>45</v>
      </c>
      <c r="B48" s="2075" t="s">
        <v>1428</v>
      </c>
      <c r="C48" s="2076" t="s">
        <v>1429</v>
      </c>
      <c r="D48" s="2075">
        <v>15</v>
      </c>
      <c r="E48" s="2075" t="s">
        <v>1430</v>
      </c>
      <c r="F48" s="2077">
        <v>3</v>
      </c>
      <c r="G48" s="2081">
        <v>10</v>
      </c>
      <c r="H48" s="2079">
        <f t="shared" si="1"/>
        <v>54750</v>
      </c>
      <c r="I48" s="2084" t="s">
        <v>1285</v>
      </c>
      <c r="J48" s="2088">
        <v>10000</v>
      </c>
      <c r="K48" s="2085" t="s">
        <v>1431</v>
      </c>
    </row>
    <row r="49" spans="1:11" s="2065" customFormat="1" ht="15" customHeight="1">
      <c r="A49" s="2075">
        <v>46</v>
      </c>
      <c r="B49" s="2075" t="s">
        <v>1432</v>
      </c>
      <c r="C49" s="2076" t="s">
        <v>1433</v>
      </c>
      <c r="D49" s="2075">
        <v>30</v>
      </c>
      <c r="E49" s="2075" t="s">
        <v>1374</v>
      </c>
      <c r="F49" s="2077">
        <v>5</v>
      </c>
      <c r="G49" s="2081">
        <v>10.58</v>
      </c>
      <c r="H49" s="2079">
        <f t="shared" si="1"/>
        <v>115851</v>
      </c>
      <c r="I49" s="2088" t="s">
        <v>1347</v>
      </c>
      <c r="J49" s="2088">
        <v>15000</v>
      </c>
      <c r="K49" s="2085" t="s">
        <v>1434</v>
      </c>
    </row>
    <row r="50" spans="1:11" s="2065" customFormat="1" ht="15" customHeight="1">
      <c r="A50" s="2075">
        <v>47</v>
      </c>
      <c r="B50" s="2075" t="s">
        <v>1435</v>
      </c>
      <c r="C50" s="2076" t="s">
        <v>1436</v>
      </c>
      <c r="D50" s="2075">
        <v>69</v>
      </c>
      <c r="E50" s="2075" t="s">
        <v>1374</v>
      </c>
      <c r="F50" s="2077">
        <v>5</v>
      </c>
      <c r="G50" s="2081">
        <v>12</v>
      </c>
      <c r="H50" s="2079">
        <f t="shared" si="1"/>
        <v>302220</v>
      </c>
      <c r="I50" s="2088" t="s">
        <v>1347</v>
      </c>
      <c r="J50" s="2088">
        <v>34500</v>
      </c>
      <c r="K50" s="2085" t="s">
        <v>1437</v>
      </c>
    </row>
    <row r="51" spans="1:11" s="2065" customFormat="1" ht="15" customHeight="1">
      <c r="A51" s="2075">
        <v>48</v>
      </c>
      <c r="B51" s="2075" t="s">
        <v>1432</v>
      </c>
      <c r="C51" s="2076" t="s">
        <v>1438</v>
      </c>
      <c r="D51" s="2075">
        <v>18</v>
      </c>
      <c r="E51" s="2075" t="s">
        <v>1439</v>
      </c>
      <c r="F51" s="2077">
        <v>3</v>
      </c>
      <c r="G51" s="2075">
        <v>9.98</v>
      </c>
      <c r="H51" s="2079">
        <f t="shared" si="1"/>
        <v>65568.600000000006</v>
      </c>
      <c r="I51" s="2084" t="s">
        <v>1347</v>
      </c>
      <c r="J51" s="2088">
        <v>10000</v>
      </c>
      <c r="K51" s="2085" t="s">
        <v>1440</v>
      </c>
    </row>
    <row r="52" spans="1:11" s="2065" customFormat="1" ht="15" customHeight="1">
      <c r="A52" s="2075">
        <v>49</v>
      </c>
      <c r="B52" s="2075" t="s">
        <v>1441</v>
      </c>
      <c r="C52" s="2076" t="s">
        <v>1442</v>
      </c>
      <c r="D52" s="2075">
        <v>30</v>
      </c>
      <c r="E52" s="2075" t="s">
        <v>1443</v>
      </c>
      <c r="F52" s="2077">
        <v>3</v>
      </c>
      <c r="G52" s="2075">
        <v>10.48</v>
      </c>
      <c r="H52" s="2079">
        <f t="shared" si="1"/>
        <v>114756</v>
      </c>
      <c r="I52" s="2084" t="s">
        <v>1444</v>
      </c>
      <c r="J52" s="2088">
        <v>15000</v>
      </c>
      <c r="K52" s="2085" t="s">
        <v>1445</v>
      </c>
    </row>
    <row r="53" spans="1:11" s="2065" customFormat="1" ht="15" customHeight="1">
      <c r="A53" s="2075">
        <v>50</v>
      </c>
      <c r="B53" s="2075" t="s">
        <v>1446</v>
      </c>
      <c r="C53" s="2076" t="s">
        <v>1447</v>
      </c>
      <c r="D53" s="2075">
        <v>24</v>
      </c>
      <c r="E53" s="2075" t="s">
        <v>1448</v>
      </c>
      <c r="F53" s="2077">
        <v>5</v>
      </c>
      <c r="G53" s="2075">
        <v>10.42</v>
      </c>
      <c r="H53" s="2079">
        <f t="shared" si="1"/>
        <v>91279.2</v>
      </c>
      <c r="I53" s="2084" t="s">
        <v>1285</v>
      </c>
      <c r="J53" s="2088">
        <v>10000</v>
      </c>
      <c r="K53" s="2085" t="s">
        <v>1449</v>
      </c>
    </row>
    <row r="54" spans="1:11" s="2065" customFormat="1" ht="15" customHeight="1">
      <c r="A54" s="2075">
        <v>51</v>
      </c>
      <c r="B54" s="2075" t="s">
        <v>1450</v>
      </c>
      <c r="C54" s="2076" t="s">
        <v>1451</v>
      </c>
      <c r="D54" s="2075">
        <v>23</v>
      </c>
      <c r="E54" s="2075" t="s">
        <v>1452</v>
      </c>
      <c r="F54" s="2077">
        <v>3</v>
      </c>
      <c r="G54" s="2081">
        <v>10.14</v>
      </c>
      <c r="H54" s="2079">
        <f t="shared" si="1"/>
        <v>85125.3</v>
      </c>
      <c r="I54" s="2088" t="s">
        <v>1285</v>
      </c>
      <c r="J54" s="2088">
        <v>11500</v>
      </c>
      <c r="K54" s="2085" t="s">
        <v>1453</v>
      </c>
    </row>
    <row r="55" spans="1:11" s="2065" customFormat="1" ht="15" customHeight="1">
      <c r="A55" s="2075">
        <v>52</v>
      </c>
      <c r="B55" s="2075"/>
      <c r="C55" s="2076" t="s">
        <v>1454</v>
      </c>
      <c r="D55" s="2075">
        <v>32</v>
      </c>
      <c r="E55" s="2075"/>
      <c r="F55" s="2077"/>
      <c r="G55" s="2078"/>
      <c r="H55" s="2079">
        <f t="shared" si="1"/>
        <v>0</v>
      </c>
      <c r="I55" s="2088"/>
      <c r="J55" s="2088"/>
      <c r="K55" s="2089"/>
    </row>
    <row r="56" spans="1:11" s="2065" customFormat="1" ht="15" customHeight="1">
      <c r="A56" s="2075">
        <v>53</v>
      </c>
      <c r="B56" s="2075" t="s">
        <v>1455</v>
      </c>
      <c r="C56" s="2076" t="s">
        <v>1456</v>
      </c>
      <c r="D56" s="2075">
        <v>24</v>
      </c>
      <c r="E56" s="2075" t="s">
        <v>1457</v>
      </c>
      <c r="F56" s="2077">
        <v>3</v>
      </c>
      <c r="G56" s="2078">
        <v>10.48</v>
      </c>
      <c r="H56" s="2079">
        <f t="shared" si="1"/>
        <v>91804.800000000003</v>
      </c>
      <c r="I56" s="2088" t="s">
        <v>1458</v>
      </c>
      <c r="J56" s="2088">
        <v>12000</v>
      </c>
      <c r="K56" s="2089" t="s">
        <v>1459</v>
      </c>
    </row>
    <row r="57" spans="1:11" s="2065" customFormat="1" ht="15" customHeight="1">
      <c r="A57" s="2075">
        <v>54</v>
      </c>
      <c r="B57" s="2075" t="s">
        <v>1460</v>
      </c>
      <c r="C57" s="2076" t="s">
        <v>1461</v>
      </c>
      <c r="D57" s="2075">
        <v>22</v>
      </c>
      <c r="E57" s="2075" t="s">
        <v>1462</v>
      </c>
      <c r="F57" s="2077">
        <v>3</v>
      </c>
      <c r="G57" s="2078">
        <v>9.92</v>
      </c>
      <c r="H57" s="2079">
        <f t="shared" si="1"/>
        <v>79657.600000000006</v>
      </c>
      <c r="I57" s="2084" t="s">
        <v>1463</v>
      </c>
      <c r="J57" s="2088">
        <v>14000</v>
      </c>
      <c r="K57" s="2085" t="s">
        <v>1464</v>
      </c>
    </row>
    <row r="58" spans="1:11" s="2065" customFormat="1" ht="15" customHeight="1">
      <c r="A58" s="2075">
        <v>55</v>
      </c>
      <c r="B58" s="2075" t="s">
        <v>1465</v>
      </c>
      <c r="C58" s="2076" t="s">
        <v>1466</v>
      </c>
      <c r="D58" s="2075">
        <v>15</v>
      </c>
      <c r="E58" s="2075" t="s">
        <v>1374</v>
      </c>
      <c r="F58" s="2077">
        <v>5</v>
      </c>
      <c r="G58" s="2075">
        <v>9.7200000000000006</v>
      </c>
      <c r="H58" s="2079">
        <f t="shared" si="1"/>
        <v>53217</v>
      </c>
      <c r="I58" s="2084" t="s">
        <v>1285</v>
      </c>
      <c r="J58" s="2088">
        <v>10000</v>
      </c>
      <c r="K58" s="2085" t="s">
        <v>1467</v>
      </c>
    </row>
    <row r="59" spans="1:11" s="2065" customFormat="1" ht="15" customHeight="1">
      <c r="A59" s="2075">
        <v>56</v>
      </c>
      <c r="B59" s="2075" t="s">
        <v>1468</v>
      </c>
      <c r="C59" s="2076" t="s">
        <v>1469</v>
      </c>
      <c r="D59" s="2075">
        <v>31</v>
      </c>
      <c r="E59" s="2075" t="s">
        <v>1374</v>
      </c>
      <c r="F59" s="2077">
        <v>5</v>
      </c>
      <c r="G59" s="2075">
        <v>9.7200000000000006</v>
      </c>
      <c r="H59" s="2079">
        <f t="shared" si="1"/>
        <v>109981.8</v>
      </c>
      <c r="I59" s="2084" t="s">
        <v>1470</v>
      </c>
      <c r="J59" s="2088">
        <v>15500</v>
      </c>
      <c r="K59" s="2089" t="s">
        <v>1471</v>
      </c>
    </row>
    <row r="60" spans="1:11" s="2065" customFormat="1" ht="15" customHeight="1">
      <c r="A60" s="2075">
        <v>57</v>
      </c>
      <c r="B60" s="2075" t="s">
        <v>1472</v>
      </c>
      <c r="C60" s="2076" t="s">
        <v>1473</v>
      </c>
      <c r="D60" s="2075">
        <v>14</v>
      </c>
      <c r="E60" s="2075" t="s">
        <v>1374</v>
      </c>
      <c r="F60" s="2077">
        <v>5</v>
      </c>
      <c r="G60" s="2081">
        <v>10.34</v>
      </c>
      <c r="H60" s="2079">
        <f t="shared" si="1"/>
        <v>52837.4</v>
      </c>
      <c r="I60" s="2084" t="s">
        <v>1285</v>
      </c>
      <c r="J60" s="2088">
        <v>10000</v>
      </c>
      <c r="K60" s="2085" t="s">
        <v>1474</v>
      </c>
    </row>
    <row r="61" spans="1:11" s="2065" customFormat="1" ht="15" customHeight="1">
      <c r="A61" s="2075">
        <v>58</v>
      </c>
      <c r="B61" s="2075" t="s">
        <v>1475</v>
      </c>
      <c r="C61" s="2076" t="s">
        <v>1476</v>
      </c>
      <c r="D61" s="2075">
        <v>15</v>
      </c>
      <c r="E61" s="2075" t="s">
        <v>1374</v>
      </c>
      <c r="F61" s="2077">
        <v>5</v>
      </c>
      <c r="G61" s="2081">
        <v>10.34</v>
      </c>
      <c r="H61" s="2079">
        <f t="shared" si="1"/>
        <v>56611.5</v>
      </c>
      <c r="I61" s="2084" t="s">
        <v>1285</v>
      </c>
      <c r="J61" s="2088">
        <v>10000</v>
      </c>
      <c r="K61" s="2089" t="s">
        <v>1477</v>
      </c>
    </row>
    <row r="62" spans="1:11" s="2065" customFormat="1" ht="15" customHeight="1">
      <c r="A62" s="2075">
        <v>59</v>
      </c>
      <c r="B62" s="2075" t="s">
        <v>1478</v>
      </c>
      <c r="C62" s="2076" t="s">
        <v>1479</v>
      </c>
      <c r="D62" s="2075">
        <v>15</v>
      </c>
      <c r="E62" s="2075" t="s">
        <v>1480</v>
      </c>
      <c r="F62" s="2077">
        <v>5</v>
      </c>
      <c r="G62" s="2078">
        <v>11</v>
      </c>
      <c r="H62" s="2079">
        <f t="shared" si="1"/>
        <v>60225</v>
      </c>
      <c r="I62" s="2084" t="s">
        <v>1285</v>
      </c>
      <c r="J62" s="2088">
        <v>10000</v>
      </c>
      <c r="K62" s="2089" t="s">
        <v>1481</v>
      </c>
    </row>
    <row r="63" spans="1:11" s="2065" customFormat="1" ht="15" customHeight="1">
      <c r="A63" s="2075">
        <v>60</v>
      </c>
      <c r="B63" s="2075" t="s">
        <v>1482</v>
      </c>
      <c r="C63" s="2076" t="s">
        <v>1483</v>
      </c>
      <c r="D63" s="2075">
        <v>15</v>
      </c>
      <c r="E63" s="2075" t="s">
        <v>1484</v>
      </c>
      <c r="F63" s="2077">
        <v>5</v>
      </c>
      <c r="G63" s="2078">
        <v>10.48</v>
      </c>
      <c r="H63" s="2079">
        <f t="shared" si="1"/>
        <v>57378</v>
      </c>
      <c r="I63" s="2084" t="s">
        <v>1458</v>
      </c>
      <c r="J63" s="2088">
        <v>10000</v>
      </c>
      <c r="K63" s="2085" t="s">
        <v>1485</v>
      </c>
    </row>
    <row r="64" spans="1:11" s="2065" customFormat="1" ht="15" customHeight="1">
      <c r="A64" s="2075">
        <v>61</v>
      </c>
      <c r="B64" s="2075" t="s">
        <v>1486</v>
      </c>
      <c r="C64" s="2076" t="s">
        <v>1487</v>
      </c>
      <c r="D64" s="2075">
        <v>15</v>
      </c>
      <c r="E64" s="2075" t="s">
        <v>1488</v>
      </c>
      <c r="F64" s="2077">
        <v>3</v>
      </c>
      <c r="G64" s="2081">
        <v>10.48</v>
      </c>
      <c r="H64" s="2079">
        <f t="shared" si="1"/>
        <v>57378</v>
      </c>
      <c r="I64" s="2084" t="s">
        <v>1458</v>
      </c>
      <c r="J64" s="2088">
        <v>10000</v>
      </c>
      <c r="K64" s="2085" t="s">
        <v>1489</v>
      </c>
    </row>
    <row r="65" spans="1:11" s="2065" customFormat="1" ht="15" customHeight="1">
      <c r="A65" s="2075">
        <v>62</v>
      </c>
      <c r="B65" s="2075" t="s">
        <v>1490</v>
      </c>
      <c r="C65" s="2076" t="s">
        <v>1491</v>
      </c>
      <c r="D65" s="2075">
        <v>29</v>
      </c>
      <c r="E65" s="2075" t="s">
        <v>1374</v>
      </c>
      <c r="F65" s="2077">
        <v>5</v>
      </c>
      <c r="G65" s="2078">
        <v>9.7200000000000006</v>
      </c>
      <c r="H65" s="2079">
        <f t="shared" si="1"/>
        <v>102886.20000000001</v>
      </c>
      <c r="I65" s="2084" t="s">
        <v>1285</v>
      </c>
      <c r="J65" s="2088">
        <v>14500</v>
      </c>
      <c r="K65" s="2085" t="s">
        <v>1492</v>
      </c>
    </row>
    <row r="66" spans="1:11" s="2065" customFormat="1" ht="15" customHeight="1">
      <c r="A66" s="2075">
        <v>63</v>
      </c>
      <c r="B66" s="2075" t="s">
        <v>1493</v>
      </c>
      <c r="C66" s="2076" t="s">
        <v>1494</v>
      </c>
      <c r="D66" s="2075">
        <v>15</v>
      </c>
      <c r="E66" s="2075" t="s">
        <v>1495</v>
      </c>
      <c r="F66" s="2077">
        <v>3</v>
      </c>
      <c r="G66" s="2078">
        <v>9.98</v>
      </c>
      <c r="H66" s="2079">
        <f t="shared" si="1"/>
        <v>54640.5</v>
      </c>
      <c r="I66" s="2084" t="s">
        <v>1285</v>
      </c>
      <c r="J66" s="2088">
        <v>10000</v>
      </c>
      <c r="K66" s="2085" t="s">
        <v>1496</v>
      </c>
    </row>
    <row r="67" spans="1:11" s="2065" customFormat="1" ht="15" customHeight="1">
      <c r="A67" s="2075">
        <v>64</v>
      </c>
      <c r="B67" s="2075" t="s">
        <v>1497</v>
      </c>
      <c r="C67" s="2076" t="s">
        <v>1498</v>
      </c>
      <c r="D67" s="2075">
        <v>15</v>
      </c>
      <c r="E67" s="2075" t="s">
        <v>1499</v>
      </c>
      <c r="F67" s="2077">
        <v>5</v>
      </c>
      <c r="G67" s="2078">
        <v>9.7200000000000006</v>
      </c>
      <c r="H67" s="2079">
        <f t="shared" si="1"/>
        <v>53217</v>
      </c>
      <c r="I67" s="2084" t="s">
        <v>1285</v>
      </c>
      <c r="J67" s="2088">
        <v>10000</v>
      </c>
      <c r="K67" s="2085" t="s">
        <v>1500</v>
      </c>
    </row>
    <row r="68" spans="1:11" s="2065" customFormat="1" ht="15" customHeight="1">
      <c r="A68" s="2075">
        <v>65</v>
      </c>
      <c r="B68" s="2075" t="s">
        <v>1501</v>
      </c>
      <c r="C68" s="2076" t="s">
        <v>1502</v>
      </c>
      <c r="D68" s="2075">
        <v>15</v>
      </c>
      <c r="E68" s="2075" t="s">
        <v>1503</v>
      </c>
      <c r="F68" s="2077">
        <v>5</v>
      </c>
      <c r="G68" s="2091">
        <v>9.98</v>
      </c>
      <c r="H68" s="2079">
        <f t="shared" si="1"/>
        <v>54640.5</v>
      </c>
      <c r="I68" s="2084" t="s">
        <v>1285</v>
      </c>
      <c r="J68" s="2088">
        <v>10000</v>
      </c>
      <c r="K68" s="2085" t="s">
        <v>1504</v>
      </c>
    </row>
    <row r="69" spans="1:11" s="2065" customFormat="1" ht="15" customHeight="1">
      <c r="A69" s="2075">
        <v>66</v>
      </c>
      <c r="B69" s="2075" t="s">
        <v>1505</v>
      </c>
      <c r="C69" s="2076" t="s">
        <v>1506</v>
      </c>
      <c r="D69" s="2075">
        <v>15</v>
      </c>
      <c r="E69" s="2075" t="s">
        <v>1507</v>
      </c>
      <c r="F69" s="2077">
        <v>5</v>
      </c>
      <c r="G69" s="2078">
        <v>9.26</v>
      </c>
      <c r="H69" s="2079">
        <f t="shared" si="1"/>
        <v>50698.5</v>
      </c>
      <c r="I69" s="2088" t="s">
        <v>1285</v>
      </c>
      <c r="J69" s="2088">
        <v>10000</v>
      </c>
      <c r="K69" s="2085" t="s">
        <v>1508</v>
      </c>
    </row>
    <row r="70" spans="1:11" s="2065" customFormat="1" ht="15" customHeight="1">
      <c r="A70" s="2075">
        <v>67</v>
      </c>
      <c r="B70" s="2075" t="s">
        <v>1509</v>
      </c>
      <c r="C70" s="2076" t="s">
        <v>1510</v>
      </c>
      <c r="D70" s="2075">
        <v>15</v>
      </c>
      <c r="E70" s="2075" t="s">
        <v>1511</v>
      </c>
      <c r="F70" s="2077">
        <v>3</v>
      </c>
      <c r="G70" s="2081">
        <v>9.7200000000000006</v>
      </c>
      <c r="H70" s="2079">
        <f t="shared" si="1"/>
        <v>53217</v>
      </c>
      <c r="I70" s="2084" t="s">
        <v>1285</v>
      </c>
      <c r="J70" s="2088">
        <v>10000</v>
      </c>
      <c r="K70" s="2085" t="s">
        <v>1512</v>
      </c>
    </row>
    <row r="71" spans="1:11" s="2065" customFormat="1" ht="15" customHeight="1">
      <c r="A71" s="2075">
        <v>68</v>
      </c>
      <c r="B71" s="2075" t="s">
        <v>1513</v>
      </c>
      <c r="C71" s="2076" t="s">
        <v>1514</v>
      </c>
      <c r="D71" s="2075">
        <v>21</v>
      </c>
      <c r="E71" s="2075" t="s">
        <v>1374</v>
      </c>
      <c r="F71" s="2077">
        <v>5</v>
      </c>
      <c r="G71" s="2081">
        <v>9.7200000000000006</v>
      </c>
      <c r="H71" s="2079">
        <f t="shared" si="1"/>
        <v>74503.8</v>
      </c>
      <c r="I71" s="2084" t="s">
        <v>1285</v>
      </c>
      <c r="J71" s="2088">
        <v>10000</v>
      </c>
      <c r="K71" s="2085" t="s">
        <v>1467</v>
      </c>
    </row>
    <row r="72" spans="1:11" s="2065" customFormat="1" ht="15" customHeight="1">
      <c r="A72" s="2075">
        <v>69</v>
      </c>
      <c r="B72" s="2075" t="s">
        <v>1515</v>
      </c>
      <c r="C72" s="2076" t="s">
        <v>1516</v>
      </c>
      <c r="D72" s="2075">
        <v>17</v>
      </c>
      <c r="E72" s="2075" t="s">
        <v>1403</v>
      </c>
      <c r="F72" s="2077">
        <v>3</v>
      </c>
      <c r="G72" s="2075">
        <v>10.48</v>
      </c>
      <c r="H72" s="2079">
        <f t="shared" si="1"/>
        <v>65028.4</v>
      </c>
      <c r="I72" s="2084" t="s">
        <v>1285</v>
      </c>
      <c r="J72" s="2088">
        <v>10000</v>
      </c>
      <c r="K72" s="2085" t="s">
        <v>1517</v>
      </c>
    </row>
    <row r="73" spans="1:11" s="2065" customFormat="1" ht="15" customHeight="1">
      <c r="A73" s="2075">
        <v>70</v>
      </c>
      <c r="B73" s="2075" t="s">
        <v>1518</v>
      </c>
      <c r="C73" s="2076" t="s">
        <v>1519</v>
      </c>
      <c r="D73" s="2075">
        <v>25</v>
      </c>
      <c r="E73" s="2075" t="s">
        <v>1520</v>
      </c>
      <c r="F73" s="2077">
        <v>5</v>
      </c>
      <c r="G73" s="2081">
        <v>9.3800000000000008</v>
      </c>
      <c r="H73" s="2079">
        <f t="shared" si="1"/>
        <v>85592.5</v>
      </c>
      <c r="I73" s="2084" t="s">
        <v>1521</v>
      </c>
      <c r="J73" s="2088">
        <v>10000</v>
      </c>
      <c r="K73" s="2085" t="s">
        <v>1522</v>
      </c>
    </row>
    <row r="74" spans="1:11" s="2065" customFormat="1" ht="15" customHeight="1">
      <c r="A74" s="2075">
        <v>71</v>
      </c>
      <c r="B74" s="2075" t="s">
        <v>1523</v>
      </c>
      <c r="C74" s="2076" t="s">
        <v>1524</v>
      </c>
      <c r="D74" s="2075">
        <v>18</v>
      </c>
      <c r="E74" s="2075" t="s">
        <v>1525</v>
      </c>
      <c r="F74" s="2077">
        <v>5</v>
      </c>
      <c r="G74" s="2081">
        <v>7.91</v>
      </c>
      <c r="H74" s="2079">
        <f t="shared" si="1"/>
        <v>51968.700000000004</v>
      </c>
      <c r="I74" s="2084" t="s">
        <v>1521</v>
      </c>
      <c r="J74" s="2088">
        <v>10000</v>
      </c>
      <c r="K74" s="2085" t="s">
        <v>1526</v>
      </c>
    </row>
    <row r="75" spans="1:11" s="2065" customFormat="1" ht="15" customHeight="1">
      <c r="A75" s="2075">
        <v>72</v>
      </c>
      <c r="B75" s="2075" t="s">
        <v>1527</v>
      </c>
      <c r="C75" s="2076" t="s">
        <v>1528</v>
      </c>
      <c r="D75" s="2075">
        <v>29</v>
      </c>
      <c r="E75" s="2075" t="s">
        <v>1529</v>
      </c>
      <c r="F75" s="2077">
        <v>3</v>
      </c>
      <c r="G75" s="2078">
        <v>9.98</v>
      </c>
      <c r="H75" s="2079">
        <f t="shared" si="1"/>
        <v>105638.3</v>
      </c>
      <c r="I75" s="2084" t="s">
        <v>1470</v>
      </c>
      <c r="J75" s="2088">
        <v>17000</v>
      </c>
      <c r="K75" s="2085" t="s">
        <v>1530</v>
      </c>
    </row>
    <row r="76" spans="1:11" s="2065" customFormat="1" ht="15" customHeight="1">
      <c r="A76" s="2075">
        <v>73</v>
      </c>
      <c r="B76" s="2075" t="s">
        <v>1531</v>
      </c>
      <c r="C76" s="2076" t="s">
        <v>1532</v>
      </c>
      <c r="D76" s="2075">
        <v>25</v>
      </c>
      <c r="E76" s="2075" t="s">
        <v>1374</v>
      </c>
      <c r="F76" s="2077">
        <v>5</v>
      </c>
      <c r="G76" s="2081">
        <v>9.7200000000000006</v>
      </c>
      <c r="H76" s="2079">
        <f t="shared" si="1"/>
        <v>88695</v>
      </c>
      <c r="I76" s="2084" t="s">
        <v>1285</v>
      </c>
      <c r="J76" s="2088">
        <v>11000</v>
      </c>
      <c r="K76" s="2085" t="s">
        <v>1533</v>
      </c>
    </row>
    <row r="77" spans="1:11" s="2065" customFormat="1" ht="15" customHeight="1">
      <c r="A77" s="2075">
        <v>74</v>
      </c>
      <c r="B77" s="2075" t="s">
        <v>1534</v>
      </c>
      <c r="C77" s="2076" t="s">
        <v>1535</v>
      </c>
      <c r="D77" s="2075">
        <v>22</v>
      </c>
      <c r="E77" s="2075" t="s">
        <v>1536</v>
      </c>
      <c r="F77" s="2077">
        <v>5</v>
      </c>
      <c r="G77" s="2078">
        <v>9.98</v>
      </c>
      <c r="H77" s="2079">
        <f t="shared" si="1"/>
        <v>80139.400000000009</v>
      </c>
      <c r="I77" s="2084" t="s">
        <v>1537</v>
      </c>
      <c r="J77" s="2088">
        <v>13000</v>
      </c>
      <c r="K77" s="2085" t="s">
        <v>1390</v>
      </c>
    </row>
    <row r="78" spans="1:11" s="2065" customFormat="1" ht="15" customHeight="1">
      <c r="A78" s="2075">
        <v>75</v>
      </c>
      <c r="B78" s="2075" t="s">
        <v>1538</v>
      </c>
      <c r="C78" s="2076" t="s">
        <v>1539</v>
      </c>
      <c r="D78" s="2075">
        <v>12</v>
      </c>
      <c r="E78" s="2075" t="s">
        <v>1374</v>
      </c>
      <c r="F78" s="2077">
        <v>5</v>
      </c>
      <c r="G78" s="2081">
        <v>9.7200000000000006</v>
      </c>
      <c r="H78" s="2079">
        <f t="shared" si="1"/>
        <v>42573.600000000006</v>
      </c>
      <c r="I78" s="2084" t="s">
        <v>1470</v>
      </c>
      <c r="J78" s="2088">
        <v>10000</v>
      </c>
      <c r="K78" s="2089" t="s">
        <v>1471</v>
      </c>
    </row>
    <row r="79" spans="1:11" s="2065" customFormat="1" ht="15" customHeight="1">
      <c r="A79" s="2075">
        <v>76</v>
      </c>
      <c r="B79" s="2075" t="s">
        <v>1540</v>
      </c>
      <c r="C79" s="2076" t="s">
        <v>1541</v>
      </c>
      <c r="D79" s="2075">
        <v>12</v>
      </c>
      <c r="E79" s="2075" t="s">
        <v>1374</v>
      </c>
      <c r="F79" s="2077">
        <v>5</v>
      </c>
      <c r="G79" s="2081">
        <v>9.7200000000000006</v>
      </c>
      <c r="H79" s="2079">
        <f t="shared" si="1"/>
        <v>42573.600000000006</v>
      </c>
      <c r="I79" s="2084" t="s">
        <v>1470</v>
      </c>
      <c r="J79" s="2088">
        <v>10000</v>
      </c>
      <c r="K79" s="2089" t="s">
        <v>1471</v>
      </c>
    </row>
    <row r="80" spans="1:11" s="2065" customFormat="1" ht="15" customHeight="1">
      <c r="A80" s="2075">
        <v>77</v>
      </c>
      <c r="B80" s="2075" t="s">
        <v>1542</v>
      </c>
      <c r="C80" s="2076" t="s">
        <v>1543</v>
      </c>
      <c r="D80" s="2075">
        <v>24</v>
      </c>
      <c r="E80" s="2075" t="s">
        <v>1544</v>
      </c>
      <c r="F80" s="2080">
        <v>3</v>
      </c>
      <c r="G80" s="2078">
        <v>9.98</v>
      </c>
      <c r="H80" s="2079">
        <f t="shared" si="1"/>
        <v>87424.8</v>
      </c>
      <c r="I80" s="2084" t="s">
        <v>1470</v>
      </c>
      <c r="J80" s="2088">
        <v>15000</v>
      </c>
      <c r="K80" s="2085" t="s">
        <v>1545</v>
      </c>
    </row>
    <row r="81" spans="1:11" s="2065" customFormat="1" ht="15" customHeight="1">
      <c r="A81" s="2075">
        <v>78</v>
      </c>
      <c r="B81" s="2075" t="s">
        <v>1546</v>
      </c>
      <c r="C81" s="2076" t="s">
        <v>1547</v>
      </c>
      <c r="D81" s="2075">
        <v>12</v>
      </c>
      <c r="E81" s="2075" t="s">
        <v>1374</v>
      </c>
      <c r="F81" s="2077">
        <v>5</v>
      </c>
      <c r="G81" s="2081">
        <v>9.7200000000000006</v>
      </c>
      <c r="H81" s="2079">
        <f t="shared" si="1"/>
        <v>42573.600000000006</v>
      </c>
      <c r="I81" s="2084" t="s">
        <v>1470</v>
      </c>
      <c r="J81" s="2088">
        <v>10000</v>
      </c>
      <c r="K81" s="2089" t="s">
        <v>1477</v>
      </c>
    </row>
    <row r="82" spans="1:11" s="2065" customFormat="1" ht="15" customHeight="1">
      <c r="A82" s="2075">
        <v>79</v>
      </c>
      <c r="B82" s="2075" t="s">
        <v>1548</v>
      </c>
      <c r="C82" s="2076" t="s">
        <v>1549</v>
      </c>
      <c r="D82" s="2075">
        <v>12</v>
      </c>
      <c r="E82" s="2075" t="s">
        <v>1550</v>
      </c>
      <c r="F82" s="2077">
        <v>3</v>
      </c>
      <c r="G82" s="2081">
        <v>9.98</v>
      </c>
      <c r="H82" s="2079">
        <f t="shared" si="1"/>
        <v>43712.4</v>
      </c>
      <c r="I82" s="2084" t="s">
        <v>1463</v>
      </c>
      <c r="J82" s="2088">
        <v>15000</v>
      </c>
      <c r="K82" s="2085" t="s">
        <v>1551</v>
      </c>
    </row>
    <row r="83" spans="1:11" s="2065" customFormat="1" ht="15" customHeight="1">
      <c r="A83" s="2075">
        <v>80</v>
      </c>
      <c r="B83" s="2075" t="s">
        <v>1552</v>
      </c>
      <c r="C83" s="2076" t="s">
        <v>1553</v>
      </c>
      <c r="D83" s="2075">
        <v>12</v>
      </c>
      <c r="E83" s="2075" t="s">
        <v>1550</v>
      </c>
      <c r="F83" s="2077">
        <v>3</v>
      </c>
      <c r="G83" s="2081">
        <v>9.98</v>
      </c>
      <c r="H83" s="2079">
        <f t="shared" si="1"/>
        <v>43712.4</v>
      </c>
      <c r="I83" s="2084" t="s">
        <v>1463</v>
      </c>
      <c r="J83" s="2088">
        <v>10000</v>
      </c>
      <c r="K83" s="2085" t="s">
        <v>1551</v>
      </c>
    </row>
    <row r="84" spans="1:11" s="2065" customFormat="1" ht="15" customHeight="1">
      <c r="A84" s="2075">
        <v>81</v>
      </c>
      <c r="B84" s="2075" t="s">
        <v>1554</v>
      </c>
      <c r="C84" s="2076" t="s">
        <v>1555</v>
      </c>
      <c r="D84" s="2075">
        <v>12</v>
      </c>
      <c r="E84" s="2075" t="s">
        <v>1556</v>
      </c>
      <c r="F84" s="2077">
        <v>5</v>
      </c>
      <c r="G84" s="2081">
        <v>7.91</v>
      </c>
      <c r="H84" s="2079">
        <f t="shared" si="1"/>
        <v>34645.800000000003</v>
      </c>
      <c r="I84" s="2088" t="s">
        <v>1557</v>
      </c>
      <c r="J84" s="2088">
        <v>10000</v>
      </c>
      <c r="K84" s="2089" t="s">
        <v>1558</v>
      </c>
    </row>
    <row r="85" spans="1:11" s="2065" customFormat="1" ht="15" customHeight="1">
      <c r="A85" s="2075">
        <v>82</v>
      </c>
      <c r="B85" s="2075" t="s">
        <v>1559</v>
      </c>
      <c r="C85" s="2076" t="s">
        <v>1560</v>
      </c>
      <c r="D85" s="2075">
        <v>12</v>
      </c>
      <c r="E85" s="2075" t="s">
        <v>1374</v>
      </c>
      <c r="F85" s="2077">
        <v>5</v>
      </c>
      <c r="G85" s="2075">
        <v>9.7200000000000006</v>
      </c>
      <c r="H85" s="2079">
        <f t="shared" si="1"/>
        <v>42573.600000000006</v>
      </c>
      <c r="I85" s="2084" t="s">
        <v>1470</v>
      </c>
      <c r="J85" s="2088">
        <v>10000</v>
      </c>
      <c r="K85" s="2085" t="s">
        <v>1375</v>
      </c>
    </row>
    <row r="86" spans="1:11" s="2065" customFormat="1" ht="15" customHeight="1">
      <c r="A86" s="2075">
        <v>83</v>
      </c>
      <c r="B86" s="2075" t="s">
        <v>1561</v>
      </c>
      <c r="C86" s="2076" t="s">
        <v>1562</v>
      </c>
      <c r="D86" s="2075">
        <v>19</v>
      </c>
      <c r="E86" s="2075" t="s">
        <v>1507</v>
      </c>
      <c r="F86" s="2077">
        <v>5</v>
      </c>
      <c r="G86" s="2078">
        <v>9.26</v>
      </c>
      <c r="H86" s="2079">
        <f t="shared" si="1"/>
        <v>64218.1</v>
      </c>
      <c r="I86" s="2084" t="s">
        <v>1470</v>
      </c>
      <c r="J86" s="2088">
        <v>10000</v>
      </c>
      <c r="K86" s="2085" t="s">
        <v>1563</v>
      </c>
    </row>
    <row r="87" spans="1:11" s="2065" customFormat="1" ht="15" customHeight="1">
      <c r="A87" s="2075">
        <v>84</v>
      </c>
      <c r="B87" s="2075" t="s">
        <v>1564</v>
      </c>
      <c r="C87" s="2076" t="s">
        <v>1565</v>
      </c>
      <c r="D87" s="2075">
        <v>19</v>
      </c>
      <c r="E87" s="2075" t="s">
        <v>1566</v>
      </c>
      <c r="F87" s="2077">
        <v>5</v>
      </c>
      <c r="G87" s="2078">
        <v>9.26</v>
      </c>
      <c r="H87" s="2079">
        <f t="shared" si="1"/>
        <v>64218.1</v>
      </c>
      <c r="I87" s="2084" t="s">
        <v>1470</v>
      </c>
      <c r="J87" s="2088">
        <v>10000</v>
      </c>
      <c r="K87" s="2089" t="s">
        <v>1567</v>
      </c>
    </row>
    <row r="88" spans="1:11" s="2065" customFormat="1" ht="15" customHeight="1">
      <c r="A88" s="2075">
        <v>85</v>
      </c>
      <c r="B88" s="2075" t="s">
        <v>1568</v>
      </c>
      <c r="C88" s="2076" t="s">
        <v>1569</v>
      </c>
      <c r="D88" s="2075">
        <v>24</v>
      </c>
      <c r="E88" s="2075" t="s">
        <v>1374</v>
      </c>
      <c r="F88" s="2077">
        <v>5</v>
      </c>
      <c r="G88" s="2078">
        <v>9.7200000000000006</v>
      </c>
      <c r="H88" s="2079">
        <f t="shared" si="1"/>
        <v>85147.200000000012</v>
      </c>
      <c r="I88" s="2084" t="s">
        <v>1470</v>
      </c>
      <c r="J88" s="2088">
        <v>12000</v>
      </c>
      <c r="K88" s="2085" t="s">
        <v>1434</v>
      </c>
    </row>
    <row r="89" spans="1:11" s="2065" customFormat="1" ht="15" customHeight="1">
      <c r="A89" s="2075">
        <v>86</v>
      </c>
      <c r="B89" s="2075" t="s">
        <v>1570</v>
      </c>
      <c r="C89" s="2076" t="s">
        <v>1571</v>
      </c>
      <c r="D89" s="2075">
        <v>24</v>
      </c>
      <c r="E89" s="2075" t="s">
        <v>1374</v>
      </c>
      <c r="F89" s="2077">
        <v>5</v>
      </c>
      <c r="G89" s="2081">
        <v>10.34</v>
      </c>
      <c r="H89" s="2079">
        <f t="shared" si="1"/>
        <v>90578.4</v>
      </c>
      <c r="I89" s="2084" t="s">
        <v>1470</v>
      </c>
      <c r="J89" s="2088">
        <v>5000</v>
      </c>
      <c r="K89" s="2085" t="s">
        <v>1572</v>
      </c>
    </row>
    <row r="90" spans="1:11" s="2065" customFormat="1" ht="15" customHeight="1">
      <c r="A90" s="2075">
        <v>87</v>
      </c>
      <c r="B90" s="2075" t="s">
        <v>1573</v>
      </c>
      <c r="C90" s="2076" t="s">
        <v>1574</v>
      </c>
      <c r="D90" s="2075">
        <v>23</v>
      </c>
      <c r="E90" s="2075" t="s">
        <v>1351</v>
      </c>
      <c r="F90" s="2077">
        <v>5</v>
      </c>
      <c r="G90" s="2081">
        <v>7.3</v>
      </c>
      <c r="H90" s="2079">
        <f t="shared" si="1"/>
        <v>61283.5</v>
      </c>
      <c r="I90" s="2088" t="s">
        <v>1575</v>
      </c>
      <c r="J90" s="2088">
        <v>10000</v>
      </c>
      <c r="K90" s="2089"/>
    </row>
    <row r="91" spans="1:11" s="2065" customFormat="1" ht="15" customHeight="1">
      <c r="A91" s="2075">
        <v>88</v>
      </c>
      <c r="B91" s="2075" t="s">
        <v>1576</v>
      </c>
      <c r="C91" s="2076" t="s">
        <v>1577</v>
      </c>
      <c r="D91" s="2075">
        <v>35</v>
      </c>
      <c r="E91" s="2075" t="s">
        <v>1374</v>
      </c>
      <c r="F91" s="2077">
        <v>5</v>
      </c>
      <c r="G91" s="2078">
        <v>9.26</v>
      </c>
      <c r="H91" s="2079">
        <f t="shared" ref="H91:H134" si="2">D91*365*G91</f>
        <v>118296.5</v>
      </c>
      <c r="I91" s="2084" t="s">
        <v>1470</v>
      </c>
      <c r="J91" s="2088">
        <v>16580</v>
      </c>
      <c r="K91" s="2085" t="s">
        <v>1578</v>
      </c>
    </row>
    <row r="92" spans="1:11" s="2065" customFormat="1" ht="15" customHeight="1">
      <c r="A92" s="2075">
        <v>89</v>
      </c>
      <c r="B92" s="2075" t="s">
        <v>1579</v>
      </c>
      <c r="C92" s="2076" t="s">
        <v>1580</v>
      </c>
      <c r="D92" s="2075">
        <v>24</v>
      </c>
      <c r="E92" s="2075" t="s">
        <v>1581</v>
      </c>
      <c r="F92" s="2077">
        <v>5</v>
      </c>
      <c r="G92" s="2081">
        <v>9.92</v>
      </c>
      <c r="H92" s="2079">
        <f t="shared" si="2"/>
        <v>86899.199999999997</v>
      </c>
      <c r="I92" s="2084" t="s">
        <v>1521</v>
      </c>
      <c r="J92" s="2088">
        <v>11000</v>
      </c>
      <c r="K92" s="2085" t="s">
        <v>1582</v>
      </c>
    </row>
    <row r="93" spans="1:11" s="2065" customFormat="1" ht="15" customHeight="1">
      <c r="A93" s="2075">
        <v>90</v>
      </c>
      <c r="B93" s="2075" t="s">
        <v>1583</v>
      </c>
      <c r="C93" s="2076" t="s">
        <v>1584</v>
      </c>
      <c r="D93" s="2075">
        <v>18</v>
      </c>
      <c r="E93" s="2075" t="s">
        <v>1585</v>
      </c>
      <c r="F93" s="2077">
        <v>5</v>
      </c>
      <c r="G93" s="2078">
        <v>7.3</v>
      </c>
      <c r="H93" s="2079">
        <f t="shared" si="2"/>
        <v>47961</v>
      </c>
      <c r="I93" s="2088" t="s">
        <v>1557</v>
      </c>
      <c r="J93" s="2088">
        <v>10000</v>
      </c>
      <c r="K93" s="2089" t="s">
        <v>1586</v>
      </c>
    </row>
    <row r="94" spans="1:11" s="2065" customFormat="1" ht="15" customHeight="1">
      <c r="A94" s="2075">
        <v>91</v>
      </c>
      <c r="B94" s="2075" t="s">
        <v>1587</v>
      </c>
      <c r="C94" s="2076" t="s">
        <v>1588</v>
      </c>
      <c r="D94" s="2075">
        <v>15</v>
      </c>
      <c r="E94" s="2075" t="s">
        <v>1585</v>
      </c>
      <c r="F94" s="2077">
        <v>5</v>
      </c>
      <c r="G94" s="2078">
        <v>7.91</v>
      </c>
      <c r="H94" s="2079">
        <f t="shared" si="2"/>
        <v>43307.25</v>
      </c>
      <c r="I94" s="2088" t="s">
        <v>1557</v>
      </c>
      <c r="J94" s="2088">
        <v>10000</v>
      </c>
      <c r="K94" s="2089" t="s">
        <v>1586</v>
      </c>
    </row>
    <row r="95" spans="1:11" s="2065" customFormat="1" ht="15" customHeight="1">
      <c r="A95" s="2075">
        <v>92</v>
      </c>
      <c r="B95" s="2075" t="s">
        <v>1589</v>
      </c>
      <c r="C95" s="2076" t="s">
        <v>1590</v>
      </c>
      <c r="D95" s="2075">
        <v>60</v>
      </c>
      <c r="E95" s="2075" t="s">
        <v>1507</v>
      </c>
      <c r="F95" s="2077">
        <v>5</v>
      </c>
      <c r="G95" s="2078">
        <v>9.26</v>
      </c>
      <c r="H95" s="2079">
        <f t="shared" si="2"/>
        <v>202794</v>
      </c>
      <c r="I95" s="2084" t="s">
        <v>1557</v>
      </c>
      <c r="J95" s="2088">
        <v>28000</v>
      </c>
      <c r="K95" s="2085" t="s">
        <v>1591</v>
      </c>
    </row>
    <row r="96" spans="1:11" s="2065" customFormat="1" ht="15" customHeight="1">
      <c r="A96" s="2075">
        <v>93</v>
      </c>
      <c r="B96" s="2075" t="s">
        <v>1592</v>
      </c>
      <c r="C96" s="2076" t="s">
        <v>1593</v>
      </c>
      <c r="D96" s="2075">
        <v>46</v>
      </c>
      <c r="E96" s="2075" t="s">
        <v>1594</v>
      </c>
      <c r="F96" s="2077">
        <v>3</v>
      </c>
      <c r="G96" s="2081">
        <v>11.55</v>
      </c>
      <c r="H96" s="2079">
        <f t="shared" si="2"/>
        <v>193924.5</v>
      </c>
      <c r="I96" s="2084" t="s">
        <v>1595</v>
      </c>
      <c r="J96" s="2088">
        <v>30000</v>
      </c>
      <c r="K96" s="2085" t="s">
        <v>1596</v>
      </c>
    </row>
    <row r="97" spans="1:11" s="2065" customFormat="1" ht="15" customHeight="1">
      <c r="A97" s="2075">
        <v>94</v>
      </c>
      <c r="B97" s="2075" t="s">
        <v>1597</v>
      </c>
      <c r="C97" s="2076" t="s">
        <v>1598</v>
      </c>
      <c r="D97" s="2075">
        <v>20</v>
      </c>
      <c r="E97" s="2075" t="s">
        <v>1599</v>
      </c>
      <c r="F97" s="2077">
        <v>5</v>
      </c>
      <c r="G97" s="2081">
        <v>9.26</v>
      </c>
      <c r="H97" s="2079">
        <f t="shared" si="2"/>
        <v>67598</v>
      </c>
      <c r="I97" s="2084" t="s">
        <v>1470</v>
      </c>
      <c r="J97" s="2088">
        <v>10000</v>
      </c>
      <c r="K97" s="2085" t="s">
        <v>1600</v>
      </c>
    </row>
    <row r="98" spans="1:11" s="2065" customFormat="1" ht="15" customHeight="1">
      <c r="A98" s="2075">
        <v>95</v>
      </c>
      <c r="B98" s="2075" t="s">
        <v>1601</v>
      </c>
      <c r="C98" s="2076" t="s">
        <v>1602</v>
      </c>
      <c r="D98" s="2075">
        <v>24</v>
      </c>
      <c r="E98" s="2075" t="s">
        <v>1603</v>
      </c>
      <c r="F98" s="2077">
        <v>5</v>
      </c>
      <c r="G98" s="2092">
        <v>9.7200000000000006</v>
      </c>
      <c r="H98" s="2079">
        <f t="shared" si="2"/>
        <v>85147.200000000012</v>
      </c>
      <c r="I98" s="2084" t="s">
        <v>1557</v>
      </c>
      <c r="J98" s="2088">
        <v>10000</v>
      </c>
      <c r="K98" s="2085" t="s">
        <v>1604</v>
      </c>
    </row>
    <row r="99" spans="1:11" s="2065" customFormat="1" ht="15" customHeight="1">
      <c r="A99" s="2075">
        <v>96</v>
      </c>
      <c r="B99" s="2075" t="s">
        <v>1605</v>
      </c>
      <c r="C99" s="2076" t="s">
        <v>1606</v>
      </c>
      <c r="D99" s="2075">
        <v>47</v>
      </c>
      <c r="E99" s="2075" t="s">
        <v>1374</v>
      </c>
      <c r="F99" s="2077">
        <v>5</v>
      </c>
      <c r="G99" s="2075">
        <v>9.7200000000000006</v>
      </c>
      <c r="H99" s="2079">
        <f t="shared" si="2"/>
        <v>166746.6</v>
      </c>
      <c r="I99" s="2084" t="s">
        <v>1470</v>
      </c>
      <c r="J99" s="2088">
        <v>22430</v>
      </c>
      <c r="K99" s="2085" t="s">
        <v>1578</v>
      </c>
    </row>
    <row r="100" spans="1:11" s="2065" customFormat="1" ht="15" customHeight="1">
      <c r="A100" s="2075">
        <v>97</v>
      </c>
      <c r="B100" s="2075" t="s">
        <v>1607</v>
      </c>
      <c r="C100" s="2076" t="s">
        <v>1608</v>
      </c>
      <c r="D100" s="2075">
        <v>24</v>
      </c>
      <c r="E100" s="2075" t="s">
        <v>1609</v>
      </c>
      <c r="F100" s="2077">
        <v>5</v>
      </c>
      <c r="G100" s="2081">
        <v>9.26</v>
      </c>
      <c r="H100" s="2079">
        <f t="shared" si="2"/>
        <v>81117.599999999991</v>
      </c>
      <c r="I100" s="2084" t="s">
        <v>1470</v>
      </c>
      <c r="J100" s="2088">
        <v>12000</v>
      </c>
      <c r="K100" s="2085" t="s">
        <v>1610</v>
      </c>
    </row>
    <row r="101" spans="1:11" s="2065" customFormat="1" ht="15" customHeight="1">
      <c r="A101" s="2075">
        <v>98</v>
      </c>
      <c r="B101" s="2075" t="s">
        <v>1611</v>
      </c>
      <c r="C101" s="2076" t="s">
        <v>1612</v>
      </c>
      <c r="D101" s="2075">
        <v>12</v>
      </c>
      <c r="E101" s="2075" t="s">
        <v>1507</v>
      </c>
      <c r="F101" s="2077">
        <v>5</v>
      </c>
      <c r="G101" s="2081">
        <v>9.26</v>
      </c>
      <c r="H101" s="2079">
        <f t="shared" si="2"/>
        <v>40558.799999999996</v>
      </c>
      <c r="I101" s="2084" t="s">
        <v>1470</v>
      </c>
      <c r="J101" s="2088">
        <v>10000</v>
      </c>
      <c r="K101" s="2085" t="s">
        <v>1613</v>
      </c>
    </row>
    <row r="102" spans="1:11" s="2065" customFormat="1" ht="15" customHeight="1">
      <c r="A102" s="2075">
        <v>99</v>
      </c>
      <c r="B102" s="2075" t="s">
        <v>1614</v>
      </c>
      <c r="C102" s="2076" t="s">
        <v>1615</v>
      </c>
      <c r="D102" s="2075">
        <v>17</v>
      </c>
      <c r="E102" s="2075" t="s">
        <v>1374</v>
      </c>
      <c r="F102" s="2077">
        <v>5</v>
      </c>
      <c r="G102" s="2075">
        <v>9.7200000000000006</v>
      </c>
      <c r="H102" s="2079">
        <f t="shared" si="2"/>
        <v>60312.600000000006</v>
      </c>
      <c r="I102" s="2084" t="s">
        <v>1470</v>
      </c>
      <c r="J102" s="2088">
        <v>10000</v>
      </c>
      <c r="K102" s="2085" t="s">
        <v>1572</v>
      </c>
    </row>
    <row r="103" spans="1:11" s="2065" customFormat="1" ht="15" customHeight="1">
      <c r="A103" s="2075">
        <v>100</v>
      </c>
      <c r="B103" s="2075" t="s">
        <v>1616</v>
      </c>
      <c r="C103" s="2076" t="s">
        <v>1617</v>
      </c>
      <c r="D103" s="2075">
        <v>29</v>
      </c>
      <c r="E103" s="2075" t="s">
        <v>1374</v>
      </c>
      <c r="F103" s="2077">
        <v>5</v>
      </c>
      <c r="G103" s="2075">
        <v>9.7200000000000006</v>
      </c>
      <c r="H103" s="2079">
        <f t="shared" si="2"/>
        <v>102886.20000000001</v>
      </c>
      <c r="I103" s="2084" t="s">
        <v>1470</v>
      </c>
      <c r="J103" s="2088">
        <v>14500</v>
      </c>
      <c r="K103" s="2085" t="s">
        <v>1572</v>
      </c>
    </row>
    <row r="104" spans="1:11" s="2065" customFormat="1" ht="15" customHeight="1">
      <c r="A104" s="2075">
        <v>101</v>
      </c>
      <c r="B104" s="2075" t="s">
        <v>1618</v>
      </c>
      <c r="C104" s="2076" t="s">
        <v>1619</v>
      </c>
      <c r="D104" s="2075">
        <v>23</v>
      </c>
      <c r="E104" s="2075" t="s">
        <v>1374</v>
      </c>
      <c r="F104" s="2077">
        <v>5</v>
      </c>
      <c r="G104" s="2081">
        <v>10.34</v>
      </c>
      <c r="H104" s="2079">
        <f t="shared" si="2"/>
        <v>86804.3</v>
      </c>
      <c r="I104" s="2084" t="s">
        <v>1285</v>
      </c>
      <c r="J104" s="2088">
        <v>11500</v>
      </c>
      <c r="K104" s="2085" t="s">
        <v>1572</v>
      </c>
    </row>
    <row r="105" spans="1:11" s="2065" customFormat="1" ht="15" customHeight="1">
      <c r="A105" s="2075">
        <v>102</v>
      </c>
      <c r="B105" s="2075" t="s">
        <v>1620</v>
      </c>
      <c r="C105" s="2076" t="s">
        <v>1621</v>
      </c>
      <c r="D105" s="2075">
        <v>12</v>
      </c>
      <c r="E105" s="2075" t="s">
        <v>1374</v>
      </c>
      <c r="F105" s="2077">
        <v>5</v>
      </c>
      <c r="G105" s="2081">
        <v>10.34</v>
      </c>
      <c r="H105" s="2079">
        <f t="shared" si="2"/>
        <v>45289.2</v>
      </c>
      <c r="I105" s="2084" t="s">
        <v>1470</v>
      </c>
      <c r="J105" s="2088">
        <v>10000</v>
      </c>
      <c r="K105" s="2085" t="s">
        <v>1572</v>
      </c>
    </row>
    <row r="106" spans="1:11" s="2065" customFormat="1" ht="15" customHeight="1">
      <c r="A106" s="2075">
        <v>103</v>
      </c>
      <c r="B106" s="2075" t="s">
        <v>1622</v>
      </c>
      <c r="C106" s="2076" t="s">
        <v>1623</v>
      </c>
      <c r="D106" s="2075">
        <v>24</v>
      </c>
      <c r="E106" s="2075" t="s">
        <v>1374</v>
      </c>
      <c r="F106" s="2077">
        <v>5</v>
      </c>
      <c r="G106" s="2081">
        <v>9.7200000000000006</v>
      </c>
      <c r="H106" s="2079">
        <f t="shared" si="2"/>
        <v>85147.200000000012</v>
      </c>
      <c r="I106" s="2084" t="s">
        <v>1470</v>
      </c>
      <c r="J106" s="2088">
        <v>12000</v>
      </c>
      <c r="K106" s="2089" t="s">
        <v>1624</v>
      </c>
    </row>
    <row r="107" spans="1:11" s="2065" customFormat="1" ht="15" customHeight="1">
      <c r="A107" s="2075">
        <v>104</v>
      </c>
      <c r="B107" s="2075" t="s">
        <v>1625</v>
      </c>
      <c r="C107" s="2076" t="s">
        <v>1626</v>
      </c>
      <c r="D107" s="2075">
        <v>11</v>
      </c>
      <c r="E107" s="2075" t="s">
        <v>1374</v>
      </c>
      <c r="F107" s="2077">
        <v>5</v>
      </c>
      <c r="G107" s="2081">
        <v>9.7200000000000006</v>
      </c>
      <c r="H107" s="2079">
        <f t="shared" si="2"/>
        <v>39025.800000000003</v>
      </c>
      <c r="I107" s="2084" t="s">
        <v>1470</v>
      </c>
      <c r="J107" s="2088">
        <v>10000</v>
      </c>
      <c r="K107" s="2089" t="s">
        <v>1627</v>
      </c>
    </row>
    <row r="108" spans="1:11" s="2065" customFormat="1" ht="15" customHeight="1">
      <c r="A108" s="2075">
        <v>105</v>
      </c>
      <c r="B108" s="2075" t="s">
        <v>1628</v>
      </c>
      <c r="C108" s="2076" t="s">
        <v>1629</v>
      </c>
      <c r="D108" s="2075">
        <v>23</v>
      </c>
      <c r="E108" s="2075" t="s">
        <v>1374</v>
      </c>
      <c r="F108" s="2077">
        <v>5</v>
      </c>
      <c r="G108" s="2081">
        <v>9.7200000000000006</v>
      </c>
      <c r="H108" s="2079">
        <f t="shared" si="2"/>
        <v>81599.400000000009</v>
      </c>
      <c r="I108" s="2084" t="s">
        <v>1285</v>
      </c>
      <c r="J108" s="2088">
        <v>10000</v>
      </c>
      <c r="K108" s="2085" t="s">
        <v>1467</v>
      </c>
    </row>
    <row r="109" spans="1:11" s="2065" customFormat="1" ht="15" customHeight="1">
      <c r="A109" s="2075">
        <v>106</v>
      </c>
      <c r="B109" s="2075" t="s">
        <v>1630</v>
      </c>
      <c r="C109" s="2076" t="s">
        <v>1631</v>
      </c>
      <c r="D109" s="2075">
        <v>20</v>
      </c>
      <c r="E109" s="2075" t="s">
        <v>1374</v>
      </c>
      <c r="F109" s="2077">
        <v>5</v>
      </c>
      <c r="G109" s="2081">
        <v>9.7200000000000006</v>
      </c>
      <c r="H109" s="2079">
        <f t="shared" si="2"/>
        <v>70956</v>
      </c>
      <c r="I109" s="2084" t="s">
        <v>1470</v>
      </c>
      <c r="J109" s="2088">
        <v>10000</v>
      </c>
      <c r="K109" s="2085" t="s">
        <v>1467</v>
      </c>
    </row>
    <row r="110" spans="1:11" s="2065" customFormat="1" ht="15" customHeight="1">
      <c r="A110" s="2075">
        <v>107</v>
      </c>
      <c r="B110" s="2075" t="s">
        <v>1632</v>
      </c>
      <c r="C110" s="2076" t="s">
        <v>1633</v>
      </c>
      <c r="D110" s="2075">
        <v>13</v>
      </c>
      <c r="E110" s="2075" t="s">
        <v>1374</v>
      </c>
      <c r="F110" s="2077">
        <v>5</v>
      </c>
      <c r="G110" s="2081">
        <v>9.7200000000000006</v>
      </c>
      <c r="H110" s="2079">
        <f t="shared" si="2"/>
        <v>46121.4</v>
      </c>
      <c r="I110" s="2084" t="s">
        <v>1470</v>
      </c>
      <c r="J110" s="2088">
        <v>10000</v>
      </c>
      <c r="K110" s="2085" t="s">
        <v>1634</v>
      </c>
    </row>
    <row r="111" spans="1:11" s="2065" customFormat="1" ht="15" customHeight="1">
      <c r="A111" s="2075">
        <v>108</v>
      </c>
      <c r="B111" s="2075" t="s">
        <v>1635</v>
      </c>
      <c r="C111" s="2076" t="s">
        <v>1636</v>
      </c>
      <c r="D111" s="2075">
        <v>17</v>
      </c>
      <c r="E111" s="2075" t="s">
        <v>1374</v>
      </c>
      <c r="F111" s="2077">
        <v>5</v>
      </c>
      <c r="G111" s="2081">
        <v>9.7200000000000006</v>
      </c>
      <c r="H111" s="2079">
        <f t="shared" si="2"/>
        <v>60312.600000000006</v>
      </c>
      <c r="I111" s="2084" t="s">
        <v>1470</v>
      </c>
      <c r="J111" s="2088">
        <v>10000</v>
      </c>
      <c r="K111" s="2085" t="s">
        <v>1634</v>
      </c>
    </row>
    <row r="112" spans="1:11" s="2065" customFormat="1" ht="15" customHeight="1">
      <c r="A112" s="2075">
        <v>109</v>
      </c>
      <c r="B112" s="2075" t="s">
        <v>1637</v>
      </c>
      <c r="C112" s="2076" t="s">
        <v>1638</v>
      </c>
      <c r="D112" s="2075">
        <v>18</v>
      </c>
      <c r="E112" s="2075" t="s">
        <v>1374</v>
      </c>
      <c r="F112" s="2077">
        <v>5</v>
      </c>
      <c r="G112" s="2075">
        <v>9.7200000000000006</v>
      </c>
      <c r="H112" s="2079">
        <f t="shared" si="2"/>
        <v>63860.4</v>
      </c>
      <c r="I112" s="2084" t="s">
        <v>1470</v>
      </c>
      <c r="J112" s="2088">
        <v>10000</v>
      </c>
      <c r="K112" s="2085" t="s">
        <v>1375</v>
      </c>
    </row>
    <row r="113" spans="1:11" s="2065" customFormat="1" ht="15" customHeight="1">
      <c r="A113" s="2075">
        <v>110</v>
      </c>
      <c r="B113" s="2075" t="s">
        <v>1639</v>
      </c>
      <c r="C113" s="2076" t="s">
        <v>1640</v>
      </c>
      <c r="D113" s="2075">
        <v>12</v>
      </c>
      <c r="E113" s="2075" t="s">
        <v>1374</v>
      </c>
      <c r="F113" s="2077">
        <v>5</v>
      </c>
      <c r="G113" s="2075">
        <v>9.7200000000000006</v>
      </c>
      <c r="H113" s="2079">
        <f t="shared" si="2"/>
        <v>42573.600000000006</v>
      </c>
      <c r="I113" s="2084" t="s">
        <v>1470</v>
      </c>
      <c r="J113" s="2088">
        <v>10000</v>
      </c>
      <c r="K113" s="2085" t="s">
        <v>1572</v>
      </c>
    </row>
    <row r="114" spans="1:11" s="2065" customFormat="1" ht="15" customHeight="1">
      <c r="A114" s="2075">
        <v>111</v>
      </c>
      <c r="B114" s="2075" t="s">
        <v>1641</v>
      </c>
      <c r="C114" s="2076" t="s">
        <v>1642</v>
      </c>
      <c r="D114" s="2075">
        <v>12</v>
      </c>
      <c r="E114" s="2075" t="s">
        <v>1374</v>
      </c>
      <c r="F114" s="2077">
        <v>5</v>
      </c>
      <c r="G114" s="2075">
        <v>9.7200000000000006</v>
      </c>
      <c r="H114" s="2079">
        <f t="shared" si="2"/>
        <v>42573.600000000006</v>
      </c>
      <c r="I114" s="2084" t="s">
        <v>1643</v>
      </c>
      <c r="J114" s="2088">
        <v>10000</v>
      </c>
      <c r="K114" s="2085" t="s">
        <v>1572</v>
      </c>
    </row>
    <row r="115" spans="1:11" s="2065" customFormat="1" ht="15" customHeight="1">
      <c r="A115" s="2075">
        <v>112</v>
      </c>
      <c r="B115" s="2075" t="s">
        <v>1644</v>
      </c>
      <c r="C115" s="2076">
        <v>189</v>
      </c>
      <c r="D115" s="2075">
        <v>12</v>
      </c>
      <c r="E115" s="2075" t="s">
        <v>1645</v>
      </c>
      <c r="F115" s="2077">
        <v>3</v>
      </c>
      <c r="G115" s="2078">
        <v>9.5</v>
      </c>
      <c r="H115" s="2079">
        <f t="shared" si="2"/>
        <v>41610</v>
      </c>
      <c r="I115" s="2088" t="s">
        <v>1285</v>
      </c>
      <c r="J115" s="2088">
        <v>10000</v>
      </c>
      <c r="K115" s="2089" t="s">
        <v>1646</v>
      </c>
    </row>
    <row r="116" spans="1:11" s="2065" customFormat="1" ht="15" customHeight="1">
      <c r="A116" s="2075">
        <v>113</v>
      </c>
      <c r="B116" s="2075" t="s">
        <v>1647</v>
      </c>
      <c r="C116" s="2076" t="s">
        <v>1648</v>
      </c>
      <c r="D116" s="2075">
        <v>12</v>
      </c>
      <c r="E116" s="2075" t="s">
        <v>1649</v>
      </c>
      <c r="F116" s="2077">
        <v>3</v>
      </c>
      <c r="G116" s="2075">
        <v>9.98</v>
      </c>
      <c r="H116" s="2079">
        <f t="shared" si="2"/>
        <v>43712.4</v>
      </c>
      <c r="I116" s="2084" t="s">
        <v>1285</v>
      </c>
      <c r="J116" s="2088">
        <v>10000</v>
      </c>
      <c r="K116" s="2085" t="s">
        <v>1650</v>
      </c>
    </row>
    <row r="117" spans="1:11" s="2065" customFormat="1" ht="15" customHeight="1">
      <c r="A117" s="2075">
        <v>114</v>
      </c>
      <c r="B117" s="2075" t="s">
        <v>1651</v>
      </c>
      <c r="C117" s="2076" t="s">
        <v>1652</v>
      </c>
      <c r="D117" s="2075">
        <v>17</v>
      </c>
      <c r="E117" s="2075" t="s">
        <v>1389</v>
      </c>
      <c r="F117" s="2077">
        <v>3</v>
      </c>
      <c r="G117" s="2075">
        <v>9.7200000000000006</v>
      </c>
      <c r="H117" s="2079">
        <f t="shared" si="2"/>
        <v>60312.600000000006</v>
      </c>
      <c r="I117" s="2084" t="s">
        <v>1470</v>
      </c>
      <c r="J117" s="2088">
        <v>10000</v>
      </c>
      <c r="K117" s="2085" t="s">
        <v>1653</v>
      </c>
    </row>
    <row r="118" spans="1:11" s="2065" customFormat="1" ht="15" customHeight="1">
      <c r="A118" s="2075">
        <v>115</v>
      </c>
      <c r="B118" s="2075" t="s">
        <v>1654</v>
      </c>
      <c r="C118" s="2076" t="s">
        <v>1655</v>
      </c>
      <c r="D118" s="2075">
        <v>27</v>
      </c>
      <c r="E118" s="2075" t="s">
        <v>1656</v>
      </c>
      <c r="F118" s="2077">
        <v>3</v>
      </c>
      <c r="G118" s="2075">
        <v>8.93</v>
      </c>
      <c r="H118" s="2079">
        <f t="shared" si="2"/>
        <v>88005.15</v>
      </c>
      <c r="I118" s="2084" t="s">
        <v>1285</v>
      </c>
      <c r="J118" s="2088">
        <v>14000</v>
      </c>
      <c r="K118" s="2085" t="s">
        <v>1657</v>
      </c>
    </row>
    <row r="119" spans="1:11" s="2065" customFormat="1" ht="15" customHeight="1">
      <c r="A119" s="2075">
        <v>116</v>
      </c>
      <c r="B119" s="2075" t="s">
        <v>1658</v>
      </c>
      <c r="C119" s="2076" t="s">
        <v>1659</v>
      </c>
      <c r="D119" s="2075">
        <v>15</v>
      </c>
      <c r="E119" s="2075" t="s">
        <v>1660</v>
      </c>
      <c r="F119" s="2077">
        <v>3</v>
      </c>
      <c r="G119" s="2081">
        <v>9.98</v>
      </c>
      <c r="H119" s="2079">
        <f t="shared" si="2"/>
        <v>54640.5</v>
      </c>
      <c r="I119" s="2084" t="s">
        <v>1285</v>
      </c>
      <c r="J119" s="2088">
        <v>10000</v>
      </c>
      <c r="K119" s="2085" t="s">
        <v>1661</v>
      </c>
    </row>
    <row r="120" spans="1:11" s="2065" customFormat="1" ht="15" customHeight="1">
      <c r="A120" s="2075">
        <v>117</v>
      </c>
      <c r="B120" s="2075" t="s">
        <v>1662</v>
      </c>
      <c r="C120" s="2076" t="s">
        <v>1663</v>
      </c>
      <c r="D120" s="2075">
        <v>17</v>
      </c>
      <c r="E120" s="2075" t="s">
        <v>1664</v>
      </c>
      <c r="F120" s="2077">
        <v>5</v>
      </c>
      <c r="G120" s="2081">
        <v>9.26</v>
      </c>
      <c r="H120" s="2079">
        <f t="shared" si="2"/>
        <v>57458.299999999996</v>
      </c>
      <c r="I120" s="2084" t="s">
        <v>1470</v>
      </c>
      <c r="J120" s="2088">
        <v>10000</v>
      </c>
      <c r="K120" s="2085" t="s">
        <v>1665</v>
      </c>
    </row>
    <row r="121" spans="1:11" s="2065" customFormat="1" ht="15" customHeight="1">
      <c r="A121" s="2075">
        <v>118</v>
      </c>
      <c r="B121" s="2075"/>
      <c r="C121" s="2076" t="s">
        <v>1666</v>
      </c>
      <c r="D121" s="2075">
        <v>13</v>
      </c>
      <c r="E121" s="2075"/>
      <c r="F121" s="2077"/>
      <c r="G121" s="2078"/>
      <c r="H121" s="2079">
        <f t="shared" si="2"/>
        <v>0</v>
      </c>
      <c r="I121" s="2084"/>
      <c r="J121" s="2088"/>
      <c r="K121" s="2089"/>
    </row>
    <row r="122" spans="1:11" s="2065" customFormat="1" ht="15" customHeight="1">
      <c r="A122" s="2075">
        <v>119</v>
      </c>
      <c r="B122" s="2075"/>
      <c r="C122" s="2076" t="s">
        <v>1667</v>
      </c>
      <c r="D122" s="2075">
        <v>16</v>
      </c>
      <c r="E122" s="2075"/>
      <c r="F122" s="2077"/>
      <c r="G122" s="2081"/>
      <c r="H122" s="2079">
        <f t="shared" si="2"/>
        <v>0</v>
      </c>
      <c r="I122" s="2084"/>
      <c r="J122" s="2088"/>
      <c r="K122" s="2085"/>
    </row>
    <row r="123" spans="1:11" s="2065" customFormat="1" ht="15" customHeight="1">
      <c r="A123" s="2075">
        <v>120</v>
      </c>
      <c r="B123" s="2075" t="s">
        <v>1668</v>
      </c>
      <c r="C123" s="2076" t="s">
        <v>1669</v>
      </c>
      <c r="D123" s="2075">
        <v>14</v>
      </c>
      <c r="E123" s="2075" t="s">
        <v>1374</v>
      </c>
      <c r="F123" s="2077">
        <v>5</v>
      </c>
      <c r="G123" s="2081">
        <v>9.7200000000000006</v>
      </c>
      <c r="H123" s="2079">
        <f t="shared" si="2"/>
        <v>49669.200000000004</v>
      </c>
      <c r="I123" s="2084" t="s">
        <v>1670</v>
      </c>
      <c r="J123" s="2088">
        <v>14000</v>
      </c>
      <c r="K123" s="2085" t="s">
        <v>1634</v>
      </c>
    </row>
    <row r="124" spans="1:11" s="2065" customFormat="1" ht="15" customHeight="1">
      <c r="A124" s="2075">
        <v>121</v>
      </c>
      <c r="B124" s="2075" t="s">
        <v>1671</v>
      </c>
      <c r="C124" s="2076" t="s">
        <v>1672</v>
      </c>
      <c r="D124" s="2075">
        <v>31</v>
      </c>
      <c r="E124" s="2075" t="s">
        <v>1673</v>
      </c>
      <c r="F124" s="2077">
        <v>3</v>
      </c>
      <c r="G124" s="2078">
        <v>9.5</v>
      </c>
      <c r="H124" s="2079">
        <f t="shared" si="2"/>
        <v>107492.5</v>
      </c>
      <c r="I124" s="2084" t="s">
        <v>1470</v>
      </c>
      <c r="J124" s="2088">
        <v>18000</v>
      </c>
      <c r="K124" s="2085" t="s">
        <v>1396</v>
      </c>
    </row>
    <row r="125" spans="1:11" s="2065" customFormat="1" ht="15" customHeight="1">
      <c r="A125" s="2075">
        <v>122</v>
      </c>
      <c r="B125" s="2075" t="s">
        <v>1674</v>
      </c>
      <c r="C125" s="2076" t="s">
        <v>1675</v>
      </c>
      <c r="D125" s="2075">
        <v>28</v>
      </c>
      <c r="E125" s="2075" t="s">
        <v>1676</v>
      </c>
      <c r="F125" s="2077">
        <v>3</v>
      </c>
      <c r="G125" s="2081">
        <v>9.98</v>
      </c>
      <c r="H125" s="2079">
        <f t="shared" si="2"/>
        <v>101995.6</v>
      </c>
      <c r="I125" s="2084" t="s">
        <v>1470</v>
      </c>
      <c r="J125" s="2088">
        <v>17000</v>
      </c>
      <c r="K125" s="2085" t="s">
        <v>1677</v>
      </c>
    </row>
    <row r="126" spans="1:11" s="2065" customFormat="1" ht="15" customHeight="1">
      <c r="A126" s="2075">
        <v>123</v>
      </c>
      <c r="B126" s="2075" t="s">
        <v>1678</v>
      </c>
      <c r="C126" s="2076" t="s">
        <v>1679</v>
      </c>
      <c r="D126" s="2075">
        <v>28</v>
      </c>
      <c r="E126" s="2075" t="s">
        <v>1419</v>
      </c>
      <c r="F126" s="2077">
        <v>3</v>
      </c>
      <c r="G126" s="2078">
        <v>9.5</v>
      </c>
      <c r="H126" s="2079">
        <f t="shared" si="2"/>
        <v>97090</v>
      </c>
      <c r="I126" s="2084" t="s">
        <v>1470</v>
      </c>
      <c r="J126" s="2088">
        <v>17000</v>
      </c>
      <c r="K126" s="2085" t="s">
        <v>1680</v>
      </c>
    </row>
    <row r="127" spans="1:11" s="2065" customFormat="1" ht="15" customHeight="1">
      <c r="A127" s="2075">
        <v>124</v>
      </c>
      <c r="B127" s="2075" t="s">
        <v>1681</v>
      </c>
      <c r="C127" s="2076" t="s">
        <v>1682</v>
      </c>
      <c r="D127" s="2075">
        <v>25</v>
      </c>
      <c r="E127" s="2075" t="s">
        <v>1374</v>
      </c>
      <c r="F127" s="2077">
        <v>5</v>
      </c>
      <c r="G127" s="2081">
        <v>10.34</v>
      </c>
      <c r="H127" s="2079">
        <f t="shared" si="2"/>
        <v>94352.5</v>
      </c>
      <c r="I127" s="2084" t="s">
        <v>1470</v>
      </c>
      <c r="J127" s="2088">
        <v>12500</v>
      </c>
      <c r="K127" s="2085" t="s">
        <v>1572</v>
      </c>
    </row>
    <row r="128" spans="1:11" s="2065" customFormat="1" ht="15" customHeight="1">
      <c r="A128" s="2075">
        <v>125</v>
      </c>
      <c r="B128" s="2075" t="s">
        <v>1683</v>
      </c>
      <c r="C128" s="2076">
        <v>208</v>
      </c>
      <c r="D128" s="2075">
        <v>19</v>
      </c>
      <c r="E128" s="2075" t="s">
        <v>1684</v>
      </c>
      <c r="F128" s="2077">
        <v>3</v>
      </c>
      <c r="G128" s="2078">
        <v>9.92</v>
      </c>
      <c r="H128" s="2079">
        <f t="shared" si="2"/>
        <v>68795.199999999997</v>
      </c>
      <c r="I128" s="2084" t="s">
        <v>1470</v>
      </c>
      <c r="J128" s="2088">
        <v>12000</v>
      </c>
      <c r="K128" s="2085" t="s">
        <v>1685</v>
      </c>
    </row>
    <row r="129" spans="1:11" s="2065" customFormat="1" ht="15" customHeight="1">
      <c r="A129" s="2075">
        <v>126</v>
      </c>
      <c r="B129" s="2075" t="s">
        <v>1686</v>
      </c>
      <c r="C129" s="2076" t="s">
        <v>1687</v>
      </c>
      <c r="D129" s="2075">
        <v>29</v>
      </c>
      <c r="E129" s="2075" t="s">
        <v>1374</v>
      </c>
      <c r="F129" s="2077">
        <v>5</v>
      </c>
      <c r="G129" s="2078">
        <v>9.7200000000000006</v>
      </c>
      <c r="H129" s="2079">
        <f t="shared" si="2"/>
        <v>102886.20000000001</v>
      </c>
      <c r="I129" s="2084" t="s">
        <v>1470</v>
      </c>
      <c r="J129" s="2088">
        <v>14500</v>
      </c>
      <c r="K129" s="2085" t="s">
        <v>1572</v>
      </c>
    </row>
    <row r="130" spans="1:11" s="2065" customFormat="1" ht="15" customHeight="1">
      <c r="A130" s="2075">
        <v>127</v>
      </c>
      <c r="B130" s="2075" t="s">
        <v>1688</v>
      </c>
      <c r="C130" s="2076" t="s">
        <v>1689</v>
      </c>
      <c r="D130" s="2075">
        <v>31</v>
      </c>
      <c r="E130" s="2075" t="s">
        <v>1690</v>
      </c>
      <c r="F130" s="2077">
        <v>3</v>
      </c>
      <c r="G130" s="2078">
        <v>9.7200000000000006</v>
      </c>
      <c r="H130" s="2079">
        <f t="shared" si="2"/>
        <v>109981.8</v>
      </c>
      <c r="I130" s="2084" t="s">
        <v>1470</v>
      </c>
      <c r="J130" s="2088">
        <v>19000</v>
      </c>
      <c r="K130" s="2085" t="s">
        <v>1691</v>
      </c>
    </row>
    <row r="131" spans="1:11" s="2065" customFormat="1" ht="15" customHeight="1">
      <c r="A131" s="2075">
        <v>128</v>
      </c>
      <c r="B131" s="2075" t="s">
        <v>1692</v>
      </c>
      <c r="C131" s="2076" t="s">
        <v>1693</v>
      </c>
      <c r="D131" s="2093">
        <v>17</v>
      </c>
      <c r="E131" s="2093" t="s">
        <v>1374</v>
      </c>
      <c r="F131" s="2094">
        <v>5</v>
      </c>
      <c r="G131" s="2078">
        <v>9.7200000000000006</v>
      </c>
      <c r="H131" s="2079">
        <f t="shared" si="2"/>
        <v>60312.600000000006</v>
      </c>
      <c r="I131" s="2096" t="s">
        <v>1470</v>
      </c>
      <c r="J131" s="2097">
        <v>10000</v>
      </c>
      <c r="K131" s="2068" t="s">
        <v>1572</v>
      </c>
    </row>
    <row r="132" spans="1:11" ht="14.25">
      <c r="A132" s="2075">
        <v>129</v>
      </c>
      <c r="B132" s="2093" t="s">
        <v>1694</v>
      </c>
      <c r="C132" s="2095" t="s">
        <v>1695</v>
      </c>
      <c r="D132" s="2093">
        <v>12</v>
      </c>
      <c r="E132" s="2093" t="s">
        <v>1696</v>
      </c>
      <c r="F132" s="2094">
        <v>5</v>
      </c>
      <c r="G132" s="2081">
        <v>9.7200000000000006</v>
      </c>
      <c r="H132" s="2079">
        <f t="shared" si="2"/>
        <v>42573.600000000006</v>
      </c>
      <c r="I132" s="2096" t="s">
        <v>1285</v>
      </c>
      <c r="J132" s="2097">
        <v>10000</v>
      </c>
      <c r="K132" s="2068" t="s">
        <v>1697</v>
      </c>
    </row>
    <row r="133" spans="1:11" s="2065" customFormat="1" ht="15" customHeight="1">
      <c r="A133" s="2075">
        <v>130</v>
      </c>
      <c r="B133" s="2075" t="s">
        <v>1698</v>
      </c>
      <c r="C133" s="2076" t="s">
        <v>1699</v>
      </c>
      <c r="D133" s="2075">
        <v>28</v>
      </c>
      <c r="E133" s="2075" t="s">
        <v>1700</v>
      </c>
      <c r="F133" s="2077">
        <v>3</v>
      </c>
      <c r="G133" s="2092">
        <v>10.48</v>
      </c>
      <c r="H133" s="2079">
        <f t="shared" si="2"/>
        <v>107105.60000000001</v>
      </c>
      <c r="I133" s="2084" t="s">
        <v>1557</v>
      </c>
      <c r="J133" s="2088">
        <v>14000</v>
      </c>
      <c r="K133" s="2089" t="s">
        <v>1701</v>
      </c>
    </row>
    <row r="134" spans="1:11" s="2065" customFormat="1" ht="15" customHeight="1">
      <c r="A134" s="2075">
        <v>131</v>
      </c>
      <c r="B134" s="2075"/>
      <c r="C134" s="2076" t="s">
        <v>1702</v>
      </c>
      <c r="D134" s="2075">
        <v>82</v>
      </c>
      <c r="E134" s="2075"/>
      <c r="F134" s="2077"/>
      <c r="G134" s="2078"/>
      <c r="H134" s="2079">
        <f t="shared" si="2"/>
        <v>0</v>
      </c>
      <c r="I134" s="2084"/>
      <c r="J134" s="2088"/>
      <c r="K134" s="2085"/>
    </row>
    <row r="135" spans="1:11" s="2065" customFormat="1" ht="15" customHeight="1">
      <c r="A135" s="2075">
        <v>132</v>
      </c>
      <c r="B135" s="2075"/>
      <c r="C135" s="2076" t="s">
        <v>1703</v>
      </c>
      <c r="D135" s="2075">
        <v>20</v>
      </c>
      <c r="E135" s="2075"/>
      <c r="F135" s="2077"/>
      <c r="G135" s="2078"/>
      <c r="H135" s="2079"/>
      <c r="I135" s="2084"/>
      <c r="J135" s="2088"/>
      <c r="K135" s="2085"/>
    </row>
    <row r="136" spans="1:11" s="2065" customFormat="1" ht="15" customHeight="1">
      <c r="A136" s="2075">
        <v>133</v>
      </c>
      <c r="B136" s="2075" t="s">
        <v>1704</v>
      </c>
      <c r="C136" s="2076" t="s">
        <v>1705</v>
      </c>
      <c r="D136" s="2075">
        <v>16</v>
      </c>
      <c r="E136" s="2075" t="s">
        <v>1374</v>
      </c>
      <c r="F136" s="2077">
        <v>5</v>
      </c>
      <c r="G136" s="2078">
        <v>9.7200000000000006</v>
      </c>
      <c r="H136" s="2079">
        <f t="shared" ref="H136:H192" si="3">D136*365*G136</f>
        <v>56764.800000000003</v>
      </c>
      <c r="I136" s="2084" t="s">
        <v>1285</v>
      </c>
      <c r="J136" s="2088">
        <v>10000</v>
      </c>
      <c r="K136" s="2085" t="s">
        <v>1467</v>
      </c>
    </row>
    <row r="137" spans="1:11" s="2065" customFormat="1" ht="15" customHeight="1">
      <c r="A137" s="2075">
        <v>134</v>
      </c>
      <c r="B137" s="2075" t="s">
        <v>1706</v>
      </c>
      <c r="C137" s="2076" t="s">
        <v>1707</v>
      </c>
      <c r="D137" s="2075">
        <v>14</v>
      </c>
      <c r="E137" s="2075" t="s">
        <v>1708</v>
      </c>
      <c r="F137" s="2077">
        <v>3</v>
      </c>
      <c r="G137" s="2075">
        <v>9.7200000000000006</v>
      </c>
      <c r="H137" s="2079">
        <f t="shared" si="3"/>
        <v>49669.200000000004</v>
      </c>
      <c r="I137" s="2084" t="s">
        <v>1285</v>
      </c>
      <c r="J137" s="2088">
        <v>10000</v>
      </c>
      <c r="K137" s="2085" t="s">
        <v>1709</v>
      </c>
    </row>
    <row r="138" spans="1:11" s="2065" customFormat="1" ht="15" customHeight="1">
      <c r="A138" s="2075">
        <v>135</v>
      </c>
      <c r="B138" s="2075" t="s">
        <v>1710</v>
      </c>
      <c r="C138" s="2076" t="s">
        <v>1711</v>
      </c>
      <c r="D138" s="2075">
        <v>11</v>
      </c>
      <c r="E138" s="2075" t="s">
        <v>1712</v>
      </c>
      <c r="F138" s="2077">
        <v>5</v>
      </c>
      <c r="G138" s="2078">
        <v>7.91</v>
      </c>
      <c r="H138" s="2079">
        <f t="shared" si="3"/>
        <v>31758.65</v>
      </c>
      <c r="I138" s="2084" t="s">
        <v>1285</v>
      </c>
      <c r="J138" s="2088">
        <v>10000</v>
      </c>
      <c r="K138" s="2089" t="s">
        <v>1713</v>
      </c>
    </row>
    <row r="139" spans="1:11" s="2065" customFormat="1" ht="15" customHeight="1">
      <c r="A139" s="2075">
        <v>136</v>
      </c>
      <c r="B139" s="2075" t="s">
        <v>1714</v>
      </c>
      <c r="C139" s="2076" t="s">
        <v>1715</v>
      </c>
      <c r="D139" s="2075">
        <v>13</v>
      </c>
      <c r="E139" s="2075" t="s">
        <v>1716</v>
      </c>
      <c r="F139" s="2077">
        <v>5</v>
      </c>
      <c r="G139" s="2078">
        <v>7.91</v>
      </c>
      <c r="H139" s="2079">
        <f t="shared" si="3"/>
        <v>37532.949999999997</v>
      </c>
      <c r="I139" s="2084" t="s">
        <v>1285</v>
      </c>
      <c r="J139" s="2088">
        <v>10000</v>
      </c>
      <c r="K139" s="2085" t="s">
        <v>1717</v>
      </c>
    </row>
    <row r="140" spans="1:11" s="2065" customFormat="1" ht="15" customHeight="1">
      <c r="A140" s="2075">
        <v>137</v>
      </c>
      <c r="B140" s="2075" t="s">
        <v>1718</v>
      </c>
      <c r="C140" s="2076">
        <v>223</v>
      </c>
      <c r="D140" s="2075">
        <v>14</v>
      </c>
      <c r="E140" s="2075" t="s">
        <v>1361</v>
      </c>
      <c r="F140" s="2077">
        <v>3</v>
      </c>
      <c r="G140" s="2078">
        <v>9.11</v>
      </c>
      <c r="H140" s="2079">
        <f t="shared" si="3"/>
        <v>46552.1</v>
      </c>
      <c r="I140" s="2084" t="s">
        <v>1362</v>
      </c>
      <c r="J140" s="2088">
        <v>10000</v>
      </c>
      <c r="K140" s="2085" t="s">
        <v>1719</v>
      </c>
    </row>
    <row r="141" spans="1:11" s="2065" customFormat="1" ht="15" customHeight="1">
      <c r="A141" s="2075">
        <v>138</v>
      </c>
      <c r="B141" s="2075" t="s">
        <v>1720</v>
      </c>
      <c r="C141" s="2076" t="s">
        <v>1721</v>
      </c>
      <c r="D141" s="2075">
        <v>15</v>
      </c>
      <c r="E141" s="2075" t="s">
        <v>1722</v>
      </c>
      <c r="F141" s="2077">
        <v>3</v>
      </c>
      <c r="G141" s="2081">
        <v>9.11</v>
      </c>
      <c r="H141" s="2079">
        <f t="shared" si="3"/>
        <v>49877.25</v>
      </c>
      <c r="I141" s="2084" t="s">
        <v>1285</v>
      </c>
      <c r="J141" s="2088">
        <v>10000</v>
      </c>
      <c r="K141" s="2085" t="s">
        <v>1723</v>
      </c>
    </row>
    <row r="142" spans="1:11" s="2065" customFormat="1" ht="15" customHeight="1">
      <c r="A142" s="2075">
        <v>139</v>
      </c>
      <c r="B142" s="2075" t="s">
        <v>1724</v>
      </c>
      <c r="C142" s="2076" t="s">
        <v>1725</v>
      </c>
      <c r="D142" s="2075">
        <v>16</v>
      </c>
      <c r="E142" s="2075" t="s">
        <v>1726</v>
      </c>
      <c r="F142" s="2077">
        <v>3</v>
      </c>
      <c r="G142" s="2078">
        <v>10.48</v>
      </c>
      <c r="H142" s="2079">
        <f t="shared" si="3"/>
        <v>61203.200000000004</v>
      </c>
      <c r="I142" s="2088" t="s">
        <v>1458</v>
      </c>
      <c r="J142" s="2088">
        <v>10000</v>
      </c>
      <c r="K142" s="2089" t="s">
        <v>1727</v>
      </c>
    </row>
    <row r="143" spans="1:11" s="2065" customFormat="1" ht="15" customHeight="1">
      <c r="A143" s="2075">
        <v>140</v>
      </c>
      <c r="B143" s="2075" t="s">
        <v>1728</v>
      </c>
      <c r="C143" s="2076">
        <v>227</v>
      </c>
      <c r="D143" s="2075">
        <v>15</v>
      </c>
      <c r="E143" s="2075" t="s">
        <v>1729</v>
      </c>
      <c r="F143" s="2077">
        <v>5</v>
      </c>
      <c r="G143" s="2078">
        <v>9.26</v>
      </c>
      <c r="H143" s="2079">
        <f t="shared" si="3"/>
        <v>50698.5</v>
      </c>
      <c r="I143" s="2084" t="s">
        <v>1285</v>
      </c>
      <c r="J143" s="2088">
        <v>10000</v>
      </c>
      <c r="K143" s="2085" t="s">
        <v>1730</v>
      </c>
    </row>
    <row r="144" spans="1:11" s="2065" customFormat="1" ht="15" customHeight="1">
      <c r="A144" s="2075">
        <v>141</v>
      </c>
      <c r="B144" s="2075" t="s">
        <v>1731</v>
      </c>
      <c r="C144" s="2076" t="s">
        <v>1732</v>
      </c>
      <c r="D144" s="2075">
        <v>15</v>
      </c>
      <c r="E144" s="2075" t="s">
        <v>1733</v>
      </c>
      <c r="F144" s="2077">
        <v>3</v>
      </c>
      <c r="G144" s="2075">
        <v>9</v>
      </c>
      <c r="H144" s="2079">
        <f t="shared" si="3"/>
        <v>49275</v>
      </c>
      <c r="I144" s="2084" t="s">
        <v>1734</v>
      </c>
      <c r="J144" s="2088">
        <v>10000</v>
      </c>
      <c r="K144" s="2085" t="s">
        <v>1735</v>
      </c>
    </row>
    <row r="145" spans="1:11" s="2065" customFormat="1" ht="15" customHeight="1">
      <c r="A145" s="2075">
        <v>142</v>
      </c>
      <c r="B145" s="2075" t="s">
        <v>1736</v>
      </c>
      <c r="C145" s="2076" t="s">
        <v>1737</v>
      </c>
      <c r="D145" s="2075">
        <v>27</v>
      </c>
      <c r="E145" s="2075" t="s">
        <v>1733</v>
      </c>
      <c r="F145" s="2077">
        <v>3</v>
      </c>
      <c r="G145" s="2075">
        <v>9</v>
      </c>
      <c r="H145" s="2079">
        <f t="shared" si="3"/>
        <v>88695</v>
      </c>
      <c r="I145" s="2084" t="s">
        <v>1285</v>
      </c>
      <c r="J145" s="2088">
        <v>15000</v>
      </c>
      <c r="K145" s="2085" t="s">
        <v>1735</v>
      </c>
    </row>
    <row r="146" spans="1:11" s="2065" customFormat="1" ht="15" customHeight="1">
      <c r="A146" s="2075">
        <v>143</v>
      </c>
      <c r="B146" s="2075" t="s">
        <v>1738</v>
      </c>
      <c r="C146" s="2076" t="s">
        <v>1739</v>
      </c>
      <c r="D146" s="2075">
        <v>19</v>
      </c>
      <c r="E146" s="2075" t="s">
        <v>1733</v>
      </c>
      <c r="F146" s="2077">
        <v>3</v>
      </c>
      <c r="G146" s="2075">
        <v>9</v>
      </c>
      <c r="H146" s="2079">
        <f t="shared" si="3"/>
        <v>62415</v>
      </c>
      <c r="I146" s="2084" t="s">
        <v>1285</v>
      </c>
      <c r="J146" s="2088">
        <v>11000</v>
      </c>
      <c r="K146" s="2085" t="s">
        <v>1735</v>
      </c>
    </row>
    <row r="147" spans="1:11" s="2065" customFormat="1" ht="15" customHeight="1">
      <c r="A147" s="2075">
        <v>144</v>
      </c>
      <c r="B147" s="2075" t="s">
        <v>1740</v>
      </c>
      <c r="C147" s="2076" t="s">
        <v>1741</v>
      </c>
      <c r="D147" s="2075">
        <v>15</v>
      </c>
      <c r="E147" s="2075" t="s">
        <v>1742</v>
      </c>
      <c r="F147" s="2077">
        <v>3</v>
      </c>
      <c r="G147" s="2075">
        <v>9.5</v>
      </c>
      <c r="H147" s="2079">
        <f t="shared" si="3"/>
        <v>52012.5</v>
      </c>
      <c r="I147" s="2084" t="s">
        <v>1285</v>
      </c>
      <c r="J147" s="2088">
        <v>10000</v>
      </c>
      <c r="K147" s="2085" t="s">
        <v>1743</v>
      </c>
    </row>
    <row r="148" spans="1:11" s="2065" customFormat="1" ht="15" customHeight="1">
      <c r="A148" s="2075">
        <v>145</v>
      </c>
      <c r="B148" s="2075" t="s">
        <v>1744</v>
      </c>
      <c r="C148" s="2076" t="s">
        <v>1745</v>
      </c>
      <c r="D148" s="2075">
        <v>29</v>
      </c>
      <c r="E148" s="2075" t="s">
        <v>1361</v>
      </c>
      <c r="F148" s="2077">
        <v>3</v>
      </c>
      <c r="G148" s="2078">
        <v>9.11</v>
      </c>
      <c r="H148" s="2079">
        <f t="shared" si="3"/>
        <v>96429.349999999991</v>
      </c>
      <c r="I148" s="2084" t="s">
        <v>1746</v>
      </c>
      <c r="J148" s="2088">
        <v>14500</v>
      </c>
      <c r="K148" s="2085" t="s">
        <v>1381</v>
      </c>
    </row>
    <row r="149" spans="1:11" s="2065" customFormat="1" ht="15" customHeight="1">
      <c r="A149" s="2075">
        <v>146</v>
      </c>
      <c r="B149" s="2075" t="s">
        <v>1747</v>
      </c>
      <c r="C149" s="2076" t="s">
        <v>1748</v>
      </c>
      <c r="D149" s="2075">
        <v>29</v>
      </c>
      <c r="E149" s="2075" t="s">
        <v>1749</v>
      </c>
      <c r="F149" s="2077">
        <v>3</v>
      </c>
      <c r="G149" s="2078">
        <v>9.5</v>
      </c>
      <c r="H149" s="2079">
        <f t="shared" si="3"/>
        <v>100557.5</v>
      </c>
      <c r="I149" s="2084" t="s">
        <v>1463</v>
      </c>
      <c r="J149" s="2088">
        <v>17000</v>
      </c>
      <c r="K149" s="2085" t="s">
        <v>1408</v>
      </c>
    </row>
    <row r="150" spans="1:11" s="2065" customFormat="1" ht="15" customHeight="1">
      <c r="A150" s="2075">
        <v>147</v>
      </c>
      <c r="B150" s="2075" t="s">
        <v>1750</v>
      </c>
      <c r="C150" s="2076" t="s">
        <v>1751</v>
      </c>
      <c r="D150" s="2075">
        <v>14</v>
      </c>
      <c r="E150" s="2075" t="s">
        <v>1752</v>
      </c>
      <c r="F150" s="2077">
        <v>3</v>
      </c>
      <c r="G150" s="2075">
        <v>9.4499999999999993</v>
      </c>
      <c r="H150" s="2079">
        <f t="shared" si="3"/>
        <v>48289.5</v>
      </c>
      <c r="I150" s="2084" t="s">
        <v>1285</v>
      </c>
      <c r="J150" s="2088">
        <v>10000</v>
      </c>
      <c r="K150" s="2085" t="s">
        <v>1530</v>
      </c>
    </row>
    <row r="151" spans="1:11" s="2065" customFormat="1" ht="15" customHeight="1">
      <c r="A151" s="2075">
        <v>148</v>
      </c>
      <c r="B151" s="2075" t="s">
        <v>1753</v>
      </c>
      <c r="C151" s="2076" t="s">
        <v>1754</v>
      </c>
      <c r="D151" s="2075">
        <v>8</v>
      </c>
      <c r="E151" s="2075" t="s">
        <v>1755</v>
      </c>
      <c r="F151" s="2077">
        <v>5</v>
      </c>
      <c r="G151" s="2075">
        <v>12</v>
      </c>
      <c r="H151" s="2079">
        <f t="shared" si="3"/>
        <v>35040</v>
      </c>
      <c r="I151" s="2088" t="s">
        <v>1670</v>
      </c>
      <c r="J151" s="2088">
        <v>10000</v>
      </c>
      <c r="K151" s="2085" t="s">
        <v>1756</v>
      </c>
    </row>
    <row r="152" spans="1:11" s="2065" customFormat="1" ht="15" customHeight="1">
      <c r="A152" s="2075">
        <v>149</v>
      </c>
      <c r="B152" s="2075"/>
      <c r="C152" s="2076" t="s">
        <v>1757</v>
      </c>
      <c r="D152" s="2075">
        <v>22</v>
      </c>
      <c r="E152" s="2075"/>
      <c r="F152" s="2077"/>
      <c r="G152" s="2075"/>
      <c r="H152" s="2079">
        <f t="shared" si="3"/>
        <v>0</v>
      </c>
      <c r="I152" s="2084"/>
      <c r="J152" s="2088"/>
      <c r="K152" s="2085"/>
    </row>
    <row r="153" spans="1:11" s="2065" customFormat="1" ht="15" customHeight="1">
      <c r="A153" s="2075">
        <v>150</v>
      </c>
      <c r="B153" s="2075" t="s">
        <v>1758</v>
      </c>
      <c r="C153" s="2076" t="s">
        <v>1759</v>
      </c>
      <c r="D153" s="2075">
        <v>10</v>
      </c>
      <c r="E153" s="2075" t="s">
        <v>1760</v>
      </c>
      <c r="F153" s="2077">
        <v>3</v>
      </c>
      <c r="G153" s="2078">
        <v>10</v>
      </c>
      <c r="H153" s="2079">
        <f t="shared" si="3"/>
        <v>36500</v>
      </c>
      <c r="I153" s="2084" t="s">
        <v>1285</v>
      </c>
      <c r="J153" s="2088">
        <v>10000</v>
      </c>
      <c r="K153" s="2085" t="s">
        <v>1761</v>
      </c>
    </row>
    <row r="154" spans="1:11" s="2065" customFormat="1" ht="15" customHeight="1">
      <c r="A154" s="2075">
        <v>151</v>
      </c>
      <c r="B154" s="2075"/>
      <c r="C154" s="2076" t="s">
        <v>1762</v>
      </c>
      <c r="D154" s="2075">
        <v>29</v>
      </c>
      <c r="E154" s="2075"/>
      <c r="F154" s="2077"/>
      <c r="G154" s="2078"/>
      <c r="H154" s="2079">
        <f t="shared" si="3"/>
        <v>0</v>
      </c>
      <c r="I154" s="2088"/>
      <c r="J154" s="2088"/>
      <c r="K154" s="2089"/>
    </row>
    <row r="155" spans="1:11" s="2065" customFormat="1" ht="15" customHeight="1">
      <c r="A155" s="2075">
        <v>152</v>
      </c>
      <c r="B155" s="2075"/>
      <c r="C155" s="2076" t="s">
        <v>1763</v>
      </c>
      <c r="D155" s="2075">
        <v>42</v>
      </c>
      <c r="E155" s="2075"/>
      <c r="F155" s="2077"/>
      <c r="G155" s="2078"/>
      <c r="H155" s="2079">
        <f t="shared" si="3"/>
        <v>0</v>
      </c>
      <c r="I155" s="2084"/>
      <c r="J155" s="2088"/>
      <c r="K155" s="2085"/>
    </row>
    <row r="156" spans="1:11" s="2065" customFormat="1" ht="15" customHeight="1">
      <c r="A156" s="2075">
        <v>153</v>
      </c>
      <c r="B156" s="2075"/>
      <c r="C156" s="2076" t="s">
        <v>1764</v>
      </c>
      <c r="D156" s="2075">
        <v>40</v>
      </c>
      <c r="E156" s="2075"/>
      <c r="F156" s="2077"/>
      <c r="G156" s="2092"/>
      <c r="H156" s="2079">
        <f t="shared" si="3"/>
        <v>0</v>
      </c>
      <c r="I156" s="2084"/>
      <c r="J156" s="2088"/>
      <c r="K156" s="2085"/>
    </row>
    <row r="157" spans="1:11" s="2065" customFormat="1" ht="15" customHeight="1">
      <c r="A157" s="2075">
        <v>154</v>
      </c>
      <c r="B157" s="2075" t="s">
        <v>1765</v>
      </c>
      <c r="C157" s="2076" t="s">
        <v>1766</v>
      </c>
      <c r="D157" s="2075">
        <v>8</v>
      </c>
      <c r="E157" s="2075" t="s">
        <v>1767</v>
      </c>
      <c r="F157" s="2077">
        <v>5</v>
      </c>
      <c r="G157" s="2078">
        <v>8.52</v>
      </c>
      <c r="H157" s="2079">
        <f t="shared" si="3"/>
        <v>24878.399999999998</v>
      </c>
      <c r="I157" s="2084" t="s">
        <v>1768</v>
      </c>
      <c r="J157" s="2088">
        <v>10000</v>
      </c>
      <c r="K157" s="2085" t="s">
        <v>1769</v>
      </c>
    </row>
    <row r="158" spans="1:11" s="2065" customFormat="1" ht="15" customHeight="1">
      <c r="A158" s="2075">
        <v>155</v>
      </c>
      <c r="B158" s="2075" t="s">
        <v>1770</v>
      </c>
      <c r="C158" s="2076" t="s">
        <v>1771</v>
      </c>
      <c r="D158" s="2075">
        <v>6</v>
      </c>
      <c r="E158" s="2075" t="s">
        <v>1772</v>
      </c>
      <c r="F158" s="2077">
        <v>3</v>
      </c>
      <c r="G158" s="2078">
        <v>10</v>
      </c>
      <c r="H158" s="2079">
        <f t="shared" si="3"/>
        <v>21900</v>
      </c>
      <c r="I158" s="2084" t="s">
        <v>1285</v>
      </c>
      <c r="J158" s="2088">
        <v>10000</v>
      </c>
      <c r="K158" s="2089" t="s">
        <v>1773</v>
      </c>
    </row>
    <row r="159" spans="1:11" s="2065" customFormat="1" ht="15" customHeight="1">
      <c r="A159" s="2075">
        <v>156</v>
      </c>
      <c r="B159" s="2075" t="s">
        <v>1774</v>
      </c>
      <c r="C159" s="2076" t="s">
        <v>1775</v>
      </c>
      <c r="D159" s="2075">
        <v>6</v>
      </c>
      <c r="E159" s="2075" t="s">
        <v>1776</v>
      </c>
      <c r="F159" s="2077">
        <v>3</v>
      </c>
      <c r="G159" s="2081">
        <v>14.33</v>
      </c>
      <c r="H159" s="2079">
        <f t="shared" si="3"/>
        <v>31382.7</v>
      </c>
      <c r="I159" s="2088" t="s">
        <v>1285</v>
      </c>
      <c r="J159" s="2088">
        <v>10000</v>
      </c>
      <c r="K159" s="2085" t="s">
        <v>1777</v>
      </c>
    </row>
    <row r="160" spans="1:11" s="2065" customFormat="1" ht="15" customHeight="1">
      <c r="A160" s="2075">
        <v>157</v>
      </c>
      <c r="B160" s="2075" t="s">
        <v>1778</v>
      </c>
      <c r="C160" s="2076" t="s">
        <v>1779</v>
      </c>
      <c r="D160" s="2075">
        <v>7</v>
      </c>
      <c r="E160" s="2075" t="s">
        <v>1780</v>
      </c>
      <c r="F160" s="2077">
        <v>3</v>
      </c>
      <c r="G160" s="2081">
        <v>13.65</v>
      </c>
      <c r="H160" s="2079">
        <f t="shared" si="3"/>
        <v>34875.75</v>
      </c>
      <c r="I160" s="2088" t="s">
        <v>1285</v>
      </c>
      <c r="J160" s="2088">
        <v>10000</v>
      </c>
      <c r="K160" s="2085" t="s">
        <v>1781</v>
      </c>
    </row>
    <row r="161" spans="1:11" s="2065" customFormat="1" ht="15" customHeight="1">
      <c r="A161" s="2075">
        <v>158</v>
      </c>
      <c r="B161" s="2075" t="s">
        <v>1782</v>
      </c>
      <c r="C161" s="2076" t="s">
        <v>1783</v>
      </c>
      <c r="D161" s="2075">
        <v>7</v>
      </c>
      <c r="E161" s="2075" t="s">
        <v>1284</v>
      </c>
      <c r="F161" s="2077">
        <v>5</v>
      </c>
      <c r="G161" s="2081">
        <v>9.26</v>
      </c>
      <c r="H161" s="2079">
        <f t="shared" si="3"/>
        <v>23659.3</v>
      </c>
      <c r="I161" s="2088" t="s">
        <v>1285</v>
      </c>
      <c r="J161" s="2088">
        <v>10000</v>
      </c>
      <c r="K161" s="2085" t="s">
        <v>1784</v>
      </c>
    </row>
    <row r="162" spans="1:11" s="2065" customFormat="1" ht="15" customHeight="1">
      <c r="A162" s="2075">
        <v>159</v>
      </c>
      <c r="B162" s="2075" t="s">
        <v>1785</v>
      </c>
      <c r="C162" s="2076" t="s">
        <v>1786</v>
      </c>
      <c r="D162" s="2075">
        <v>7</v>
      </c>
      <c r="E162" s="2075" t="s">
        <v>1787</v>
      </c>
      <c r="F162" s="2077">
        <v>3</v>
      </c>
      <c r="G162" s="2081">
        <v>13.65</v>
      </c>
      <c r="H162" s="2079">
        <f t="shared" si="3"/>
        <v>34875.75</v>
      </c>
      <c r="I162" s="2084" t="s">
        <v>1285</v>
      </c>
      <c r="J162" s="2088">
        <v>10000</v>
      </c>
      <c r="K162" s="2085" t="s">
        <v>1788</v>
      </c>
    </row>
    <row r="163" spans="1:11" s="2065" customFormat="1" ht="15" customHeight="1">
      <c r="A163" s="2075">
        <v>160</v>
      </c>
      <c r="B163" s="2075"/>
      <c r="C163" s="2076" t="s">
        <v>1789</v>
      </c>
      <c r="D163" s="2075">
        <v>7</v>
      </c>
      <c r="E163" s="2075"/>
      <c r="F163" s="2077"/>
      <c r="G163" s="2081"/>
      <c r="H163" s="2079">
        <f t="shared" si="3"/>
        <v>0</v>
      </c>
      <c r="I163" s="2084"/>
      <c r="J163" s="2088"/>
      <c r="K163" s="2089"/>
    </row>
    <row r="164" spans="1:11" s="2065" customFormat="1" ht="15" customHeight="1">
      <c r="A164" s="2075">
        <v>161</v>
      </c>
      <c r="B164" s="2075" t="s">
        <v>1790</v>
      </c>
      <c r="C164" s="2076" t="s">
        <v>1791</v>
      </c>
      <c r="D164" s="2075">
        <v>13</v>
      </c>
      <c r="E164" s="2075" t="s">
        <v>1792</v>
      </c>
      <c r="F164" s="2077">
        <v>5</v>
      </c>
      <c r="G164" s="2081">
        <v>9.7200000000000006</v>
      </c>
      <c r="H164" s="2079">
        <f t="shared" si="3"/>
        <v>46121.4</v>
      </c>
      <c r="I164" s="2084" t="s">
        <v>1285</v>
      </c>
      <c r="J164" s="2088">
        <v>10000</v>
      </c>
      <c r="K164" s="2085" t="s">
        <v>1572</v>
      </c>
    </row>
    <row r="165" spans="1:11" s="2065" customFormat="1" ht="15" customHeight="1">
      <c r="A165" s="2075">
        <v>162</v>
      </c>
      <c r="B165" s="2075" t="s">
        <v>1793</v>
      </c>
      <c r="C165" s="2076" t="s">
        <v>1794</v>
      </c>
      <c r="D165" s="2075">
        <v>16</v>
      </c>
      <c r="E165" s="2075" t="s">
        <v>1374</v>
      </c>
      <c r="F165" s="2077">
        <v>5</v>
      </c>
      <c r="G165" s="2081">
        <v>9.7200000000000006</v>
      </c>
      <c r="H165" s="2079">
        <f t="shared" si="3"/>
        <v>56764.800000000003</v>
      </c>
      <c r="I165" s="2084" t="s">
        <v>1795</v>
      </c>
      <c r="J165" s="2088">
        <v>10000</v>
      </c>
      <c r="K165" s="2085" t="s">
        <v>1375</v>
      </c>
    </row>
    <row r="166" spans="1:11" s="2065" customFormat="1" ht="15" customHeight="1">
      <c r="A166" s="2075">
        <v>163</v>
      </c>
      <c r="B166" s="2075" t="s">
        <v>1796</v>
      </c>
      <c r="C166" s="2076" t="s">
        <v>1797</v>
      </c>
      <c r="D166" s="2075">
        <v>6</v>
      </c>
      <c r="E166" s="2075" t="s">
        <v>1798</v>
      </c>
      <c r="F166" s="2077">
        <v>3</v>
      </c>
      <c r="G166" s="2081">
        <v>13.13</v>
      </c>
      <c r="H166" s="2079">
        <f t="shared" si="3"/>
        <v>28754.7</v>
      </c>
      <c r="I166" s="2088" t="s">
        <v>1285</v>
      </c>
      <c r="J166" s="2088">
        <v>10000</v>
      </c>
      <c r="K166" s="2085" t="s">
        <v>1799</v>
      </c>
    </row>
    <row r="167" spans="1:11" s="2065" customFormat="1" ht="15" customHeight="1">
      <c r="A167" s="2075">
        <v>164</v>
      </c>
      <c r="B167" s="2075" t="s">
        <v>1800</v>
      </c>
      <c r="C167" s="2076" t="s">
        <v>1801</v>
      </c>
      <c r="D167" s="2075">
        <v>7</v>
      </c>
      <c r="E167" s="2075" t="s">
        <v>1802</v>
      </c>
      <c r="F167" s="2077">
        <v>3</v>
      </c>
      <c r="G167" s="2081">
        <v>13</v>
      </c>
      <c r="H167" s="2079">
        <f t="shared" si="3"/>
        <v>33215</v>
      </c>
      <c r="I167" s="2084" t="s">
        <v>1734</v>
      </c>
      <c r="J167" s="2088">
        <v>10000</v>
      </c>
      <c r="K167" s="2085" t="s">
        <v>1803</v>
      </c>
    </row>
    <row r="168" spans="1:11" s="2065" customFormat="1" ht="15" customHeight="1">
      <c r="A168" s="2075">
        <v>165</v>
      </c>
      <c r="B168" s="2075" t="s">
        <v>1804</v>
      </c>
      <c r="C168" s="2076" t="s">
        <v>1805</v>
      </c>
      <c r="D168" s="2075">
        <v>7</v>
      </c>
      <c r="E168" s="2075" t="s">
        <v>1806</v>
      </c>
      <c r="F168" s="2077">
        <v>3</v>
      </c>
      <c r="G168" s="2081">
        <v>13</v>
      </c>
      <c r="H168" s="2079">
        <f t="shared" si="3"/>
        <v>33215</v>
      </c>
      <c r="I168" s="2088" t="s">
        <v>1285</v>
      </c>
      <c r="J168" s="2088">
        <v>10000</v>
      </c>
      <c r="K168" s="2085" t="s">
        <v>1807</v>
      </c>
    </row>
    <row r="169" spans="1:11" s="2065" customFormat="1" ht="15" customHeight="1">
      <c r="A169" s="2075">
        <v>166</v>
      </c>
      <c r="B169" s="2075" t="s">
        <v>1808</v>
      </c>
      <c r="C169" s="2076" t="s">
        <v>1809</v>
      </c>
      <c r="D169" s="2075">
        <v>7</v>
      </c>
      <c r="E169" s="2075" t="s">
        <v>1810</v>
      </c>
      <c r="F169" s="2077">
        <v>3</v>
      </c>
      <c r="G169" s="2081">
        <v>13.65</v>
      </c>
      <c r="H169" s="2079">
        <f t="shared" si="3"/>
        <v>34875.75</v>
      </c>
      <c r="I169" s="2084" t="s">
        <v>1811</v>
      </c>
      <c r="J169" s="2088">
        <v>10000</v>
      </c>
      <c r="K169" s="2085" t="s">
        <v>1812</v>
      </c>
    </row>
    <row r="170" spans="1:11" s="2065" customFormat="1" ht="15" customHeight="1">
      <c r="A170" s="2075">
        <v>167</v>
      </c>
      <c r="B170" s="2075"/>
      <c r="C170" s="2076" t="s">
        <v>1813</v>
      </c>
      <c r="D170" s="2075">
        <v>7</v>
      </c>
      <c r="E170" s="2075"/>
      <c r="F170" s="2077"/>
      <c r="G170" s="2081"/>
      <c r="H170" s="2079">
        <f t="shared" si="3"/>
        <v>0</v>
      </c>
      <c r="I170" s="2084"/>
      <c r="J170" s="2088"/>
      <c r="K170" s="2085"/>
    </row>
    <row r="171" spans="1:11" s="2065" customFormat="1" ht="15" customHeight="1">
      <c r="A171" s="2075">
        <v>168</v>
      </c>
      <c r="B171" s="2075"/>
      <c r="C171" s="2076" t="s">
        <v>1814</v>
      </c>
      <c r="D171" s="2075">
        <v>8</v>
      </c>
      <c r="E171" s="2075"/>
      <c r="F171" s="2077"/>
      <c r="G171" s="2078"/>
      <c r="H171" s="2079">
        <f t="shared" si="3"/>
        <v>0</v>
      </c>
      <c r="I171" s="2084"/>
      <c r="J171" s="2088"/>
      <c r="K171" s="2085"/>
    </row>
    <row r="172" spans="1:11" s="2065" customFormat="1" ht="15" customHeight="1">
      <c r="A172" s="2075">
        <v>169</v>
      </c>
      <c r="B172" s="2075" t="s">
        <v>1815</v>
      </c>
      <c r="C172" s="2076" t="s">
        <v>1816</v>
      </c>
      <c r="D172" s="2075">
        <v>3</v>
      </c>
      <c r="E172" s="2075" t="s">
        <v>1817</v>
      </c>
      <c r="F172" s="2077">
        <v>3</v>
      </c>
      <c r="G172" s="2078">
        <v>20</v>
      </c>
      <c r="H172" s="2079">
        <f t="shared" si="3"/>
        <v>21900</v>
      </c>
      <c r="I172" s="2084" t="s">
        <v>1285</v>
      </c>
      <c r="J172" s="2088">
        <v>10000</v>
      </c>
      <c r="K172" s="2085" t="s">
        <v>1818</v>
      </c>
    </row>
    <row r="173" spans="1:11" s="2065" customFormat="1" ht="15" customHeight="1">
      <c r="A173" s="2075">
        <v>170</v>
      </c>
      <c r="B173" s="2075"/>
      <c r="C173" s="2076" t="s">
        <v>1819</v>
      </c>
      <c r="D173" s="2075">
        <v>22</v>
      </c>
      <c r="E173" s="2075"/>
      <c r="F173" s="2077"/>
      <c r="G173" s="2078"/>
      <c r="H173" s="2079">
        <f t="shared" si="3"/>
        <v>0</v>
      </c>
      <c r="I173" s="2084"/>
      <c r="J173" s="2088"/>
      <c r="K173" s="2085"/>
    </row>
    <row r="174" spans="1:11" s="2065" customFormat="1" ht="15" customHeight="1">
      <c r="A174" s="2075">
        <v>171</v>
      </c>
      <c r="B174" s="2075" t="s">
        <v>1796</v>
      </c>
      <c r="C174" s="2076" t="s">
        <v>1820</v>
      </c>
      <c r="D174" s="2075">
        <v>2</v>
      </c>
      <c r="E174" s="2075" t="s">
        <v>1821</v>
      </c>
      <c r="F174" s="2077">
        <v>5</v>
      </c>
      <c r="G174" s="2078">
        <f>22050/365/2</f>
        <v>30.205479452054796</v>
      </c>
      <c r="H174" s="2079">
        <f t="shared" si="3"/>
        <v>22050</v>
      </c>
      <c r="I174" s="2084" t="s">
        <v>1822</v>
      </c>
      <c r="J174" s="2088">
        <v>2000</v>
      </c>
      <c r="K174" s="2085" t="s">
        <v>1823</v>
      </c>
    </row>
    <row r="175" spans="1:11" s="2065" customFormat="1" ht="15" customHeight="1">
      <c r="A175" s="2075">
        <v>172</v>
      </c>
      <c r="B175" s="2075" t="s">
        <v>1824</v>
      </c>
      <c r="C175" s="2076" t="s">
        <v>1825</v>
      </c>
      <c r="D175" s="2075">
        <v>58</v>
      </c>
      <c r="E175" s="2075" t="s">
        <v>1289</v>
      </c>
      <c r="F175" s="2077">
        <v>3</v>
      </c>
      <c r="G175" s="2078">
        <v>12.5</v>
      </c>
      <c r="H175" s="2079">
        <f t="shared" si="3"/>
        <v>264625</v>
      </c>
      <c r="I175" s="2084" t="s">
        <v>1826</v>
      </c>
      <c r="J175" s="2088">
        <v>45000</v>
      </c>
      <c r="K175" s="2085" t="s">
        <v>1827</v>
      </c>
    </row>
    <row r="176" spans="1:11" s="2065" customFormat="1" ht="15" customHeight="1">
      <c r="A176" s="2075">
        <v>173</v>
      </c>
      <c r="B176" s="2075"/>
      <c r="C176" s="2076" t="s">
        <v>1828</v>
      </c>
      <c r="D176" s="2075">
        <v>15</v>
      </c>
      <c r="E176" s="2075"/>
      <c r="F176" s="2077"/>
      <c r="G176" s="2078"/>
      <c r="H176" s="2079">
        <f t="shared" si="3"/>
        <v>0</v>
      </c>
      <c r="I176" s="2084"/>
      <c r="J176" s="2088"/>
      <c r="K176" s="2085"/>
    </row>
    <row r="177" spans="1:11" s="2065" customFormat="1" ht="15" customHeight="1">
      <c r="A177" s="2075">
        <v>174</v>
      </c>
      <c r="B177" s="2075" t="s">
        <v>1829</v>
      </c>
      <c r="C177" s="2076" t="s">
        <v>1830</v>
      </c>
      <c r="D177" s="2075">
        <v>15</v>
      </c>
      <c r="E177" s="2075" t="s">
        <v>1831</v>
      </c>
      <c r="F177" s="2077">
        <v>3</v>
      </c>
      <c r="G177" s="2078">
        <v>13</v>
      </c>
      <c r="H177" s="2079">
        <f t="shared" si="3"/>
        <v>71175</v>
      </c>
      <c r="I177" s="2084" t="s">
        <v>1826</v>
      </c>
      <c r="J177" s="2088">
        <v>12000</v>
      </c>
      <c r="K177" s="2085" t="s">
        <v>1832</v>
      </c>
    </row>
    <row r="178" spans="1:11" s="2065" customFormat="1" ht="15" customHeight="1">
      <c r="A178" s="2075">
        <v>175</v>
      </c>
      <c r="B178" s="2075" t="s">
        <v>1833</v>
      </c>
      <c r="C178" s="2076" t="s">
        <v>1834</v>
      </c>
      <c r="D178" s="2075">
        <v>27</v>
      </c>
      <c r="E178" s="2075" t="s">
        <v>1835</v>
      </c>
      <c r="F178" s="2077">
        <v>3</v>
      </c>
      <c r="G178" s="2078">
        <v>15</v>
      </c>
      <c r="H178" s="2079">
        <f t="shared" si="3"/>
        <v>147825</v>
      </c>
      <c r="I178" s="2084" t="s">
        <v>1290</v>
      </c>
      <c r="J178" s="2088">
        <v>25000</v>
      </c>
      <c r="K178" s="2085" t="s">
        <v>1836</v>
      </c>
    </row>
    <row r="179" spans="1:11" s="2065" customFormat="1" ht="15" customHeight="1">
      <c r="A179" s="2075">
        <v>176</v>
      </c>
      <c r="B179" s="2075" t="s">
        <v>1837</v>
      </c>
      <c r="C179" s="2076" t="s">
        <v>1838</v>
      </c>
      <c r="D179" s="2075">
        <v>20</v>
      </c>
      <c r="E179" s="2075" t="s">
        <v>1374</v>
      </c>
      <c r="F179" s="2077">
        <v>5</v>
      </c>
      <c r="G179" s="2078">
        <v>14.58</v>
      </c>
      <c r="H179" s="2079">
        <f t="shared" si="3"/>
        <v>106434</v>
      </c>
      <c r="I179" s="2084" t="s">
        <v>1839</v>
      </c>
      <c r="J179" s="2088">
        <v>10000</v>
      </c>
      <c r="K179" s="2085" t="s">
        <v>1840</v>
      </c>
    </row>
    <row r="180" spans="1:11" s="2065" customFormat="1" ht="15" customHeight="1">
      <c r="A180" s="2075">
        <v>177</v>
      </c>
      <c r="B180" s="2075" t="s">
        <v>1841</v>
      </c>
      <c r="C180" s="2076" t="s">
        <v>1842</v>
      </c>
      <c r="D180" s="2075">
        <v>26</v>
      </c>
      <c r="E180" s="2075" t="s">
        <v>1374</v>
      </c>
      <c r="F180" s="2077">
        <v>5</v>
      </c>
      <c r="G180" s="2078">
        <v>14.58</v>
      </c>
      <c r="H180" s="2079">
        <f t="shared" si="3"/>
        <v>138364.20000000001</v>
      </c>
      <c r="I180" s="2084" t="s">
        <v>1843</v>
      </c>
      <c r="J180" s="2088">
        <v>13920</v>
      </c>
      <c r="K180" s="2085" t="s">
        <v>1840</v>
      </c>
    </row>
    <row r="181" spans="1:11" s="2065" customFormat="1" ht="15" customHeight="1">
      <c r="A181" s="2075">
        <v>178</v>
      </c>
      <c r="B181" s="2075" t="s">
        <v>1844</v>
      </c>
      <c r="C181" s="2076" t="s">
        <v>1845</v>
      </c>
      <c r="D181" s="2075">
        <v>22</v>
      </c>
      <c r="E181" s="2075" t="s">
        <v>1374</v>
      </c>
      <c r="F181" s="2077">
        <v>5</v>
      </c>
      <c r="G181" s="2078">
        <v>14.58</v>
      </c>
      <c r="H181" s="2079">
        <f t="shared" si="3"/>
        <v>117077.4</v>
      </c>
      <c r="I181" s="2084" t="s">
        <v>1285</v>
      </c>
      <c r="J181" s="2088">
        <v>10000</v>
      </c>
      <c r="K181" s="2085" t="s">
        <v>1474</v>
      </c>
    </row>
    <row r="182" spans="1:11" s="2065" customFormat="1" ht="15" customHeight="1">
      <c r="A182" s="2075">
        <v>179</v>
      </c>
      <c r="B182" s="2075" t="s">
        <v>1846</v>
      </c>
      <c r="C182" s="2076" t="s">
        <v>1847</v>
      </c>
      <c r="D182" s="2075">
        <v>20</v>
      </c>
      <c r="E182" s="2075" t="s">
        <v>1374</v>
      </c>
      <c r="F182" s="2077">
        <v>5</v>
      </c>
      <c r="G182" s="2078">
        <v>14.58</v>
      </c>
      <c r="H182" s="2079">
        <f t="shared" si="3"/>
        <v>106434</v>
      </c>
      <c r="I182" s="2084" t="s">
        <v>1285</v>
      </c>
      <c r="J182" s="2088">
        <v>10000</v>
      </c>
      <c r="K182" s="2085" t="s">
        <v>1840</v>
      </c>
    </row>
    <row r="183" spans="1:11" s="2065" customFormat="1" ht="15" customHeight="1">
      <c r="A183" s="2075">
        <v>180</v>
      </c>
      <c r="B183" s="2075" t="s">
        <v>1848</v>
      </c>
      <c r="C183" s="2076" t="s">
        <v>1849</v>
      </c>
      <c r="D183" s="2075">
        <v>21</v>
      </c>
      <c r="E183" s="2075" t="s">
        <v>1850</v>
      </c>
      <c r="F183" s="2077">
        <v>3</v>
      </c>
      <c r="G183" s="2078">
        <v>15.75</v>
      </c>
      <c r="H183" s="2079">
        <f t="shared" si="3"/>
        <v>120723.75</v>
      </c>
      <c r="I183" s="2084" t="s">
        <v>1285</v>
      </c>
      <c r="J183" s="2088">
        <v>10500</v>
      </c>
      <c r="K183" s="2089" t="s">
        <v>1851</v>
      </c>
    </row>
    <row r="184" spans="1:11" s="2065" customFormat="1" ht="15" customHeight="1">
      <c r="A184" s="2075">
        <v>181</v>
      </c>
      <c r="B184" s="2075" t="s">
        <v>1852</v>
      </c>
      <c r="C184" s="2076" t="s">
        <v>1853</v>
      </c>
      <c r="D184" s="2075">
        <v>21</v>
      </c>
      <c r="E184" s="2075" t="s">
        <v>1374</v>
      </c>
      <c r="F184" s="2077">
        <v>5</v>
      </c>
      <c r="G184" s="2078">
        <v>14.58</v>
      </c>
      <c r="H184" s="2079">
        <f t="shared" si="3"/>
        <v>111755.7</v>
      </c>
      <c r="I184" s="2084" t="s">
        <v>1557</v>
      </c>
      <c r="J184" s="2088">
        <v>10000</v>
      </c>
      <c r="K184" s="2085" t="s">
        <v>1474</v>
      </c>
    </row>
    <row r="185" spans="1:11" s="2065" customFormat="1" ht="15" customHeight="1">
      <c r="A185" s="2075">
        <v>182</v>
      </c>
      <c r="B185" s="2075" t="s">
        <v>1854</v>
      </c>
      <c r="C185" s="2076" t="s">
        <v>1855</v>
      </c>
      <c r="D185" s="2075">
        <v>25</v>
      </c>
      <c r="E185" s="2075" t="s">
        <v>1374</v>
      </c>
      <c r="F185" s="2077">
        <v>5</v>
      </c>
      <c r="G185" s="2078">
        <v>14.58</v>
      </c>
      <c r="H185" s="2079">
        <f t="shared" si="3"/>
        <v>133042.5</v>
      </c>
      <c r="I185" s="2084" t="s">
        <v>1856</v>
      </c>
      <c r="J185" s="2088">
        <v>12500</v>
      </c>
      <c r="K185" s="2085" t="s">
        <v>1857</v>
      </c>
    </row>
    <row r="186" spans="1:11" s="2065" customFormat="1" ht="15" customHeight="1">
      <c r="A186" s="2075">
        <v>183</v>
      </c>
      <c r="B186" s="2075" t="s">
        <v>1858</v>
      </c>
      <c r="C186" s="2076" t="s">
        <v>1859</v>
      </c>
      <c r="D186" s="2075">
        <v>25</v>
      </c>
      <c r="E186" s="2075" t="s">
        <v>1374</v>
      </c>
      <c r="F186" s="2077">
        <v>5</v>
      </c>
      <c r="G186" s="2078">
        <v>14.58</v>
      </c>
      <c r="H186" s="2079">
        <f t="shared" si="3"/>
        <v>133042.5</v>
      </c>
      <c r="I186" s="2084" t="s">
        <v>1856</v>
      </c>
      <c r="J186" s="2088">
        <v>12500</v>
      </c>
      <c r="K186" s="2085" t="s">
        <v>1857</v>
      </c>
    </row>
    <row r="187" spans="1:11" s="2065" customFormat="1" ht="15" customHeight="1">
      <c r="A187" s="2075">
        <v>184</v>
      </c>
      <c r="B187" s="2075" t="s">
        <v>1860</v>
      </c>
      <c r="C187" s="2076" t="s">
        <v>1861</v>
      </c>
      <c r="D187" s="2075">
        <v>27</v>
      </c>
      <c r="E187" s="2075" t="s">
        <v>1862</v>
      </c>
      <c r="F187" s="2077">
        <v>5</v>
      </c>
      <c r="G187" s="2078">
        <v>14.58</v>
      </c>
      <c r="H187" s="2079">
        <f t="shared" si="3"/>
        <v>143685.9</v>
      </c>
      <c r="I187" s="2084" t="s">
        <v>1470</v>
      </c>
      <c r="J187" s="2088">
        <v>13500</v>
      </c>
      <c r="K187" s="2085" t="s">
        <v>1634</v>
      </c>
    </row>
    <row r="188" spans="1:11" s="2065" customFormat="1" ht="15" customHeight="1">
      <c r="A188" s="2075">
        <v>185</v>
      </c>
      <c r="B188" s="2075" t="s">
        <v>1863</v>
      </c>
      <c r="C188" s="2076" t="s">
        <v>1864</v>
      </c>
      <c r="D188" s="2075">
        <v>29</v>
      </c>
      <c r="E188" s="2075" t="s">
        <v>1865</v>
      </c>
      <c r="F188" s="2077">
        <v>5</v>
      </c>
      <c r="G188" s="2078">
        <v>14.58</v>
      </c>
      <c r="H188" s="2079">
        <f t="shared" si="3"/>
        <v>154329.29999999999</v>
      </c>
      <c r="I188" s="2084" t="s">
        <v>1866</v>
      </c>
      <c r="J188" s="2088">
        <v>14500</v>
      </c>
      <c r="K188" s="2085" t="s">
        <v>1867</v>
      </c>
    </row>
    <row r="189" spans="1:11" s="2065" customFormat="1" ht="15" customHeight="1">
      <c r="A189" s="2075">
        <v>186</v>
      </c>
      <c r="B189" s="2075" t="s">
        <v>1868</v>
      </c>
      <c r="C189" s="2076" t="s">
        <v>1869</v>
      </c>
      <c r="D189" s="2075">
        <v>34</v>
      </c>
      <c r="E189" s="2075" t="s">
        <v>1870</v>
      </c>
      <c r="F189" s="2077">
        <v>3</v>
      </c>
      <c r="G189" s="2078">
        <v>14.58</v>
      </c>
      <c r="H189" s="2079">
        <f t="shared" si="3"/>
        <v>180937.8</v>
      </c>
      <c r="I189" s="2084" t="s">
        <v>1470</v>
      </c>
      <c r="J189" s="2088">
        <v>30000</v>
      </c>
      <c r="K189" s="2085" t="s">
        <v>1871</v>
      </c>
    </row>
    <row r="190" spans="1:11" s="2065" customFormat="1" ht="15" customHeight="1">
      <c r="A190" s="2075">
        <v>187</v>
      </c>
      <c r="B190" s="2075" t="s">
        <v>1872</v>
      </c>
      <c r="C190" s="2076" t="s">
        <v>1873</v>
      </c>
      <c r="D190" s="2075">
        <v>25</v>
      </c>
      <c r="E190" s="2075" t="s">
        <v>1374</v>
      </c>
      <c r="F190" s="2077">
        <v>5</v>
      </c>
      <c r="G190" s="2078">
        <v>13.38</v>
      </c>
      <c r="H190" s="2079">
        <f t="shared" si="3"/>
        <v>122092.5</v>
      </c>
      <c r="I190" s="2084" t="s">
        <v>1470</v>
      </c>
      <c r="J190" s="2088">
        <v>12000</v>
      </c>
      <c r="K190" s="2085" t="s">
        <v>1578</v>
      </c>
    </row>
    <row r="191" spans="1:11" s="2065" customFormat="1" ht="15" customHeight="1">
      <c r="A191" s="2075">
        <v>188</v>
      </c>
      <c r="B191" s="2075" t="s">
        <v>1874</v>
      </c>
      <c r="C191" s="2076" t="s">
        <v>1875</v>
      </c>
      <c r="D191" s="2075">
        <v>67</v>
      </c>
      <c r="E191" s="2075" t="s">
        <v>1876</v>
      </c>
      <c r="F191" s="2077">
        <v>3</v>
      </c>
      <c r="G191" s="2078">
        <v>9.98</v>
      </c>
      <c r="H191" s="2079">
        <f t="shared" si="3"/>
        <v>244060.90000000002</v>
      </c>
      <c r="I191" s="2084" t="s">
        <v>1470</v>
      </c>
      <c r="J191" s="2088">
        <v>51000</v>
      </c>
      <c r="K191" s="2089" t="s">
        <v>1877</v>
      </c>
    </row>
    <row r="192" spans="1:11" s="2065" customFormat="1" ht="15" customHeight="1">
      <c r="A192" s="2075">
        <v>189</v>
      </c>
      <c r="B192" s="2075" t="s">
        <v>1878</v>
      </c>
      <c r="C192" s="2076" t="s">
        <v>1879</v>
      </c>
      <c r="D192" s="2075">
        <v>97</v>
      </c>
      <c r="E192" s="2075" t="s">
        <v>1880</v>
      </c>
      <c r="F192" s="2077">
        <v>3</v>
      </c>
      <c r="G192" s="2091">
        <v>9.98</v>
      </c>
      <c r="H192" s="2079">
        <f t="shared" si="3"/>
        <v>353341.9</v>
      </c>
      <c r="I192" s="2084" t="s">
        <v>1470</v>
      </c>
      <c r="J192" s="2088">
        <v>60000</v>
      </c>
      <c r="K192" s="2089" t="s">
        <v>1881</v>
      </c>
    </row>
    <row r="193" spans="1:11" s="2064" customFormat="1" ht="15" customHeight="1">
      <c r="A193" s="2072"/>
      <c r="B193" s="2098" t="s">
        <v>1281</v>
      </c>
      <c r="C193" s="2099"/>
      <c r="D193" s="2100">
        <f>SUM(D4:D192)</f>
        <v>3989</v>
      </c>
      <c r="E193" s="2098"/>
      <c r="F193" s="2098"/>
      <c r="G193" s="2101">
        <f>H193/D193/365</f>
        <v>8.8861070340697168</v>
      </c>
      <c r="H193" s="2102">
        <f>SUM(H4:H192)</f>
        <v>12938038.549999997</v>
      </c>
      <c r="I193" s="2086"/>
      <c r="J193" s="2086"/>
      <c r="K193" s="2087"/>
    </row>
    <row r="194" spans="1:11" s="2064" customFormat="1" ht="15" customHeight="1">
      <c r="A194" s="2072"/>
      <c r="B194" s="2098"/>
      <c r="C194" s="2099"/>
      <c r="D194" s="2100"/>
      <c r="E194" s="2098"/>
      <c r="F194" s="2098"/>
      <c r="G194" s="2103"/>
      <c r="H194" s="2102"/>
      <c r="I194" s="2086"/>
      <c r="J194" s="2086"/>
      <c r="K194" s="2087"/>
    </row>
    <row r="195" spans="1:11" s="2064" customFormat="1" ht="15" customHeight="1">
      <c r="A195" s="2069" t="s">
        <v>1882</v>
      </c>
      <c r="B195" s="2069"/>
      <c r="C195" s="2071"/>
      <c r="D195" s="2069"/>
      <c r="E195" s="2069"/>
      <c r="F195" s="2072"/>
      <c r="G195" s="2073"/>
      <c r="H195" s="2074"/>
      <c r="I195" s="2086"/>
      <c r="J195" s="2086"/>
      <c r="K195" s="2087"/>
    </row>
    <row r="196" spans="1:11" s="2065" customFormat="1" ht="15" customHeight="1">
      <c r="A196" s="2075">
        <v>1</v>
      </c>
      <c r="B196" s="2075" t="s">
        <v>1883</v>
      </c>
      <c r="C196" s="2076" t="s">
        <v>1884</v>
      </c>
      <c r="D196" s="2075">
        <v>25</v>
      </c>
      <c r="E196" s="2075" t="s">
        <v>1885</v>
      </c>
      <c r="F196" s="2077">
        <v>3</v>
      </c>
      <c r="G196" s="2104">
        <v>9.98</v>
      </c>
      <c r="H196" s="2079">
        <f t="shared" ref="H196:H235" si="4">D196*365*G196</f>
        <v>91067.5</v>
      </c>
      <c r="I196" s="2084" t="s">
        <v>1886</v>
      </c>
      <c r="J196" s="2088">
        <v>15000</v>
      </c>
      <c r="K196" s="2085" t="s">
        <v>1887</v>
      </c>
    </row>
    <row r="197" spans="1:11" s="2065" customFormat="1" ht="15" customHeight="1">
      <c r="A197" s="2075">
        <v>2</v>
      </c>
      <c r="B197" s="2075" t="s">
        <v>1888</v>
      </c>
      <c r="C197" s="2076" t="s">
        <v>1889</v>
      </c>
      <c r="D197" s="2075">
        <v>25</v>
      </c>
      <c r="E197" s="2075" t="s">
        <v>1890</v>
      </c>
      <c r="F197" s="2077">
        <v>3</v>
      </c>
      <c r="G197" s="2104">
        <v>9.98</v>
      </c>
      <c r="H197" s="2079">
        <f t="shared" si="4"/>
        <v>91067.5</v>
      </c>
      <c r="I197" s="2084" t="s">
        <v>1886</v>
      </c>
      <c r="J197" s="2088">
        <v>15000</v>
      </c>
      <c r="K197" s="2085" t="s">
        <v>1891</v>
      </c>
    </row>
    <row r="198" spans="1:11" s="2065" customFormat="1" ht="15" customHeight="1">
      <c r="A198" s="2075">
        <v>3</v>
      </c>
      <c r="B198" s="2075" t="s">
        <v>1892</v>
      </c>
      <c r="C198" s="2076" t="s">
        <v>1893</v>
      </c>
      <c r="D198" s="2075">
        <v>22</v>
      </c>
      <c r="E198" s="2075" t="s">
        <v>1894</v>
      </c>
      <c r="F198" s="2077">
        <v>5</v>
      </c>
      <c r="G198" s="2104">
        <v>9.11</v>
      </c>
      <c r="H198" s="2079">
        <f t="shared" si="4"/>
        <v>73153.299999999988</v>
      </c>
      <c r="I198" s="2084" t="s">
        <v>1886</v>
      </c>
      <c r="J198" s="2088">
        <v>10000</v>
      </c>
      <c r="K198" s="2085" t="s">
        <v>1895</v>
      </c>
    </row>
    <row r="199" spans="1:11" s="2065" customFormat="1" ht="15" customHeight="1">
      <c r="A199" s="2075">
        <v>4</v>
      </c>
      <c r="B199" s="2075" t="s">
        <v>1896</v>
      </c>
      <c r="C199" s="2076" t="s">
        <v>1897</v>
      </c>
      <c r="D199" s="2075">
        <v>32</v>
      </c>
      <c r="E199" s="2075" t="s">
        <v>1898</v>
      </c>
      <c r="F199" s="2077">
        <v>5</v>
      </c>
      <c r="G199" s="2104">
        <v>9.11</v>
      </c>
      <c r="H199" s="2079">
        <f t="shared" si="4"/>
        <v>106404.79999999999</v>
      </c>
      <c r="I199" s="2088" t="s">
        <v>1886</v>
      </c>
      <c r="J199" s="2088">
        <v>10000</v>
      </c>
      <c r="K199" s="2085" t="s">
        <v>1899</v>
      </c>
    </row>
    <row r="200" spans="1:11" s="2065" customFormat="1" ht="15" customHeight="1">
      <c r="A200" s="2075">
        <v>5</v>
      </c>
      <c r="B200" s="2075" t="s">
        <v>1900</v>
      </c>
      <c r="C200" s="2076" t="s">
        <v>1901</v>
      </c>
      <c r="D200" s="2075">
        <v>46</v>
      </c>
      <c r="E200" s="2075" t="s">
        <v>1902</v>
      </c>
      <c r="F200" s="2077">
        <v>5</v>
      </c>
      <c r="G200" s="2104">
        <v>7.54</v>
      </c>
      <c r="H200" s="2079">
        <f t="shared" si="4"/>
        <v>126596.6</v>
      </c>
      <c r="I200" s="2084" t="s">
        <v>1285</v>
      </c>
      <c r="J200" s="2088">
        <v>15000</v>
      </c>
      <c r="K200" s="2085" t="s">
        <v>1903</v>
      </c>
    </row>
    <row r="201" spans="1:11" s="2065" customFormat="1" ht="15" customHeight="1">
      <c r="A201" s="2075">
        <v>6</v>
      </c>
      <c r="B201" s="2075" t="s">
        <v>1904</v>
      </c>
      <c r="C201" s="2076" t="s">
        <v>1905</v>
      </c>
      <c r="D201" s="2075">
        <v>32</v>
      </c>
      <c r="E201" s="2075" t="s">
        <v>1906</v>
      </c>
      <c r="F201" s="2077">
        <v>3</v>
      </c>
      <c r="G201" s="2104">
        <v>12</v>
      </c>
      <c r="H201" s="2079">
        <f t="shared" si="4"/>
        <v>140160</v>
      </c>
      <c r="I201" s="2084" t="s">
        <v>1907</v>
      </c>
      <c r="J201" s="2088">
        <v>24000</v>
      </c>
      <c r="K201" s="2085" t="s">
        <v>1756</v>
      </c>
    </row>
    <row r="202" spans="1:11" s="2065" customFormat="1" ht="15" customHeight="1">
      <c r="A202" s="2075">
        <v>7</v>
      </c>
      <c r="B202" s="2075" t="s">
        <v>1908</v>
      </c>
      <c r="C202" s="2076" t="s">
        <v>1909</v>
      </c>
      <c r="D202" s="2075">
        <v>16</v>
      </c>
      <c r="E202" s="2075" t="s">
        <v>1910</v>
      </c>
      <c r="F202" s="2077">
        <v>3</v>
      </c>
      <c r="G202" s="2104">
        <v>10.48</v>
      </c>
      <c r="H202" s="2079">
        <f t="shared" si="4"/>
        <v>61203.200000000004</v>
      </c>
      <c r="I202" s="2088" t="s">
        <v>1886</v>
      </c>
      <c r="J202" s="2088">
        <v>10000</v>
      </c>
      <c r="K202" s="2089" t="s">
        <v>1911</v>
      </c>
    </row>
    <row r="203" spans="1:11" s="2065" customFormat="1" ht="15" customHeight="1">
      <c r="A203" s="2075">
        <v>8</v>
      </c>
      <c r="B203" s="2075" t="s">
        <v>1912</v>
      </c>
      <c r="C203" s="2076" t="s">
        <v>1913</v>
      </c>
      <c r="D203" s="2075">
        <v>17</v>
      </c>
      <c r="E203" s="2075" t="s">
        <v>1914</v>
      </c>
      <c r="F203" s="2077">
        <v>5</v>
      </c>
      <c r="G203" s="2104">
        <v>9.7200000000000006</v>
      </c>
      <c r="H203" s="2079">
        <f t="shared" si="4"/>
        <v>60312.600000000006</v>
      </c>
      <c r="I203" s="2088" t="s">
        <v>1915</v>
      </c>
      <c r="J203" s="2088">
        <v>10000</v>
      </c>
      <c r="K203" s="2089" t="s">
        <v>1471</v>
      </c>
    </row>
    <row r="204" spans="1:11" s="2065" customFormat="1" ht="15" customHeight="1">
      <c r="A204" s="2075">
        <v>9</v>
      </c>
      <c r="B204" s="2075" t="s">
        <v>1916</v>
      </c>
      <c r="C204" s="2076" t="s">
        <v>1917</v>
      </c>
      <c r="D204" s="2075">
        <v>18</v>
      </c>
      <c r="E204" s="2075" t="s">
        <v>1918</v>
      </c>
      <c r="F204" s="2080" t="s">
        <v>1919</v>
      </c>
      <c r="G204" s="2104">
        <v>11.58</v>
      </c>
      <c r="H204" s="2079">
        <f t="shared" si="4"/>
        <v>76080.600000000006</v>
      </c>
      <c r="I204" s="2088" t="s">
        <v>1886</v>
      </c>
      <c r="J204" s="2088">
        <v>12000</v>
      </c>
      <c r="K204" s="2085" t="s">
        <v>1920</v>
      </c>
    </row>
    <row r="205" spans="1:11" s="2065" customFormat="1" ht="15" customHeight="1">
      <c r="A205" s="2075">
        <v>10</v>
      </c>
      <c r="B205" s="2075" t="s">
        <v>1921</v>
      </c>
      <c r="C205" s="2076" t="s">
        <v>1922</v>
      </c>
      <c r="D205" s="2075">
        <v>17</v>
      </c>
      <c r="E205" s="2075" t="s">
        <v>1923</v>
      </c>
      <c r="F205" s="2077">
        <v>3</v>
      </c>
      <c r="G205" s="2104">
        <v>11</v>
      </c>
      <c r="H205" s="2079">
        <f t="shared" si="4"/>
        <v>68255</v>
      </c>
      <c r="I205" s="2088" t="s">
        <v>1924</v>
      </c>
      <c r="J205" s="2088">
        <v>12000</v>
      </c>
      <c r="K205" s="2085" t="s">
        <v>1925</v>
      </c>
    </row>
    <row r="206" spans="1:11" s="2065" customFormat="1" ht="15" customHeight="1">
      <c r="A206" s="2075">
        <v>11</v>
      </c>
      <c r="B206" s="2075" t="s">
        <v>1926</v>
      </c>
      <c r="C206" s="2076" t="s">
        <v>1927</v>
      </c>
      <c r="D206" s="2075">
        <v>31</v>
      </c>
      <c r="E206" s="2075" t="s">
        <v>1928</v>
      </c>
      <c r="F206" s="2077">
        <v>3</v>
      </c>
      <c r="G206" s="2104">
        <v>10.94</v>
      </c>
      <c r="H206" s="2079">
        <f t="shared" si="4"/>
        <v>123786.09999999999</v>
      </c>
      <c r="I206" s="2088" t="s">
        <v>1886</v>
      </c>
      <c r="J206" s="2088">
        <v>15500</v>
      </c>
      <c r="K206" s="2085" t="s">
        <v>1929</v>
      </c>
    </row>
    <row r="207" spans="1:11" s="2065" customFormat="1" ht="15" customHeight="1">
      <c r="A207" s="2075">
        <v>12</v>
      </c>
      <c r="B207" s="2075" t="s">
        <v>1930</v>
      </c>
      <c r="C207" s="2076" t="s">
        <v>1931</v>
      </c>
      <c r="D207" s="2075">
        <v>19</v>
      </c>
      <c r="E207" s="2075" t="s">
        <v>1932</v>
      </c>
      <c r="F207" s="2077">
        <v>3</v>
      </c>
      <c r="G207" s="2104">
        <v>10.94</v>
      </c>
      <c r="H207" s="2079">
        <f t="shared" si="4"/>
        <v>75868.899999999994</v>
      </c>
      <c r="I207" s="2088" t="s">
        <v>1924</v>
      </c>
      <c r="J207" s="2088">
        <v>12000</v>
      </c>
      <c r="K207" s="2085" t="s">
        <v>1933</v>
      </c>
    </row>
    <row r="208" spans="1:11" s="2065" customFormat="1" ht="15" customHeight="1">
      <c r="A208" s="2075">
        <v>13</v>
      </c>
      <c r="B208" s="2075" t="s">
        <v>1934</v>
      </c>
      <c r="C208" s="2076" t="s">
        <v>1935</v>
      </c>
      <c r="D208" s="2075">
        <v>15</v>
      </c>
      <c r="E208" s="2075" t="s">
        <v>1936</v>
      </c>
      <c r="F208" s="2077">
        <v>5</v>
      </c>
      <c r="G208" s="2104">
        <v>9.11</v>
      </c>
      <c r="H208" s="2079">
        <f t="shared" si="4"/>
        <v>49877.25</v>
      </c>
      <c r="I208" s="2088" t="s">
        <v>1924</v>
      </c>
      <c r="J208" s="2088">
        <v>10000</v>
      </c>
      <c r="K208" s="2085" t="s">
        <v>1937</v>
      </c>
    </row>
    <row r="209" spans="1:11" s="2065" customFormat="1" ht="15" customHeight="1">
      <c r="A209" s="2075">
        <v>14</v>
      </c>
      <c r="B209" s="2075" t="s">
        <v>1938</v>
      </c>
      <c r="C209" s="2076" t="s">
        <v>1939</v>
      </c>
      <c r="D209" s="2075">
        <v>21</v>
      </c>
      <c r="E209" s="2075" t="s">
        <v>1940</v>
      </c>
      <c r="F209" s="2077">
        <v>3</v>
      </c>
      <c r="G209" s="2104">
        <v>10</v>
      </c>
      <c r="H209" s="2079">
        <f t="shared" si="4"/>
        <v>76650</v>
      </c>
      <c r="I209" s="2084" t="s">
        <v>1886</v>
      </c>
      <c r="J209" s="2088">
        <v>13000</v>
      </c>
      <c r="K209" s="2085" t="s">
        <v>1941</v>
      </c>
    </row>
    <row r="210" spans="1:11" s="2065" customFormat="1" ht="15" customHeight="1">
      <c r="A210" s="2075">
        <v>15</v>
      </c>
      <c r="B210" s="2075" t="s">
        <v>1942</v>
      </c>
      <c r="C210" s="2076" t="s">
        <v>1943</v>
      </c>
      <c r="D210" s="2075">
        <v>20</v>
      </c>
      <c r="E210" s="2075" t="s">
        <v>1944</v>
      </c>
      <c r="F210" s="2077">
        <v>3</v>
      </c>
      <c r="G210" s="2104">
        <v>9.92</v>
      </c>
      <c r="H210" s="2079">
        <f t="shared" si="4"/>
        <v>72416</v>
      </c>
      <c r="I210" s="2084" t="s">
        <v>1886</v>
      </c>
      <c r="J210" s="2088">
        <v>13000</v>
      </c>
      <c r="K210" s="2085" t="s">
        <v>1945</v>
      </c>
    </row>
    <row r="211" spans="1:11" s="2065" customFormat="1" ht="15" customHeight="1">
      <c r="A211" s="2075">
        <v>16</v>
      </c>
      <c r="B211" s="2075"/>
      <c r="C211" s="2076" t="s">
        <v>1946</v>
      </c>
      <c r="D211" s="2075">
        <f>241-48-27</f>
        <v>166</v>
      </c>
      <c r="E211" s="2075"/>
      <c r="F211" s="2077"/>
      <c r="G211" s="2104"/>
      <c r="H211" s="2079">
        <f t="shared" si="4"/>
        <v>0</v>
      </c>
      <c r="I211" s="2088"/>
      <c r="J211" s="2088"/>
      <c r="K211" s="2089"/>
    </row>
    <row r="212" spans="1:11" s="2065" customFormat="1" ht="15" customHeight="1">
      <c r="A212" s="2075">
        <v>17</v>
      </c>
      <c r="B212" s="2075" t="s">
        <v>1947</v>
      </c>
      <c r="C212" s="2076" t="s">
        <v>1948</v>
      </c>
      <c r="D212" s="2075">
        <v>27</v>
      </c>
      <c r="E212" s="2075" t="s">
        <v>1949</v>
      </c>
      <c r="F212" s="2077">
        <v>3</v>
      </c>
      <c r="G212" s="2104">
        <v>8</v>
      </c>
      <c r="H212" s="2079">
        <f t="shared" si="4"/>
        <v>78840</v>
      </c>
      <c r="I212" s="2084" t="s">
        <v>1886</v>
      </c>
      <c r="J212" s="2088">
        <v>14000</v>
      </c>
      <c r="K212" s="2085" t="s">
        <v>1423</v>
      </c>
    </row>
    <row r="213" spans="1:11" s="2065" customFormat="1" ht="15" customHeight="1">
      <c r="A213" s="2075">
        <v>18</v>
      </c>
      <c r="B213" s="2075" t="s">
        <v>1671</v>
      </c>
      <c r="C213" s="2076" t="s">
        <v>1950</v>
      </c>
      <c r="D213" s="2075">
        <v>48</v>
      </c>
      <c r="E213" s="2075" t="s">
        <v>1951</v>
      </c>
      <c r="F213" s="2077">
        <v>3</v>
      </c>
      <c r="G213" s="2104">
        <v>9.4499999999999993</v>
      </c>
      <c r="H213" s="2079">
        <f t="shared" si="4"/>
        <v>165564</v>
      </c>
      <c r="I213" s="2088" t="s">
        <v>1924</v>
      </c>
      <c r="J213" s="2088">
        <v>27000</v>
      </c>
      <c r="K213" s="2089" t="s">
        <v>1952</v>
      </c>
    </row>
    <row r="214" spans="1:11" s="2065" customFormat="1" ht="15" customHeight="1">
      <c r="A214" s="2075">
        <v>19</v>
      </c>
      <c r="B214" s="2075" t="s">
        <v>1953</v>
      </c>
      <c r="C214" s="2076" t="s">
        <v>1954</v>
      </c>
      <c r="D214" s="2075">
        <v>21</v>
      </c>
      <c r="E214" s="2075" t="s">
        <v>1955</v>
      </c>
      <c r="F214" s="2077">
        <v>3</v>
      </c>
      <c r="G214" s="2104">
        <v>10.42</v>
      </c>
      <c r="H214" s="2079">
        <f t="shared" si="4"/>
        <v>79869.3</v>
      </c>
      <c r="I214" s="2084" t="s">
        <v>1886</v>
      </c>
      <c r="J214" s="2088">
        <v>14000</v>
      </c>
      <c r="K214" s="2085" t="s">
        <v>1956</v>
      </c>
    </row>
    <row r="215" spans="1:11" s="2065" customFormat="1" ht="15" customHeight="1">
      <c r="A215" s="2075">
        <v>20</v>
      </c>
      <c r="B215" s="2075" t="s">
        <v>1957</v>
      </c>
      <c r="C215" s="2076" t="s">
        <v>1958</v>
      </c>
      <c r="D215" s="2075">
        <v>40</v>
      </c>
      <c r="E215" s="2075" t="s">
        <v>1959</v>
      </c>
      <c r="F215" s="2077">
        <v>3</v>
      </c>
      <c r="G215" s="2104">
        <v>9.5</v>
      </c>
      <c r="H215" s="2079">
        <f t="shared" si="4"/>
        <v>138700</v>
      </c>
      <c r="I215" s="2088" t="s">
        <v>1924</v>
      </c>
      <c r="J215" s="2088">
        <v>24000</v>
      </c>
      <c r="K215" s="2085" t="s">
        <v>1960</v>
      </c>
    </row>
    <row r="216" spans="1:11" s="2065" customFormat="1" ht="15" customHeight="1">
      <c r="A216" s="2075">
        <v>21</v>
      </c>
      <c r="B216" s="2075" t="s">
        <v>1961</v>
      </c>
      <c r="C216" s="2076" t="s">
        <v>1962</v>
      </c>
      <c r="D216" s="2075">
        <v>32</v>
      </c>
      <c r="E216" s="2075" t="s">
        <v>1963</v>
      </c>
      <c r="F216" s="2077">
        <v>4</v>
      </c>
      <c r="G216" s="2104">
        <v>8.4</v>
      </c>
      <c r="H216" s="2079">
        <f t="shared" si="4"/>
        <v>98112</v>
      </c>
      <c r="I216" s="2088" t="s">
        <v>1886</v>
      </c>
      <c r="J216" s="2088">
        <v>16000</v>
      </c>
      <c r="K216" s="2089" t="s">
        <v>1964</v>
      </c>
    </row>
    <row r="217" spans="1:11" s="2065" customFormat="1" ht="15" customHeight="1">
      <c r="A217" s="2075">
        <v>22</v>
      </c>
      <c r="B217" s="2075" t="s">
        <v>1965</v>
      </c>
      <c r="C217" s="2076" t="s">
        <v>1966</v>
      </c>
      <c r="D217" s="2075">
        <v>113.8</v>
      </c>
      <c r="E217" s="2075" t="s">
        <v>1967</v>
      </c>
      <c r="F217" s="2077">
        <v>5</v>
      </c>
      <c r="G217" s="2104">
        <v>9.4499999999999993</v>
      </c>
      <c r="H217" s="2079">
        <f t="shared" si="4"/>
        <v>392524.64999999997</v>
      </c>
      <c r="I217" s="2088" t="s">
        <v>1886</v>
      </c>
      <c r="J217" s="2088">
        <v>63000</v>
      </c>
      <c r="K217" s="2089" t="s">
        <v>1968</v>
      </c>
    </row>
    <row r="218" spans="1:11" s="2065" customFormat="1" ht="15" customHeight="1">
      <c r="A218" s="2075">
        <v>23</v>
      </c>
      <c r="B218" s="2075" t="s">
        <v>1969</v>
      </c>
      <c r="C218" s="2076" t="s">
        <v>1970</v>
      </c>
      <c r="D218" s="2075">
        <v>22</v>
      </c>
      <c r="E218" s="2075" t="s">
        <v>1971</v>
      </c>
      <c r="F218" s="2077">
        <v>5</v>
      </c>
      <c r="G218" s="2104">
        <v>9.98</v>
      </c>
      <c r="H218" s="2079">
        <f t="shared" si="4"/>
        <v>80139.400000000009</v>
      </c>
      <c r="I218" s="2088" t="s">
        <v>1924</v>
      </c>
      <c r="J218" s="2088">
        <v>13000</v>
      </c>
      <c r="K218" s="2085" t="s">
        <v>1972</v>
      </c>
    </row>
    <row r="219" spans="1:11" s="2065" customFormat="1" ht="15" customHeight="1">
      <c r="A219" s="2075">
        <v>24</v>
      </c>
      <c r="B219" s="2075" t="s">
        <v>1973</v>
      </c>
      <c r="C219" s="2076" t="s">
        <v>1974</v>
      </c>
      <c r="D219" s="2075">
        <v>21</v>
      </c>
      <c r="E219" s="2075" t="s">
        <v>1975</v>
      </c>
      <c r="F219" s="2077">
        <v>3</v>
      </c>
      <c r="G219" s="2104">
        <v>9.98</v>
      </c>
      <c r="H219" s="2079">
        <f t="shared" si="4"/>
        <v>76496.7</v>
      </c>
      <c r="I219" s="2084" t="s">
        <v>1886</v>
      </c>
      <c r="J219" s="2088">
        <v>10500</v>
      </c>
      <c r="K219" s="2085" t="s">
        <v>1976</v>
      </c>
    </row>
    <row r="220" spans="1:11" s="2065" customFormat="1" ht="15" customHeight="1">
      <c r="A220" s="2075">
        <v>25</v>
      </c>
      <c r="B220" s="2075" t="s">
        <v>1977</v>
      </c>
      <c r="C220" s="2076" t="s">
        <v>1978</v>
      </c>
      <c r="D220" s="2075">
        <v>16</v>
      </c>
      <c r="E220" s="2075" t="s">
        <v>1979</v>
      </c>
      <c r="F220" s="2077">
        <v>3</v>
      </c>
      <c r="G220" s="2104">
        <v>9.11</v>
      </c>
      <c r="H220" s="2079">
        <f t="shared" si="4"/>
        <v>53202.399999999994</v>
      </c>
      <c r="I220" s="2084" t="s">
        <v>1980</v>
      </c>
      <c r="J220" s="2088">
        <v>10000</v>
      </c>
      <c r="K220" s="2089" t="s">
        <v>1981</v>
      </c>
    </row>
    <row r="221" spans="1:11" s="2065" customFormat="1" ht="15" customHeight="1">
      <c r="A221" s="2075">
        <v>26</v>
      </c>
      <c r="B221" s="2075" t="s">
        <v>1982</v>
      </c>
      <c r="C221" s="2076" t="s">
        <v>1983</v>
      </c>
      <c r="D221" s="2075">
        <v>33</v>
      </c>
      <c r="E221" s="2075" t="s">
        <v>1984</v>
      </c>
      <c r="F221" s="2077">
        <v>3</v>
      </c>
      <c r="G221" s="2104">
        <v>8.4</v>
      </c>
      <c r="H221" s="2079">
        <f t="shared" si="4"/>
        <v>101178</v>
      </c>
      <c r="I221" s="2084" t="s">
        <v>1985</v>
      </c>
      <c r="J221" s="2088">
        <v>17000</v>
      </c>
      <c r="K221" s="2085" t="s">
        <v>1986</v>
      </c>
    </row>
    <row r="222" spans="1:11" s="2065" customFormat="1" ht="15" customHeight="1">
      <c r="A222" s="2075">
        <v>27</v>
      </c>
      <c r="B222" s="2075" t="s">
        <v>1987</v>
      </c>
      <c r="C222" s="2076" t="s">
        <v>1988</v>
      </c>
      <c r="D222" s="2075">
        <v>34</v>
      </c>
      <c r="E222" s="2075" t="s">
        <v>1989</v>
      </c>
      <c r="F222" s="2077">
        <v>3</v>
      </c>
      <c r="G222" s="2104">
        <v>8.4</v>
      </c>
      <c r="H222" s="2079">
        <f t="shared" si="4"/>
        <v>104244</v>
      </c>
      <c r="I222" s="2084" t="s">
        <v>1886</v>
      </c>
      <c r="J222" s="2088">
        <v>20000</v>
      </c>
      <c r="K222" s="2085" t="s">
        <v>1972</v>
      </c>
    </row>
    <row r="223" spans="1:11" s="2065" customFormat="1" ht="15" customHeight="1">
      <c r="A223" s="2075">
        <v>28</v>
      </c>
      <c r="B223" s="2075" t="s">
        <v>1990</v>
      </c>
      <c r="C223" s="2076" t="s">
        <v>1991</v>
      </c>
      <c r="D223" s="2075">
        <v>17</v>
      </c>
      <c r="E223" s="2075" t="s">
        <v>1989</v>
      </c>
      <c r="F223" s="2077">
        <v>3</v>
      </c>
      <c r="G223" s="2104">
        <v>8.4</v>
      </c>
      <c r="H223" s="2079">
        <f t="shared" si="4"/>
        <v>52122</v>
      </c>
      <c r="I223" s="2084" t="s">
        <v>1886</v>
      </c>
      <c r="J223" s="2088">
        <v>10000</v>
      </c>
      <c r="K223" s="2085" t="s">
        <v>1972</v>
      </c>
    </row>
    <row r="224" spans="1:11" s="2065" customFormat="1" ht="15" customHeight="1">
      <c r="A224" s="2075">
        <v>29</v>
      </c>
      <c r="B224" s="2075" t="s">
        <v>1992</v>
      </c>
      <c r="C224" s="2076" t="s">
        <v>1993</v>
      </c>
      <c r="D224" s="2075">
        <v>15</v>
      </c>
      <c r="E224" s="2075" t="s">
        <v>1994</v>
      </c>
      <c r="F224" s="2077">
        <v>3</v>
      </c>
      <c r="G224" s="2104">
        <v>8.4</v>
      </c>
      <c r="H224" s="2079">
        <f t="shared" si="4"/>
        <v>45990</v>
      </c>
      <c r="I224" s="2084" t="s">
        <v>1886</v>
      </c>
      <c r="J224" s="2088">
        <v>10000</v>
      </c>
      <c r="K224" s="2085" t="s">
        <v>1995</v>
      </c>
    </row>
    <row r="225" spans="1:11" s="2065" customFormat="1" ht="15" customHeight="1">
      <c r="A225" s="2075">
        <v>30</v>
      </c>
      <c r="B225" s="2075" t="s">
        <v>1996</v>
      </c>
      <c r="C225" s="2076" t="s">
        <v>1997</v>
      </c>
      <c r="D225" s="2075">
        <v>24</v>
      </c>
      <c r="E225" s="2075" t="s">
        <v>1998</v>
      </c>
      <c r="F225" s="2077">
        <v>3</v>
      </c>
      <c r="G225" s="2104">
        <v>8.4</v>
      </c>
      <c r="H225" s="2079">
        <f t="shared" si="4"/>
        <v>73584</v>
      </c>
      <c r="I225" s="2084" t="s">
        <v>1886</v>
      </c>
      <c r="J225" s="2088">
        <v>12000</v>
      </c>
      <c r="K225" s="2085" t="s">
        <v>1999</v>
      </c>
    </row>
    <row r="226" spans="1:11" s="2065" customFormat="1" ht="15" customHeight="1">
      <c r="A226" s="2075">
        <v>31</v>
      </c>
      <c r="B226" s="2075" t="s">
        <v>2000</v>
      </c>
      <c r="C226" s="2076" t="s">
        <v>2001</v>
      </c>
      <c r="D226" s="2075">
        <v>48</v>
      </c>
      <c r="E226" s="2075" t="s">
        <v>2002</v>
      </c>
      <c r="F226" s="2077">
        <v>4</v>
      </c>
      <c r="G226" s="2104">
        <v>10.42</v>
      </c>
      <c r="H226" s="2079">
        <f t="shared" si="4"/>
        <v>182558.4</v>
      </c>
      <c r="I226" s="2084" t="s">
        <v>1924</v>
      </c>
      <c r="J226" s="2088">
        <v>24000</v>
      </c>
      <c r="K226" s="2085" t="s">
        <v>2003</v>
      </c>
    </row>
    <row r="227" spans="1:11" s="2065" customFormat="1" ht="15" customHeight="1">
      <c r="A227" s="2075">
        <v>32</v>
      </c>
      <c r="B227" s="2075" t="s">
        <v>2004</v>
      </c>
      <c r="C227" s="2076" t="s">
        <v>2005</v>
      </c>
      <c r="D227" s="2075">
        <v>44</v>
      </c>
      <c r="E227" s="2075" t="s">
        <v>2006</v>
      </c>
      <c r="F227" s="2077">
        <v>3</v>
      </c>
      <c r="G227" s="2104">
        <v>9.5</v>
      </c>
      <c r="H227" s="2079">
        <f t="shared" si="4"/>
        <v>152570</v>
      </c>
      <c r="I227" s="2084" t="s">
        <v>1924</v>
      </c>
      <c r="J227" s="2088">
        <v>26000</v>
      </c>
      <c r="K227" s="2089" t="s">
        <v>1295</v>
      </c>
    </row>
    <row r="228" spans="1:11" s="2065" customFormat="1" ht="15" customHeight="1">
      <c r="A228" s="2075">
        <v>33</v>
      </c>
      <c r="B228" s="2075" t="s">
        <v>1965</v>
      </c>
      <c r="C228" s="2076" t="s">
        <v>2007</v>
      </c>
      <c r="D228" s="2075">
        <v>101</v>
      </c>
      <c r="E228" s="2075" t="s">
        <v>2008</v>
      </c>
      <c r="F228" s="2077">
        <v>5</v>
      </c>
      <c r="G228" s="2104">
        <v>9.7200000000000006</v>
      </c>
      <c r="H228" s="2079">
        <f t="shared" si="4"/>
        <v>358327.80000000005</v>
      </c>
      <c r="I228" s="2084" t="s">
        <v>1886</v>
      </c>
      <c r="J228" s="2088">
        <v>50500</v>
      </c>
      <c r="K228" s="2085" t="s">
        <v>2009</v>
      </c>
    </row>
    <row r="229" spans="1:11" s="2065" customFormat="1" ht="15" customHeight="1">
      <c r="A229" s="2075">
        <v>34</v>
      </c>
      <c r="B229" s="2075" t="s">
        <v>2010</v>
      </c>
      <c r="C229" s="2076" t="s">
        <v>2011</v>
      </c>
      <c r="D229" s="2075">
        <v>13</v>
      </c>
      <c r="E229" s="2075" t="s">
        <v>2012</v>
      </c>
      <c r="F229" s="2077">
        <v>5</v>
      </c>
      <c r="G229" s="2104">
        <v>12</v>
      </c>
      <c r="H229" s="2079">
        <f t="shared" si="4"/>
        <v>56940</v>
      </c>
      <c r="I229" s="2084" t="s">
        <v>1907</v>
      </c>
      <c r="J229" s="2088">
        <v>10000</v>
      </c>
      <c r="K229" s="2085" t="s">
        <v>2013</v>
      </c>
    </row>
    <row r="230" spans="1:11" s="2065" customFormat="1" ht="15" customHeight="1">
      <c r="A230" s="2075">
        <v>35</v>
      </c>
      <c r="B230" s="2075" t="s">
        <v>2010</v>
      </c>
      <c r="C230" s="2076" t="s">
        <v>2011</v>
      </c>
      <c r="D230" s="2075">
        <v>13</v>
      </c>
      <c r="E230" s="2075" t="s">
        <v>2014</v>
      </c>
      <c r="F230" s="2077">
        <v>5</v>
      </c>
      <c r="G230" s="2104">
        <v>7.91</v>
      </c>
      <c r="H230" s="2079">
        <f t="shared" si="4"/>
        <v>37532.949999999997</v>
      </c>
      <c r="I230" s="2084" t="s">
        <v>1924</v>
      </c>
      <c r="J230" s="2088">
        <v>10000</v>
      </c>
      <c r="K230" s="2085" t="s">
        <v>2015</v>
      </c>
    </row>
    <row r="231" spans="1:11" s="2065" customFormat="1" ht="15" customHeight="1">
      <c r="A231" s="2075">
        <v>36</v>
      </c>
      <c r="B231" s="2075" t="s">
        <v>2016</v>
      </c>
      <c r="C231" s="2076" t="s">
        <v>2017</v>
      </c>
      <c r="D231" s="2075">
        <v>13</v>
      </c>
      <c r="E231" s="2075" t="s">
        <v>2018</v>
      </c>
      <c r="F231" s="2077"/>
      <c r="G231" s="2104">
        <v>10.42</v>
      </c>
      <c r="H231" s="2079">
        <f t="shared" si="4"/>
        <v>49442.9</v>
      </c>
      <c r="I231" s="2084" t="s">
        <v>1924</v>
      </c>
      <c r="J231" s="2088">
        <v>10000</v>
      </c>
      <c r="K231" s="2085" t="s">
        <v>2019</v>
      </c>
    </row>
    <row r="232" spans="1:11" s="2065" customFormat="1" ht="15" customHeight="1">
      <c r="A232" s="2075">
        <v>37</v>
      </c>
      <c r="B232" s="2075" t="s">
        <v>2020</v>
      </c>
      <c r="C232" s="2076" t="s">
        <v>2021</v>
      </c>
      <c r="D232" s="2075">
        <v>13</v>
      </c>
      <c r="E232" s="2075" t="s">
        <v>2022</v>
      </c>
      <c r="F232" s="2077">
        <v>3</v>
      </c>
      <c r="G232" s="2104">
        <v>9.98</v>
      </c>
      <c r="H232" s="2079">
        <f t="shared" si="4"/>
        <v>47355.1</v>
      </c>
      <c r="I232" s="2084" t="s">
        <v>1886</v>
      </c>
      <c r="J232" s="2088">
        <v>10000</v>
      </c>
      <c r="K232" s="2089" t="s">
        <v>2023</v>
      </c>
    </row>
    <row r="233" spans="1:11" s="2065" customFormat="1" ht="15" customHeight="1">
      <c r="A233" s="2075">
        <v>38</v>
      </c>
      <c r="B233" s="2075" t="s">
        <v>2024</v>
      </c>
      <c r="C233" s="2076" t="s">
        <v>2025</v>
      </c>
      <c r="D233" s="2075">
        <v>21</v>
      </c>
      <c r="E233" s="2075" t="s">
        <v>2026</v>
      </c>
      <c r="F233" s="2077">
        <v>3</v>
      </c>
      <c r="G233" s="2104">
        <v>8.4</v>
      </c>
      <c r="H233" s="2079">
        <f t="shared" si="4"/>
        <v>64386</v>
      </c>
      <c r="I233" s="2084" t="s">
        <v>1886</v>
      </c>
      <c r="J233" s="2088">
        <v>11000</v>
      </c>
      <c r="K233" s="2085" t="s">
        <v>2027</v>
      </c>
    </row>
    <row r="234" spans="1:11" s="2065" customFormat="1" ht="15" customHeight="1">
      <c r="A234" s="2075">
        <v>39</v>
      </c>
      <c r="B234" s="2075" t="s">
        <v>2028</v>
      </c>
      <c r="C234" s="2076" t="s">
        <v>2029</v>
      </c>
      <c r="D234" s="2075">
        <v>34</v>
      </c>
      <c r="E234" s="2075" t="s">
        <v>2030</v>
      </c>
      <c r="F234" s="2077">
        <v>3</v>
      </c>
      <c r="G234" s="2104">
        <v>9.98</v>
      </c>
      <c r="H234" s="2079">
        <f t="shared" si="4"/>
        <v>123851.8</v>
      </c>
      <c r="I234" s="2084" t="s">
        <v>1886</v>
      </c>
      <c r="J234" s="2088">
        <v>17000</v>
      </c>
      <c r="K234" s="2085" t="s">
        <v>2031</v>
      </c>
    </row>
    <row r="235" spans="1:11" s="2065" customFormat="1" ht="15" customHeight="1">
      <c r="A235" s="2075">
        <v>40</v>
      </c>
      <c r="B235" s="2075" t="s">
        <v>2032</v>
      </c>
      <c r="C235" s="2076" t="s">
        <v>2033</v>
      </c>
      <c r="D235" s="2075">
        <v>15</v>
      </c>
      <c r="E235" s="2075" t="s">
        <v>2034</v>
      </c>
      <c r="F235" s="2077">
        <v>1</v>
      </c>
      <c r="G235" s="2104">
        <v>7</v>
      </c>
      <c r="H235" s="2079">
        <f t="shared" si="4"/>
        <v>38325</v>
      </c>
      <c r="I235" s="2088" t="s">
        <v>2035</v>
      </c>
      <c r="J235" s="2088">
        <v>10000</v>
      </c>
      <c r="K235" s="2085" t="s">
        <v>2036</v>
      </c>
    </row>
    <row r="236" spans="1:11" s="2064" customFormat="1" ht="15" customHeight="1">
      <c r="A236" s="2072"/>
      <c r="B236" s="2098" t="s">
        <v>1882</v>
      </c>
      <c r="C236" s="2105"/>
      <c r="D236" s="2100">
        <f>SUM(D196:D235)</f>
        <v>1300.8</v>
      </c>
      <c r="E236" s="2098"/>
      <c r="F236" s="2098"/>
      <c r="G236" s="2101">
        <f>H236/D236/365</f>
        <v>8.308387146371464</v>
      </c>
      <c r="H236" s="2102">
        <f>SUM(H196:H235)</f>
        <v>3944755.75</v>
      </c>
      <c r="I236" s="2086"/>
      <c r="J236" s="2086"/>
      <c r="K236" s="2087"/>
    </row>
    <row r="237" spans="1:11" s="2064" customFormat="1" ht="15" customHeight="1">
      <c r="A237" s="2072"/>
      <c r="B237" s="2072"/>
      <c r="C237" s="2106"/>
      <c r="D237" s="2107"/>
      <c r="E237" s="2072"/>
      <c r="F237" s="2072"/>
      <c r="G237" s="2073"/>
      <c r="H237" s="2074"/>
      <c r="I237" s="2086"/>
      <c r="J237" s="2086"/>
      <c r="K237" s="2087"/>
    </row>
    <row r="238" spans="1:11" s="2064" customFormat="1" ht="15" customHeight="1">
      <c r="A238" s="2108" t="s">
        <v>467</v>
      </c>
      <c r="B238" s="2108"/>
      <c r="C238" s="2109"/>
      <c r="D238" s="2110">
        <f>D193+D236</f>
        <v>5289.8</v>
      </c>
      <c r="E238" s="2108"/>
      <c r="F238" s="2108"/>
      <c r="G238" s="2111">
        <f>H238/D238/365</f>
        <v>8.7440415438965733</v>
      </c>
      <c r="H238" s="2112">
        <f>H193+H236</f>
        <v>16882794.299999997</v>
      </c>
      <c r="I238" s="2114"/>
      <c r="J238" s="2114"/>
      <c r="K238" s="2115"/>
    </row>
    <row r="239" spans="1:11" s="2064" customFormat="1" ht="15" customHeight="1">
      <c r="A239" s="2072"/>
      <c r="B239" s="2072"/>
      <c r="C239" s="2106"/>
      <c r="D239" s="2107">
        <f>D238/1.2*1.3</f>
        <v>5730.6166666666677</v>
      </c>
      <c r="E239" s="2072"/>
      <c r="F239" s="2072"/>
      <c r="G239" s="2073">
        <f>H238/D239/365</f>
        <v>8.0714229635968362</v>
      </c>
      <c r="H239" s="2074"/>
      <c r="I239" s="2086"/>
      <c r="J239" s="2086"/>
      <c r="K239" s="2087"/>
    </row>
    <row r="240" spans="1:11" s="2064" customFormat="1" ht="15" customHeight="1">
      <c r="A240" s="2069" t="s">
        <v>2037</v>
      </c>
      <c r="B240" s="2069"/>
      <c r="C240" s="2071"/>
      <c r="D240" s="2069"/>
      <c r="E240" s="2069"/>
      <c r="F240" s="2072"/>
      <c r="G240" s="2073"/>
      <c r="H240" s="2074"/>
      <c r="I240" s="2086"/>
      <c r="J240" s="2086"/>
      <c r="K240" s="2087"/>
    </row>
    <row r="241" spans="1:11" s="2065" customFormat="1" ht="15" customHeight="1">
      <c r="A241" s="2075">
        <v>1</v>
      </c>
      <c r="B241" s="2075" t="s">
        <v>1957</v>
      </c>
      <c r="C241" s="2076" t="s">
        <v>2038</v>
      </c>
      <c r="D241" s="2075">
        <v>12</v>
      </c>
      <c r="E241" s="2075" t="s">
        <v>2039</v>
      </c>
      <c r="F241" s="2077">
        <v>1</v>
      </c>
      <c r="G241" s="2091">
        <v>3.15</v>
      </c>
      <c r="H241" s="2079">
        <f t="shared" ref="H241:H250" si="5">D241*365*G241</f>
        <v>13797</v>
      </c>
      <c r="I241" s="2088" t="s">
        <v>2037</v>
      </c>
      <c r="J241" s="2088">
        <v>3000</v>
      </c>
      <c r="K241" s="2085" t="s">
        <v>2040</v>
      </c>
    </row>
    <row r="242" spans="1:11" s="2065" customFormat="1" ht="15" customHeight="1">
      <c r="A242" s="2075">
        <v>2</v>
      </c>
      <c r="B242" s="2075" t="s">
        <v>2041</v>
      </c>
      <c r="C242" s="2076" t="s">
        <v>2042</v>
      </c>
      <c r="D242" s="2075">
        <v>13</v>
      </c>
      <c r="E242" s="2075" t="s">
        <v>2043</v>
      </c>
      <c r="F242" s="2077">
        <v>1</v>
      </c>
      <c r="G242" s="2091">
        <v>3</v>
      </c>
      <c r="H242" s="2079">
        <f t="shared" si="5"/>
        <v>14235</v>
      </c>
      <c r="I242" s="2088" t="s">
        <v>2037</v>
      </c>
      <c r="J242" s="2088">
        <v>2400</v>
      </c>
      <c r="K242" s="2085" t="s">
        <v>2044</v>
      </c>
    </row>
    <row r="243" spans="1:11" s="2065" customFormat="1" ht="15" customHeight="1">
      <c r="A243" s="2075">
        <v>3</v>
      </c>
      <c r="B243" s="2075" t="s">
        <v>1996</v>
      </c>
      <c r="C243" s="2076" t="s">
        <v>2045</v>
      </c>
      <c r="D243" s="2075">
        <v>15</v>
      </c>
      <c r="E243" s="2075" t="s">
        <v>2046</v>
      </c>
      <c r="F243" s="2077">
        <v>1</v>
      </c>
      <c r="G243" s="2104">
        <v>3</v>
      </c>
      <c r="H243" s="2079">
        <f t="shared" si="5"/>
        <v>16425</v>
      </c>
      <c r="I243" s="2088" t="s">
        <v>2037</v>
      </c>
      <c r="J243" s="2088">
        <v>3000</v>
      </c>
      <c r="K243" s="2085" t="s">
        <v>2047</v>
      </c>
    </row>
    <row r="244" spans="1:11" s="2065" customFormat="1" ht="15" customHeight="1">
      <c r="A244" s="2075">
        <v>4</v>
      </c>
      <c r="B244" s="2075" t="s">
        <v>2048</v>
      </c>
      <c r="C244" s="2076" t="s">
        <v>2049</v>
      </c>
      <c r="D244" s="2075">
        <v>18</v>
      </c>
      <c r="E244" s="2075" t="s">
        <v>2050</v>
      </c>
      <c r="F244" s="2077">
        <v>1</v>
      </c>
      <c r="G244" s="2091">
        <v>3.5</v>
      </c>
      <c r="H244" s="2079">
        <f t="shared" si="5"/>
        <v>22995</v>
      </c>
      <c r="I244" s="2088" t="s">
        <v>2037</v>
      </c>
      <c r="J244" s="2088">
        <v>3900</v>
      </c>
      <c r="K244" s="2089" t="s">
        <v>1295</v>
      </c>
    </row>
    <row r="245" spans="1:11" s="2065" customFormat="1" ht="15" customHeight="1">
      <c r="A245" s="2075">
        <v>5</v>
      </c>
      <c r="B245" s="2075" t="s">
        <v>2051</v>
      </c>
      <c r="C245" s="2076" t="s">
        <v>2052</v>
      </c>
      <c r="D245" s="2075">
        <v>3.5</v>
      </c>
      <c r="E245" s="2075" t="s">
        <v>2053</v>
      </c>
      <c r="F245" s="2077"/>
      <c r="G245" s="2091">
        <v>3</v>
      </c>
      <c r="H245" s="2079">
        <f t="shared" si="5"/>
        <v>3832.5</v>
      </c>
      <c r="I245" s="2088" t="s">
        <v>2037</v>
      </c>
      <c r="J245" s="2088">
        <v>1000</v>
      </c>
      <c r="K245" s="2089" t="s">
        <v>2054</v>
      </c>
    </row>
    <row r="246" spans="1:11" s="2065" customFormat="1" ht="15" customHeight="1">
      <c r="A246" s="2075">
        <v>6</v>
      </c>
      <c r="B246" s="2075" t="s">
        <v>2055</v>
      </c>
      <c r="C246" s="2076" t="s">
        <v>2056</v>
      </c>
      <c r="D246" s="2075">
        <v>12</v>
      </c>
      <c r="E246" s="2075" t="s">
        <v>2057</v>
      </c>
      <c r="F246" s="2077">
        <v>1</v>
      </c>
      <c r="G246" s="2091">
        <v>3</v>
      </c>
      <c r="H246" s="2079">
        <f t="shared" si="5"/>
        <v>13140</v>
      </c>
      <c r="I246" s="2084" t="s">
        <v>2037</v>
      </c>
      <c r="J246" s="2088">
        <v>2200</v>
      </c>
      <c r="K246" s="2085" t="s">
        <v>2058</v>
      </c>
    </row>
    <row r="247" spans="1:11" s="2065" customFormat="1" ht="15" customHeight="1">
      <c r="A247" s="2075">
        <v>7</v>
      </c>
      <c r="B247" s="2075"/>
      <c r="C247" s="2076" t="s">
        <v>2059</v>
      </c>
      <c r="D247" s="2075">
        <v>19</v>
      </c>
      <c r="E247" s="2075"/>
      <c r="F247" s="2077"/>
      <c r="G247" s="2091"/>
      <c r="H247" s="2079">
        <f t="shared" si="5"/>
        <v>0</v>
      </c>
      <c r="I247" s="2084"/>
      <c r="J247" s="2088"/>
      <c r="K247" s="2085"/>
    </row>
    <row r="248" spans="1:11" s="2065" customFormat="1" ht="15" customHeight="1">
      <c r="A248" s="2075">
        <v>8</v>
      </c>
      <c r="B248" s="2075" t="s">
        <v>1796</v>
      </c>
      <c r="C248" s="2076" t="s">
        <v>2060</v>
      </c>
      <c r="D248" s="2075">
        <v>2.2000000000000002</v>
      </c>
      <c r="E248" s="2075" t="s">
        <v>2061</v>
      </c>
      <c r="F248" s="2077">
        <v>1</v>
      </c>
      <c r="G248" s="2091">
        <v>3</v>
      </c>
      <c r="H248" s="2079">
        <f t="shared" si="5"/>
        <v>2409.0000000000005</v>
      </c>
      <c r="I248" s="2088" t="s">
        <v>2037</v>
      </c>
      <c r="J248" s="2116">
        <v>400</v>
      </c>
      <c r="K248" s="2085" t="s">
        <v>2062</v>
      </c>
    </row>
    <row r="249" spans="1:11" s="2065" customFormat="1" ht="15" customHeight="1">
      <c r="A249" s="2075">
        <v>9</v>
      </c>
      <c r="B249" s="2075" t="s">
        <v>1874</v>
      </c>
      <c r="C249" s="2076" t="s">
        <v>1875</v>
      </c>
      <c r="D249" s="2075">
        <v>64</v>
      </c>
      <c r="E249" s="2075" t="s">
        <v>1876</v>
      </c>
      <c r="F249" s="2077">
        <v>3</v>
      </c>
      <c r="G249" s="2104">
        <v>3</v>
      </c>
      <c r="H249" s="2079">
        <f t="shared" si="5"/>
        <v>70080</v>
      </c>
      <c r="I249" s="2084" t="s">
        <v>1470</v>
      </c>
      <c r="J249" s="2088"/>
      <c r="K249" s="2089" t="s">
        <v>1877</v>
      </c>
    </row>
    <row r="250" spans="1:11" s="2065" customFormat="1" ht="15" customHeight="1">
      <c r="A250" s="2075">
        <v>10</v>
      </c>
      <c r="B250" s="2075" t="s">
        <v>1878</v>
      </c>
      <c r="C250" s="2076" t="s">
        <v>2063</v>
      </c>
      <c r="D250" s="2075">
        <v>11</v>
      </c>
      <c r="E250" s="2075" t="s">
        <v>1880</v>
      </c>
      <c r="F250" s="2077">
        <v>3</v>
      </c>
      <c r="G250" s="2091">
        <v>4</v>
      </c>
      <c r="H250" s="2079">
        <f t="shared" si="5"/>
        <v>16060</v>
      </c>
      <c r="I250" s="2084" t="s">
        <v>1470</v>
      </c>
      <c r="J250" s="2088"/>
      <c r="K250" s="2089" t="s">
        <v>1881</v>
      </c>
    </row>
    <row r="251" spans="1:11" s="2064" customFormat="1" ht="15" customHeight="1">
      <c r="A251" s="2098"/>
      <c r="B251" s="2098" t="s">
        <v>2064</v>
      </c>
      <c r="C251" s="2105"/>
      <c r="D251" s="2100">
        <f>SUM(D241:D250)</f>
        <v>169.7</v>
      </c>
      <c r="E251" s="2098"/>
      <c r="F251" s="2098"/>
      <c r="G251" s="2101"/>
      <c r="H251" s="2102">
        <f>SUM(H241:H250)</f>
        <v>172973.5</v>
      </c>
      <c r="I251" s="2086"/>
      <c r="J251" s="2086"/>
      <c r="K251" s="2087"/>
    </row>
    <row r="252" spans="1:11" s="2064" customFormat="1" ht="15" customHeight="1">
      <c r="A252" s="2098"/>
      <c r="B252" s="2098"/>
      <c r="C252" s="2105"/>
      <c r="D252" s="2100"/>
      <c r="E252" s="2098"/>
      <c r="F252" s="2098"/>
      <c r="G252" s="2102"/>
      <c r="H252" s="2102"/>
      <c r="I252" s="2086"/>
      <c r="J252" s="2086"/>
      <c r="K252" s="2087"/>
    </row>
    <row r="253" spans="1:11" s="2064" customFormat="1" ht="15" customHeight="1">
      <c r="A253" s="2069" t="s">
        <v>2065</v>
      </c>
      <c r="B253" s="2069"/>
      <c r="C253" s="2071"/>
      <c r="D253" s="2069"/>
      <c r="E253" s="2069"/>
      <c r="F253" s="2072"/>
      <c r="G253" s="2074"/>
      <c r="H253" s="2074"/>
      <c r="I253" s="2086"/>
      <c r="J253" s="2086"/>
      <c r="K253" s="2087"/>
    </row>
    <row r="254" spans="1:11" s="2065" customFormat="1" ht="15" customHeight="1">
      <c r="A254" s="2075">
        <v>1</v>
      </c>
      <c r="B254" s="2075" t="s">
        <v>2066</v>
      </c>
      <c r="C254" s="2076" t="s">
        <v>1191</v>
      </c>
      <c r="D254" s="2075"/>
      <c r="E254" s="2075" t="s">
        <v>2067</v>
      </c>
      <c r="F254" s="2080">
        <v>1</v>
      </c>
      <c r="G254" s="2113">
        <v>1800</v>
      </c>
      <c r="H254" s="2079">
        <f>G254*12*C254</f>
        <v>21600</v>
      </c>
      <c r="I254" s="2088" t="s">
        <v>2068</v>
      </c>
      <c r="J254" s="2088"/>
      <c r="K254" s="2085" t="s">
        <v>2069</v>
      </c>
    </row>
    <row r="255" spans="1:11" s="2065" customFormat="1" ht="15" customHeight="1">
      <c r="A255" s="2075">
        <v>2</v>
      </c>
      <c r="B255" s="2075" t="s">
        <v>2070</v>
      </c>
      <c r="C255" s="2076" t="s">
        <v>1191</v>
      </c>
      <c r="D255" s="2075"/>
      <c r="E255" s="2075" t="s">
        <v>2071</v>
      </c>
      <c r="F255" s="2080">
        <v>1</v>
      </c>
      <c r="G255" s="2113">
        <v>1800</v>
      </c>
      <c r="H255" s="2079">
        <f>G255*12*C255</f>
        <v>21600</v>
      </c>
      <c r="I255" s="2088" t="s">
        <v>2068</v>
      </c>
      <c r="J255" s="2088"/>
      <c r="K255" s="2085" t="s">
        <v>2072</v>
      </c>
    </row>
    <row r="256" spans="1:11" s="2065" customFormat="1" ht="15" customHeight="1">
      <c r="A256" s="2075">
        <v>3</v>
      </c>
      <c r="B256" s="2075" t="s">
        <v>2073</v>
      </c>
      <c r="C256" s="2076" t="s">
        <v>1191</v>
      </c>
      <c r="D256" s="2075"/>
      <c r="E256" s="2075" t="s">
        <v>2074</v>
      </c>
      <c r="F256" s="2080">
        <v>1</v>
      </c>
      <c r="G256" s="2113">
        <v>300</v>
      </c>
      <c r="H256" s="2079">
        <f>G256*12*C256</f>
        <v>3600</v>
      </c>
      <c r="I256" s="2088" t="s">
        <v>2068</v>
      </c>
      <c r="J256" s="2088"/>
      <c r="K256" s="2085" t="s">
        <v>2075</v>
      </c>
    </row>
    <row r="257" spans="1:11" s="2065" customFormat="1" ht="15" customHeight="1">
      <c r="A257" s="2075">
        <v>4</v>
      </c>
      <c r="B257" s="2075" t="s">
        <v>2076</v>
      </c>
      <c r="C257" s="2076" t="s">
        <v>1113</v>
      </c>
      <c r="D257" s="2075">
        <v>30</v>
      </c>
      <c r="E257" s="2117" t="s">
        <v>2077</v>
      </c>
      <c r="F257" s="2077" t="s">
        <v>2078</v>
      </c>
      <c r="G257" s="2113"/>
      <c r="H257" s="2079">
        <f>50000/10</f>
        <v>5000</v>
      </c>
      <c r="I257" s="2088" t="s">
        <v>2068</v>
      </c>
      <c r="J257" s="2088"/>
      <c r="K257" s="2089" t="s">
        <v>2079</v>
      </c>
    </row>
    <row r="258" spans="1:11" s="2065" customFormat="1" ht="15" customHeight="1">
      <c r="A258" s="2075">
        <v>5</v>
      </c>
      <c r="B258" s="2075" t="s">
        <v>2080</v>
      </c>
      <c r="C258" s="2076" t="s">
        <v>2081</v>
      </c>
      <c r="D258" s="2075"/>
      <c r="E258" s="2075" t="s">
        <v>2082</v>
      </c>
      <c r="F258" s="2077"/>
      <c r="G258" s="2113">
        <v>1200</v>
      </c>
      <c r="H258" s="2079">
        <f>600*12*14+1200*12*1</f>
        <v>115200</v>
      </c>
      <c r="I258" s="2088" t="s">
        <v>2068</v>
      </c>
      <c r="J258" s="2088"/>
      <c r="K258" s="2089"/>
    </row>
    <row r="259" spans="1:11" s="2065" customFormat="1" ht="15" customHeight="1">
      <c r="A259" s="2075">
        <v>6</v>
      </c>
      <c r="B259" s="2075" t="s">
        <v>2083</v>
      </c>
      <c r="C259" s="2076"/>
      <c r="D259" s="2075"/>
      <c r="E259" s="2075"/>
      <c r="F259" s="2077"/>
      <c r="G259" s="2077"/>
      <c r="H259" s="2079">
        <v>3500000</v>
      </c>
      <c r="I259" s="2088"/>
      <c r="J259" s="2088"/>
      <c r="K259" s="2089"/>
    </row>
    <row r="260" spans="1:11" s="2064" customFormat="1" ht="15" customHeight="1">
      <c r="A260" s="2098"/>
      <c r="B260" s="2098" t="s">
        <v>2065</v>
      </c>
      <c r="C260" s="2105"/>
      <c r="D260" s="2098"/>
      <c r="E260" s="2098"/>
      <c r="F260" s="2098"/>
      <c r="G260" s="2102"/>
      <c r="H260" s="2102">
        <f>SUM(H254:H259)</f>
        <v>3667000</v>
      </c>
      <c r="I260" s="2086"/>
      <c r="J260" s="2086"/>
      <c r="K260" s="2087"/>
    </row>
    <row r="261" spans="1:11" s="2064" customFormat="1" ht="15" customHeight="1">
      <c r="A261" s="2098"/>
      <c r="B261" s="2098"/>
      <c r="C261" s="2105"/>
      <c r="D261" s="2098"/>
      <c r="E261" s="2098"/>
      <c r="F261" s="2098"/>
      <c r="G261" s="2102"/>
      <c r="H261" s="2102"/>
      <c r="I261" s="2086"/>
      <c r="J261" s="2086"/>
      <c r="K261" s="2087"/>
    </row>
    <row r="262" spans="1:11" s="2066" customFormat="1" ht="14.25">
      <c r="A262" s="2118"/>
      <c r="B262" s="2118" t="s">
        <v>467</v>
      </c>
      <c r="C262" s="2119"/>
      <c r="D262" s="2118"/>
      <c r="E262" s="2118"/>
      <c r="F262" s="2118"/>
      <c r="G262" s="2118"/>
      <c r="H262" s="2120">
        <f>H260+H251+H236+H193</f>
        <v>20722767.799999997</v>
      </c>
      <c r="I262" s="2118"/>
      <c r="J262" s="2118"/>
      <c r="K262" s="2119"/>
    </row>
    <row r="265" spans="1:11">
      <c r="H265" s="2121"/>
    </row>
    <row r="266" spans="1:11">
      <c r="H266" s="2121"/>
    </row>
  </sheetData>
  <mergeCells count="1">
    <mergeCell ref="A1:K1"/>
  </mergeCells>
  <phoneticPr fontId="228" type="noConversion"/>
  <pageMargins left="0.75" right="0.75" top="1" bottom="1" header="0.5" footer="0.5"/>
  <pageSetup paperSize="9" orientation="portrait" horizontalDpi="180" verticalDpi="180"/>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G29" sqref="G2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1076</v>
      </c>
      <c r="B1" s="1129"/>
      <c r="C1" s="1788" t="s">
        <v>473</v>
      </c>
      <c r="D1" s="1789" t="s">
        <v>124</v>
      </c>
      <c r="E1" s="1790" t="s">
        <v>1077</v>
      </c>
      <c r="F1" s="1791">
        <f ca="1">J53</f>
        <v>16.829999999999998</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1078</v>
      </c>
      <c r="B2" s="1794">
        <f ca="1">ROUND(D2/10000,0)</f>
        <v>3806</v>
      </c>
      <c r="C2" s="1795" t="s">
        <v>1079</v>
      </c>
      <c r="D2" s="1796">
        <f ca="1">C40+J29+L46</f>
        <v>38062647</v>
      </c>
      <c r="E2" s="1797" t="s">
        <v>2084</v>
      </c>
      <c r="F2" s="1798"/>
      <c r="G2" s="1799"/>
      <c r="H2" s="1800"/>
      <c r="I2" s="1800"/>
      <c r="J2" s="1800"/>
      <c r="K2" s="1958"/>
      <c r="L2" s="1800"/>
      <c r="M2" s="1800"/>
    </row>
    <row r="3" spans="1:37" ht="18" customHeight="1">
      <c r="A3" s="1801" t="s">
        <v>1080</v>
      </c>
      <c r="B3" s="1802">
        <f ca="1">IF(ISERROR(D2/F43),0,ROUND(D2/F43,0))</f>
        <v>6277</v>
      </c>
      <c r="C3" s="1795" t="s">
        <v>1081</v>
      </c>
      <c r="D3" s="1795"/>
      <c r="E3" s="1797"/>
      <c r="F3" s="1798"/>
      <c r="G3" s="1799"/>
      <c r="H3" s="1803" t="s">
        <v>1082</v>
      </c>
      <c r="I3" s="1959"/>
      <c r="J3" s="1959"/>
      <c r="K3" s="1960"/>
      <c r="L3" s="1959"/>
      <c r="M3" s="1959"/>
    </row>
    <row r="4" spans="1:37" ht="18" customHeight="1">
      <c r="A4" s="1804" t="s">
        <v>1083</v>
      </c>
      <c r="B4" s="1805" t="s">
        <v>1084</v>
      </c>
      <c r="C4" s="1805" t="s">
        <v>1085</v>
      </c>
      <c r="D4" s="1805" t="s">
        <v>1086</v>
      </c>
      <c r="E4" s="1806" t="s">
        <v>1087</v>
      </c>
      <c r="F4" s="1807"/>
      <c r="G4" s="773"/>
      <c r="H4" s="1804" t="s">
        <v>1083</v>
      </c>
      <c r="I4" s="1805" t="s">
        <v>1084</v>
      </c>
      <c r="J4" s="1805" t="s">
        <v>1085</v>
      </c>
      <c r="K4" s="1805" t="s">
        <v>1086</v>
      </c>
      <c r="L4" s="1806" t="s">
        <v>1087</v>
      </c>
      <c r="M4" s="1807"/>
    </row>
    <row r="5" spans="1:37" ht="18" customHeight="1">
      <c r="A5" s="1808">
        <v>1</v>
      </c>
      <c r="B5" s="1809" t="s">
        <v>1088</v>
      </c>
      <c r="C5" s="1810">
        <f ca="1">C6+C10+C12</f>
        <v>3984120</v>
      </c>
      <c r="D5" s="1811" t="s">
        <v>1089</v>
      </c>
      <c r="E5" s="1812"/>
      <c r="F5" s="1813"/>
      <c r="G5" s="773"/>
      <c r="H5" s="1808">
        <v>1</v>
      </c>
      <c r="I5" s="1809" t="s">
        <v>1088</v>
      </c>
      <c r="J5" s="1810">
        <f ca="1">J6+J10+J12</f>
        <v>0</v>
      </c>
      <c r="K5" s="1811" t="s">
        <v>1089</v>
      </c>
      <c r="L5" s="1812"/>
      <c r="M5" s="1813"/>
    </row>
    <row r="6" spans="1:37" ht="18" customHeight="1">
      <c r="A6" s="1814" t="s">
        <v>825</v>
      </c>
      <c r="B6" s="3473" t="s">
        <v>1090</v>
      </c>
      <c r="C6" s="1815">
        <f ca="1">ROUND(F6*F8*F7*(1-F9),0)</f>
        <v>3984120</v>
      </c>
      <c r="D6" s="1816" t="s">
        <v>2085</v>
      </c>
      <c r="E6" s="1817" t="s">
        <v>1092</v>
      </c>
      <c r="F6" s="1818">
        <f ca="1">INDIRECT("'数据-取费表'!u"&amp;$G$1)</f>
        <v>1800</v>
      </c>
      <c r="G6" s="773"/>
      <c r="H6" s="1814" t="s">
        <v>825</v>
      </c>
      <c r="I6" s="3473" t="s">
        <v>1090</v>
      </c>
      <c r="J6" s="1889">
        <f ca="1">ROUND(M6*M8*M7*(1-M9),0)</f>
        <v>0</v>
      </c>
      <c r="K6" s="1961" t="s">
        <v>2086</v>
      </c>
      <c r="L6" s="1817" t="s">
        <v>1092</v>
      </c>
      <c r="M6" s="1818">
        <f ca="1">INDIRECT("'数据-取费表'!z"&amp;$G$1)</f>
        <v>0</v>
      </c>
    </row>
    <row r="7" spans="1:37" ht="18" customHeight="1">
      <c r="A7" s="1819"/>
      <c r="B7" s="3474"/>
      <c r="C7" s="1820"/>
      <c r="D7" s="1821"/>
      <c r="E7" s="1822" t="s">
        <v>1094</v>
      </c>
      <c r="F7" s="1818">
        <f ca="1">IF(INDIRECT("'数据-取费表'!ah"&amp;$G$1)="",INDIRECT("'数据-取费表'!k"&amp;$G$1),INDIRECT("'数据-取费表'!ah"&amp;$G$1))</f>
        <v>217</v>
      </c>
      <c r="G7" s="773"/>
      <c r="H7" s="1823"/>
      <c r="I7" s="3474"/>
      <c r="J7" s="1824"/>
      <c r="K7" s="1821"/>
      <c r="L7" s="1817" t="s">
        <v>1094</v>
      </c>
      <c r="M7" s="1818">
        <f ca="1">F7</f>
        <v>217</v>
      </c>
    </row>
    <row r="8" spans="1:37" ht="18" customHeight="1">
      <c r="A8" s="1823"/>
      <c r="B8" s="3474"/>
      <c r="C8" s="1824"/>
      <c r="D8" s="1821"/>
      <c r="E8" s="1817" t="s">
        <v>1095</v>
      </c>
      <c r="F8" s="1818">
        <f ca="1">INDIRECT("'数据-取费表'!ai"&amp;$G$1)</f>
        <v>12</v>
      </c>
      <c r="G8" s="773"/>
      <c r="H8" s="1823"/>
      <c r="I8" s="3474"/>
      <c r="J8" s="1824"/>
      <c r="K8" s="1821"/>
      <c r="L8" s="1817" t="s">
        <v>1095</v>
      </c>
      <c r="M8" s="1818">
        <f ca="1">INDIRECT("'数据-取费表'!ai"&amp;$G$1)</f>
        <v>12</v>
      </c>
    </row>
    <row r="9" spans="1:37" ht="18" customHeight="1">
      <c r="A9" s="1823"/>
      <c r="B9" s="3475"/>
      <c r="C9" s="1824"/>
      <c r="D9" s="1821"/>
      <c r="E9" s="1817" t="s">
        <v>1096</v>
      </c>
      <c r="F9" s="1825">
        <f ca="1">INDIRECT("'数据-取费表'!w"&amp;$G$1)</f>
        <v>0.15</v>
      </c>
      <c r="G9" s="773"/>
      <c r="H9" s="1823"/>
      <c r="I9" s="3475"/>
      <c r="J9" s="1824"/>
      <c r="K9" s="1821"/>
      <c r="L9" s="1828" t="s">
        <v>1096</v>
      </c>
      <c r="M9" s="1833">
        <f ca="1">INDIRECT("'数据-取费表'!ab"&amp;$G$1)</f>
        <v>0</v>
      </c>
    </row>
    <row r="10" spans="1:37" ht="18" customHeight="1">
      <c r="A10" s="1814" t="s">
        <v>829</v>
      </c>
      <c r="B10" s="1826" t="s">
        <v>1097</v>
      </c>
      <c r="C10" s="292">
        <f ca="1">ROUND(IF(F10="押一",C6/12*F11,IF(F10="押二",C6/12*2*F11,IF(F10="押三",C6/12*3*F11,C11*F11))),0)</f>
        <v>0</v>
      </c>
      <c r="D10" s="1827" t="s">
        <v>1098</v>
      </c>
      <c r="E10" s="1828" t="s">
        <v>1099</v>
      </c>
      <c r="F10" s="1829" t="s">
        <v>2087</v>
      </c>
      <c r="G10" s="773"/>
      <c r="H10" s="1814" t="s">
        <v>829</v>
      </c>
      <c r="I10" s="1826" t="s">
        <v>1097</v>
      </c>
      <c r="J10" s="1889">
        <f ca="1">ROUND(IF(M10="押一",J6/12*M11,IF(M10="押二",J6/12*2*M11,IF(M10="押三",J6/12*3*M11,J11*M11))),0)</f>
        <v>0</v>
      </c>
      <c r="K10" s="1962" t="s">
        <v>2088</v>
      </c>
      <c r="L10" s="1828" t="s">
        <v>1099</v>
      </c>
      <c r="M10" s="1829"/>
    </row>
    <row r="11" spans="1:37" ht="18" customHeight="1">
      <c r="A11" s="1830"/>
      <c r="B11" s="1831" t="s">
        <v>2089</v>
      </c>
      <c r="C11" s="1832"/>
      <c r="D11" s="1821"/>
      <c r="E11" s="1828" t="s">
        <v>1103</v>
      </c>
      <c r="F11" s="1833">
        <f ca="1">'数据-取费表'!B39</f>
        <v>1.4999999999999999E-2</v>
      </c>
      <c r="G11" s="773"/>
      <c r="H11" s="1834"/>
      <c r="I11" s="1831" t="s">
        <v>2090</v>
      </c>
      <c r="J11" s="1832"/>
      <c r="K11" s="1963"/>
      <c r="L11" s="1828" t="s">
        <v>1103</v>
      </c>
      <c r="M11" s="1964">
        <f ca="1">'数据-取费表'!B39</f>
        <v>1.4999999999999999E-2</v>
      </c>
    </row>
    <row r="12" spans="1:37" ht="18" customHeight="1">
      <c r="A12" s="1835" t="s">
        <v>874</v>
      </c>
      <c r="B12" s="1836" t="s">
        <v>1104</v>
      </c>
      <c r="C12" s="1837"/>
      <c r="D12" s="1838"/>
      <c r="E12" s="1839"/>
      <c r="F12" s="1840"/>
      <c r="G12" s="773"/>
      <c r="H12" s="1835" t="s">
        <v>874</v>
      </c>
      <c r="I12" s="1836" t="s">
        <v>1104</v>
      </c>
      <c r="J12" s="1837"/>
      <c r="K12" s="1965"/>
      <c r="L12" s="1839"/>
      <c r="M12" s="1966"/>
    </row>
    <row r="13" spans="1:37" ht="18" customHeight="1">
      <c r="A13" s="1841">
        <v>2</v>
      </c>
      <c r="B13" s="1842" t="s">
        <v>1105</v>
      </c>
      <c r="C13" s="1843">
        <f ca="1">ROUND(C29*F13,0)</f>
        <v>17292675</v>
      </c>
      <c r="D13" s="1844" t="s">
        <v>1106</v>
      </c>
      <c r="E13" s="1844" t="s">
        <v>1107</v>
      </c>
      <c r="F13" s="1845">
        <f ca="1">INDIRECT("'数据-取费表'!y"&amp;$G$1)</f>
        <v>0.71</v>
      </c>
      <c r="G13" s="773"/>
      <c r="H13" s="1841">
        <v>2</v>
      </c>
      <c r="I13" s="1842" t="s">
        <v>1105</v>
      </c>
      <c r="J13" s="1967">
        <f ca="1">ROUND(J14*J15,0)</f>
        <v>0</v>
      </c>
      <c r="K13" s="1867" t="s">
        <v>1106</v>
      </c>
      <c r="L13" s="1968"/>
      <c r="M13" s="1969"/>
    </row>
    <row r="14" spans="1:37" ht="18" customHeight="1">
      <c r="A14" s="1846" t="s">
        <v>848</v>
      </c>
      <c r="B14" s="1817" t="s">
        <v>1108</v>
      </c>
      <c r="C14" s="1847">
        <f ca="1">ROUND(INDIRECT("'数据-取费表'!l"&amp;$G$1)*F43+'数据-取费表'!L14*INDIRECT("'数据-取费表'!S"&amp;$G$1),0)</f>
        <v>18192870</v>
      </c>
      <c r="D14" s="1848" t="s">
        <v>1109</v>
      </c>
      <c r="E14" s="1849"/>
      <c r="F14" s="1850"/>
      <c r="G14" s="773"/>
      <c r="H14" s="1846" t="s">
        <v>825</v>
      </c>
      <c r="I14" s="1817" t="s">
        <v>1110</v>
      </c>
      <c r="J14" s="293">
        <f ca="1">C29</f>
        <v>24355880</v>
      </c>
      <c r="K14" s="1970"/>
      <c r="L14" s="1971"/>
      <c r="M14" s="1972"/>
    </row>
    <row r="15" spans="1:37" s="1785" customFormat="1" ht="18" customHeight="1">
      <c r="A15" s="1846" t="s">
        <v>852</v>
      </c>
      <c r="B15" s="1817" t="s">
        <v>1037</v>
      </c>
      <c r="C15" s="293">
        <f ca="1">ROUND(C14*F15,0)</f>
        <v>545786</v>
      </c>
      <c r="D15" s="1851" t="s">
        <v>1111</v>
      </c>
      <c r="E15" s="1851" t="s">
        <v>1112</v>
      </c>
      <c r="F15" s="1852">
        <f>'数据-取费表'!B33</f>
        <v>0.03</v>
      </c>
      <c r="G15" s="1853"/>
      <c r="H15" s="1854" t="s">
        <v>829</v>
      </c>
      <c r="I15" s="1839" t="s">
        <v>1107</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855</v>
      </c>
      <c r="B16" s="1817" t="s">
        <v>1040</v>
      </c>
      <c r="C16" s="293">
        <f ca="1">ROUND(INDIRECT("'数据-取费表'!l"&amp;$G$1)*F43*F16,0)</f>
        <v>0</v>
      </c>
      <c r="D16" s="1817" t="s">
        <v>1111</v>
      </c>
      <c r="E16" s="1817" t="s">
        <v>1112</v>
      </c>
      <c r="F16" s="1855">
        <f ca="1">IF(INDIRECT("'数据-取费表'!c"&amp;$G$1)="住宅",'数据-取费表'!B34,0)</f>
        <v>0</v>
      </c>
      <c r="G16" s="773"/>
      <c r="H16" s="1841" t="s">
        <v>1113</v>
      </c>
      <c r="I16" s="1842" t="s">
        <v>1114</v>
      </c>
      <c r="J16" s="1843">
        <f ca="1">ROUND(J17+J22+J23+J24,0)</f>
        <v>486260</v>
      </c>
      <c r="K16" s="1867" t="s">
        <v>1115</v>
      </c>
      <c r="L16" s="1868"/>
      <c r="M16" s="1813"/>
    </row>
    <row r="17" spans="1:37" s="1785" customFormat="1" ht="18" customHeight="1">
      <c r="A17" s="1846" t="s">
        <v>1116</v>
      </c>
      <c r="B17" s="1817" t="s">
        <v>1117</v>
      </c>
      <c r="C17" s="293">
        <f ca="1">ROUND(F17*(F43+INDIRECT("'数据-取费表'!S"&amp;$G$1)),0)</f>
        <v>1212858</v>
      </c>
      <c r="D17" s="1817" t="s">
        <v>1118</v>
      </c>
      <c r="E17" s="1817" t="s">
        <v>1119</v>
      </c>
      <c r="F17" s="1856">
        <f>'数据-取费表'!B35</f>
        <v>200</v>
      </c>
      <c r="G17" s="1853"/>
      <c r="H17" s="1846" t="s">
        <v>825</v>
      </c>
      <c r="I17" s="1817" t="s">
        <v>1120</v>
      </c>
      <c r="J17" s="1870">
        <f ca="1">ROUND(IF(AND(项目基本情况!B11="自然人",项目基本情况!B10="北京市"),J6*M17/(1+'数据-取费表'!C42),J18+J19+J20),0)</f>
        <v>242701</v>
      </c>
      <c r="K17" s="1848" t="s">
        <v>1121</v>
      </c>
      <c r="L17" s="1871" t="s">
        <v>1122</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1123</v>
      </c>
      <c r="B18" s="1817" t="s">
        <v>1046</v>
      </c>
      <c r="C18" s="293">
        <f ca="1">ROUND(C14*F18,0)</f>
        <v>272893</v>
      </c>
      <c r="D18" s="1817" t="s">
        <v>1111</v>
      </c>
      <c r="E18" s="1817" t="s">
        <v>1112</v>
      </c>
      <c r="F18" s="1855">
        <f>'数据-取费表'!B36</f>
        <v>1.4999999999999999E-2</v>
      </c>
      <c r="G18" s="1853"/>
      <c r="H18" s="1846" t="s">
        <v>848</v>
      </c>
      <c r="I18" s="1817" t="s">
        <v>1124</v>
      </c>
      <c r="J18" s="293">
        <f ca="1">ROUND(J6*M18/(1+'数据-取费表'!C42),0)</f>
        <v>0</v>
      </c>
      <c r="K18" s="1871" t="s">
        <v>1125</v>
      </c>
      <c r="L18" s="1817" t="s">
        <v>1112</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825</v>
      </c>
      <c r="B19" s="1817" t="s">
        <v>1126</v>
      </c>
      <c r="C19" s="293">
        <f ca="1">SUM(C14:C18)</f>
        <v>20224407</v>
      </c>
      <c r="D19" s="1857" t="s">
        <v>1127</v>
      </c>
      <c r="E19" s="295"/>
      <c r="F19" s="1856"/>
      <c r="G19" s="773"/>
      <c r="H19" s="1846" t="s">
        <v>852</v>
      </c>
      <c r="I19" s="1817" t="s">
        <v>1128</v>
      </c>
      <c r="J19" s="293">
        <f ca="1">IF(K19="按租金收入计税",ROUND(J6*M19/(1+'数据-取费表'!C42),0),ROUND(C29*M19*0.7,0))</f>
        <v>204589</v>
      </c>
      <c r="K19" s="1874" t="s">
        <v>1129</v>
      </c>
      <c r="L19" s="1817" t="s">
        <v>1112</v>
      </c>
      <c r="M19" s="1855">
        <f>IF(K19="按租金收入计税",'数据-取费表'!B51,'数据-取费表'!B50)</f>
        <v>1.2E-2</v>
      </c>
    </row>
    <row r="20" spans="1:37" s="1785" customFormat="1" ht="18" customHeight="1">
      <c r="A20" s="1846" t="s">
        <v>829</v>
      </c>
      <c r="B20" s="1817" t="s">
        <v>1130</v>
      </c>
      <c r="C20" s="293">
        <f ca="1">ROUND(C19*F20,0)</f>
        <v>404488</v>
      </c>
      <c r="D20" s="1858" t="s">
        <v>1131</v>
      </c>
      <c r="E20" s="1817" t="s">
        <v>1112</v>
      </c>
      <c r="F20" s="1855">
        <f>'数据-取费表'!B37</f>
        <v>0.02</v>
      </c>
      <c r="G20" s="1853"/>
      <c r="H20" s="1846" t="s">
        <v>855</v>
      </c>
      <c r="I20" s="1816" t="s">
        <v>1132</v>
      </c>
      <c r="J20" s="1876">
        <f ca="1">ROUND(M20*M21,0)</f>
        <v>38112</v>
      </c>
      <c r="K20" s="1877" t="s">
        <v>1133</v>
      </c>
      <c r="L20" s="1817" t="s">
        <v>1134</v>
      </c>
      <c r="M20" s="186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874</v>
      </c>
      <c r="B21" s="1817" t="s">
        <v>1135</v>
      </c>
      <c r="C21" s="293" t="s">
        <v>124</v>
      </c>
      <c r="D21" s="1858" t="s">
        <v>1136</v>
      </c>
      <c r="E21" s="1817" t="s">
        <v>1137</v>
      </c>
      <c r="F21" s="1855">
        <f>'数据-取费表'!B38</f>
        <v>0.02</v>
      </c>
      <c r="G21" s="1853"/>
      <c r="H21" s="1859"/>
      <c r="I21" s="1976"/>
      <c r="J21" s="1880"/>
      <c r="K21" s="1881"/>
      <c r="L21" s="1817" t="s">
        <v>1138</v>
      </c>
      <c r="M21" s="1818">
        <f ca="1">INDIRECT("'数据-取费表'!r"&amp;$G$1)</f>
        <v>2117.33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877</v>
      </c>
      <c r="B22" s="1817" t="s">
        <v>1139</v>
      </c>
      <c r="C22" s="293"/>
      <c r="D22" s="1857" t="str">
        <f>IF(F23&lt;=1,"单利计息。","复利计息。")&amp;"建造成本、管理费用、销售费用产生的利息。"</f>
        <v>复利计息。建造成本、管理费用、销售费用产生的利息。</v>
      </c>
      <c r="E22" s="295"/>
      <c r="F22" s="1856"/>
      <c r="G22" s="773"/>
      <c r="H22" s="1846" t="s">
        <v>829</v>
      </c>
      <c r="I22" s="1817" t="s">
        <v>1140</v>
      </c>
      <c r="J22" s="293">
        <f ca="1">ROUND(J14*M22,0)</f>
        <v>243559</v>
      </c>
      <c r="K22" s="1871" t="s">
        <v>1141</v>
      </c>
      <c r="L22" s="1817" t="s">
        <v>1112</v>
      </c>
      <c r="M22" s="1883">
        <f ca="1">INDIRECT("'数据-取费表'!Ak"&amp;$G$1)</f>
        <v>0.01</v>
      </c>
    </row>
    <row r="23" spans="1:37" s="1785" customFormat="1" ht="18" customHeight="1">
      <c r="A23" s="1846" t="s">
        <v>848</v>
      </c>
      <c r="B23" s="1817" t="s">
        <v>1142</v>
      </c>
      <c r="C23" s="293">
        <f ca="1">IF('数据-取费表'!B22&lt;=1,ROUND(C19*F24*F23/2,0)+ROUND(C20*F24*F23/2,0),ROUND(C19*(POWER((1+F24),F23/2)-1),0)+ROUND(C20*(POWER((1+F24),F23/2)-1),0))</f>
        <v>866413</v>
      </c>
      <c r="D23" s="1860" t="str">
        <f>IF(F23&lt;=1,"(建造成本+管理费用)×利率×(建设周期÷2)","(建造成本+管理费用)×((1+利率)^(建设周期÷2)-1)")</f>
        <v>(建造成本+管理费用)×((1+利率)^(建设周期÷2)-1)</v>
      </c>
      <c r="E23" s="1817" t="s">
        <v>1143</v>
      </c>
      <c r="F23" s="1861">
        <f>'数据-取费表'!B20</f>
        <v>2</v>
      </c>
      <c r="G23" s="1853"/>
      <c r="H23" s="1846" t="s">
        <v>874</v>
      </c>
      <c r="I23" s="1817" t="s">
        <v>1144</v>
      </c>
      <c r="J23" s="293">
        <f ca="1">ROUND(J13*M23,0)</f>
        <v>0</v>
      </c>
      <c r="K23" s="1871" t="s">
        <v>1145</v>
      </c>
      <c r="L23" s="1817" t="s">
        <v>1112</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852</v>
      </c>
      <c r="B24" s="1817" t="s">
        <v>1146</v>
      </c>
      <c r="C24" s="293">
        <f ca="1">ROUND(IF('数据-取费表'!B22&lt;=1,F21*F24*F23/2,F21*(POWER((1+F24),F23/2)-1)),4)</f>
        <v>8.0000000000000004E-4</v>
      </c>
      <c r="D24" s="1860" t="str">
        <f>IF(F23&lt;=1,"销售费用×利率×(建设周期÷2)","销售费用×((1+利率)^(建设周期÷2)-1)")</f>
        <v>销售费用×((1+利率)^(建设周期÷2)-1)</v>
      </c>
      <c r="E24" s="1817" t="s">
        <v>1147</v>
      </c>
      <c r="F24" s="1862">
        <f ca="1">'数据-取费表'!B40</f>
        <v>4.2000000000000003E-2</v>
      </c>
      <c r="G24" s="1853"/>
      <c r="H24" s="1854" t="s">
        <v>877</v>
      </c>
      <c r="I24" s="1839" t="s">
        <v>1130</v>
      </c>
      <c r="J24" s="1863">
        <f ca="1">ROUND(J5*M24,0)</f>
        <v>0</v>
      </c>
      <c r="K24" s="1864" t="s">
        <v>1148</v>
      </c>
      <c r="L24" s="1839" t="s">
        <v>1112</v>
      </c>
      <c r="M24" s="1840">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881</v>
      </c>
      <c r="B25" s="1817" t="s">
        <v>1149</v>
      </c>
      <c r="C25" s="293"/>
      <c r="D25" s="1857" t="s">
        <v>1150</v>
      </c>
      <c r="E25" s="295"/>
      <c r="F25" s="1856"/>
      <c r="G25" s="773"/>
      <c r="H25" s="1841" t="s">
        <v>1151</v>
      </c>
      <c r="I25" s="1885" t="s">
        <v>1152</v>
      </c>
      <c r="J25" s="1843">
        <f ca="1">J5-J16</f>
        <v>-486260</v>
      </c>
      <c r="K25" s="1886" t="s">
        <v>1153</v>
      </c>
      <c r="L25" s="1887"/>
      <c r="M25" s="1888"/>
    </row>
    <row r="26" spans="1:37" ht="18" customHeight="1">
      <c r="A26" s="1846" t="s">
        <v>848</v>
      </c>
      <c r="B26" s="1817" t="s">
        <v>1154</v>
      </c>
      <c r="C26" s="293">
        <f ca="1">ROUND((C19+C20)*F26,0)</f>
        <v>1031445</v>
      </c>
      <c r="D26" s="1858" t="s">
        <v>1155</v>
      </c>
      <c r="E26" s="1828" t="s">
        <v>1156</v>
      </c>
      <c r="F26" s="1825">
        <f ca="1">INDIRECT("'数据-取费表'!q"&amp;$G$1)</f>
        <v>0.05</v>
      </c>
      <c r="G26" s="773"/>
      <c r="H26" s="1808" t="s">
        <v>1157</v>
      </c>
      <c r="I26" s="1809" t="s">
        <v>1158</v>
      </c>
      <c r="J26" s="1889">
        <f ca="1">IF(J5&lt;&gt;0,ROUND(J25*(1-((1+M28)/(1+M26))^M27)/(M26-M28),0),0)</f>
        <v>0</v>
      </c>
      <c r="K26" s="1877" t="s">
        <v>1159</v>
      </c>
      <c r="L26" s="1817" t="s">
        <v>1160</v>
      </c>
      <c r="M26" s="1825">
        <f ca="1">INDIRECT("'数据-取费表'!I"&amp;$G$1)</f>
        <v>5.5E-2</v>
      </c>
    </row>
    <row r="27" spans="1:37" ht="18" customHeight="1">
      <c r="A27" s="1846" t="s">
        <v>852</v>
      </c>
      <c r="B27" s="1817" t="s">
        <v>1161</v>
      </c>
      <c r="C27" s="293">
        <f ca="1">ROUND(F21*F26,4)</f>
        <v>1E-3</v>
      </c>
      <c r="D27" s="1858" t="s">
        <v>1162</v>
      </c>
      <c r="E27" s="1851"/>
      <c r="F27" s="1852"/>
      <c r="G27" s="773"/>
      <c r="H27" s="1823"/>
      <c r="I27" s="1891"/>
      <c r="J27" s="1824"/>
      <c r="K27" s="1892" t="s">
        <v>1163</v>
      </c>
      <c r="L27" s="1817" t="s">
        <v>1164</v>
      </c>
      <c r="M27" s="1893">
        <f ca="1">INDIRECT("'数据-取费表'!ag"&amp;$G$1)</f>
        <v>0</v>
      </c>
    </row>
    <row r="28" spans="1:37" s="1785" customFormat="1" ht="18" customHeight="1">
      <c r="A28" s="1846" t="s">
        <v>882</v>
      </c>
      <c r="B28" s="1817" t="s">
        <v>1165</v>
      </c>
      <c r="C28" s="293">
        <f>ROUND(F28/(1+'数据-取费表'!C42),4)</f>
        <v>5.33E-2</v>
      </c>
      <c r="D28" s="1858" t="s">
        <v>1166</v>
      </c>
      <c r="E28" s="1817" t="s">
        <v>1112</v>
      </c>
      <c r="F28" s="1855">
        <f>'数据-取费表'!B41</f>
        <v>5.6000000000000001E-2</v>
      </c>
      <c r="G28" s="1853"/>
      <c r="H28" s="1830"/>
      <c r="I28" s="1895"/>
      <c r="J28" s="1843"/>
      <c r="K28" s="1881"/>
      <c r="L28" s="1817" t="s">
        <v>1167</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1071</v>
      </c>
      <c r="B29" s="1839" t="s">
        <v>1168</v>
      </c>
      <c r="C29" s="1863">
        <f ca="1">ROUND((C19+C20+C23+C26)/(1-F21-C24-C27-C28),0)</f>
        <v>24355880</v>
      </c>
      <c r="D29" s="1864"/>
      <c r="E29" s="1839"/>
      <c r="F29" s="1865"/>
      <c r="G29" s="1853"/>
      <c r="H29" s="1866" t="s">
        <v>1169</v>
      </c>
      <c r="I29" s="1896" t="s">
        <v>1170</v>
      </c>
      <c r="J29" s="1897">
        <f ca="1">ROUND(J26/(1+F40)^F41,0)</f>
        <v>0</v>
      </c>
      <c r="K29" s="1898" t="s">
        <v>1171</v>
      </c>
      <c r="L29" s="1899"/>
      <c r="M29" s="1900">
        <f ca="1">INDIRECT("'数据-取费表'!k"&amp;$G$1)</f>
        <v>6064.29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1113</v>
      </c>
      <c r="B30" s="1842" t="s">
        <v>1114</v>
      </c>
      <c r="C30" s="1843">
        <f ca="1">ROUND(C31+C36+C37+C38,0)</f>
        <v>1015265</v>
      </c>
      <c r="D30" s="1867" t="s">
        <v>1115</v>
      </c>
      <c r="E30" s="1868"/>
      <c r="F30" s="1813"/>
      <c r="G30" s="773"/>
      <c r="H30" s="1869"/>
      <c r="I30" s="1977"/>
      <c r="J30" s="1978"/>
      <c r="K30" s="1979"/>
      <c r="L30" s="1980"/>
      <c r="M30" s="1981"/>
    </row>
    <row r="31" spans="1:37" ht="18" customHeight="1">
      <c r="A31" s="1846" t="s">
        <v>825</v>
      </c>
      <c r="B31" s="1817" t="s">
        <v>1120</v>
      </c>
      <c r="C31" s="1870">
        <f ca="1">ROUND(IF(AND(项目基本情况!B11="自然人",项目基本情况!B10="北京市"),C6*F31/(1+'数据-取费表'!C42),C32+C33+C34),0)</f>
        <v>705926</v>
      </c>
      <c r="D31" s="1848" t="s">
        <v>1121</v>
      </c>
      <c r="E31" s="1871" t="s">
        <v>1122</v>
      </c>
      <c r="F31" s="1872" t="str">
        <f>IF(项目基本情况!B11="企业","——",IF('数据-取费表'!B10="住宅",IF(F6*F7*F8/12/(1+'数据-取费表'!F30)&gt;100000,4%,2.5%),IF(F6*F7*F8/12/(1+'数据-取费表'!F30)&gt;100000,12%,7%)))</f>
        <v>——</v>
      </c>
      <c r="G31" s="773"/>
      <c r="H31" s="1873" t="s">
        <v>1172</v>
      </c>
      <c r="I31" s="1977"/>
      <c r="J31" s="1978"/>
      <c r="K31" s="1979"/>
      <c r="L31" s="1980"/>
      <c r="M31" s="1981"/>
    </row>
    <row r="32" spans="1:37" ht="18" customHeight="1">
      <c r="A32" s="1846" t="s">
        <v>848</v>
      </c>
      <c r="B32" s="1817" t="s">
        <v>1124</v>
      </c>
      <c r="C32" s="293">
        <f ca="1">IF(项目基本情况!B11="自然人","——",ROUND(C6*F32/(1+'数据-取费表'!C42),0))</f>
        <v>212486</v>
      </c>
      <c r="D32" s="1871" t="s">
        <v>1125</v>
      </c>
      <c r="E32" s="1817" t="s">
        <v>1112</v>
      </c>
      <c r="F32" s="1862">
        <f>'数据-取费表'!B41</f>
        <v>5.6000000000000001E-2</v>
      </c>
      <c r="G32" s="773"/>
      <c r="H32" s="1869"/>
      <c r="I32" s="1977"/>
      <c r="J32" s="1978"/>
      <c r="K32" s="1979"/>
      <c r="L32" s="1980"/>
      <c r="M32" s="1981"/>
    </row>
    <row r="33" spans="1:18" ht="18" customHeight="1">
      <c r="A33" s="1846" t="s">
        <v>852</v>
      </c>
      <c r="B33" s="1817" t="s">
        <v>1128</v>
      </c>
      <c r="C33" s="293">
        <f ca="1">IF(项目基本情况!B11="自然人","——",IF(D33="按租金收入计税",ROUND(C6*F33/(1+'数据-取费表'!C42),0),IF(D33="按房产原值计税",ROUND(C29*F33*0.7,0),INDIRECT("'数据-取费表'!Aj"&amp;$G$1))))</f>
        <v>455328</v>
      </c>
      <c r="D33" s="1874" t="s">
        <v>1173</v>
      </c>
      <c r="E33" s="1817" t="s">
        <v>1112</v>
      </c>
      <c r="F33" s="1855">
        <f>IF(D33="按票据","——",IF(D33="按租金收入计税",'数据-取费表'!B51,'数据-取费表'!B50))</f>
        <v>0.12</v>
      </c>
      <c r="G33" s="773"/>
      <c r="H33" s="1875"/>
      <c r="I33" s="1977"/>
      <c r="J33" s="1978"/>
      <c r="K33" s="1982"/>
      <c r="L33" s="1875"/>
      <c r="M33" s="1875"/>
    </row>
    <row r="34" spans="1:18" ht="18" customHeight="1">
      <c r="A34" s="1814" t="s">
        <v>855</v>
      </c>
      <c r="B34" s="1816" t="s">
        <v>1132</v>
      </c>
      <c r="C34" s="1876">
        <f ca="1">IF(项目基本情况!B11="自然人","——",ROUND(F34*F35,))</f>
        <v>38112</v>
      </c>
      <c r="D34" s="1877" t="s">
        <v>1133</v>
      </c>
      <c r="E34" s="1817" t="s">
        <v>1134</v>
      </c>
      <c r="F34" s="1861">
        <f>'数据-取费表'!B52</f>
        <v>18</v>
      </c>
      <c r="G34" s="773"/>
      <c r="H34" s="1869"/>
      <c r="I34" s="1977"/>
      <c r="J34" s="1978"/>
      <c r="K34" s="1983"/>
      <c r="L34" s="1984"/>
      <c r="M34" s="1984"/>
    </row>
    <row r="35" spans="1:18" ht="18" customHeight="1">
      <c r="A35" s="1878"/>
      <c r="B35" s="1879"/>
      <c r="C35" s="1880"/>
      <c r="D35" s="1881"/>
      <c r="E35" s="1817" t="s">
        <v>1138</v>
      </c>
      <c r="F35" s="1818">
        <f ca="1">INDIRECT("'数据-取费表'!r"&amp;$G$1)</f>
        <v>2117.33</v>
      </c>
      <c r="G35" s="773"/>
      <c r="H35" s="1869"/>
      <c r="I35" s="1977"/>
      <c r="J35" s="1978"/>
      <c r="K35" s="1982"/>
      <c r="L35" s="1875"/>
      <c r="M35" s="1875"/>
    </row>
    <row r="36" spans="1:18" ht="18" customHeight="1">
      <c r="A36" s="1882" t="s">
        <v>829</v>
      </c>
      <c r="B36" s="1817" t="s">
        <v>1140</v>
      </c>
      <c r="C36" s="293">
        <f ca="1">ROUND(C29*F36,0)</f>
        <v>243559</v>
      </c>
      <c r="D36" s="1871" t="s">
        <v>1174</v>
      </c>
      <c r="E36" s="1817" t="s">
        <v>1112</v>
      </c>
      <c r="F36" s="1883">
        <f ca="1">INDIRECT("'数据-取费表'!Ak"&amp;$G$1)</f>
        <v>0.01</v>
      </c>
      <c r="G36" s="773"/>
      <c r="H36" s="1875"/>
      <c r="I36" s="1977"/>
      <c r="J36" s="1978"/>
      <c r="K36" s="1985"/>
      <c r="L36" s="1875"/>
      <c r="M36" s="1875"/>
    </row>
    <row r="37" spans="1:18" ht="18" customHeight="1">
      <c r="A37" s="1846" t="s">
        <v>874</v>
      </c>
      <c r="B37" s="1817" t="s">
        <v>1144</v>
      </c>
      <c r="C37" s="293">
        <f ca="1">ROUND(C13*F37,0)</f>
        <v>25939</v>
      </c>
      <c r="D37" s="1871" t="s">
        <v>1145</v>
      </c>
      <c r="E37" s="1817" t="s">
        <v>1112</v>
      </c>
      <c r="F37" s="1884">
        <f ca="1">INDIRECT("'数据-取费表'!Al"&amp;$G$1)</f>
        <v>1.5E-3</v>
      </c>
      <c r="G37" s="773"/>
      <c r="H37" s="1875"/>
      <c r="I37" s="1977"/>
      <c r="J37" s="1978"/>
      <c r="K37" s="1985"/>
      <c r="L37" s="1875"/>
      <c r="M37" s="1875"/>
    </row>
    <row r="38" spans="1:18" ht="18" customHeight="1">
      <c r="A38" s="1854" t="s">
        <v>877</v>
      </c>
      <c r="B38" s="1839" t="s">
        <v>1130</v>
      </c>
      <c r="C38" s="1863">
        <f ca="1">ROUND(C5*F38,1)</f>
        <v>39841.199999999997</v>
      </c>
      <c r="D38" s="1864" t="s">
        <v>1148</v>
      </c>
      <c r="E38" s="1839" t="s">
        <v>1112</v>
      </c>
      <c r="F38" s="1840">
        <f ca="1">INDIRECT("'数据-取费表'!Am"&amp;$G$1)</f>
        <v>0.01</v>
      </c>
      <c r="G38" s="773"/>
      <c r="H38" s="1875"/>
      <c r="I38" s="1977"/>
      <c r="J38" s="1978"/>
      <c r="K38" s="1986"/>
      <c r="L38" s="1875"/>
      <c r="M38" s="1875"/>
    </row>
    <row r="39" spans="1:18" ht="24.6" customHeight="1">
      <c r="A39" s="1841" t="s">
        <v>1151</v>
      </c>
      <c r="B39" s="1885" t="s">
        <v>1152</v>
      </c>
      <c r="C39" s="1843">
        <f ca="1">C5-C30</f>
        <v>2968855</v>
      </c>
      <c r="D39" s="1886" t="s">
        <v>1153</v>
      </c>
      <c r="E39" s="1887"/>
      <c r="F39" s="1888"/>
      <c r="G39" s="773"/>
      <c r="H39" s="1875"/>
      <c r="I39" s="1977"/>
      <c r="J39" s="1978"/>
      <c r="K39" s="1986"/>
      <c r="L39" s="1875"/>
      <c r="M39" s="1875"/>
    </row>
    <row r="40" spans="1:18" ht="18" customHeight="1">
      <c r="A40" s="1808" t="s">
        <v>1157</v>
      </c>
      <c r="B40" s="1809" t="s">
        <v>1175</v>
      </c>
      <c r="C40" s="1889">
        <f ca="1">ROUND(C39*(1-((1+F42)/(1+F40))^F41)/(F40-F42),0)</f>
        <v>38062647</v>
      </c>
      <c r="D40" s="1877" t="s">
        <v>1159</v>
      </c>
      <c r="E40" s="1817" t="s">
        <v>1160</v>
      </c>
      <c r="F40" s="1825">
        <f ca="1">INDIRECT("'数据-取费表'!I"&amp;$G$1)</f>
        <v>5.5E-2</v>
      </c>
      <c r="G40" s="773"/>
      <c r="H40" s="1890"/>
      <c r="I40" s="1977"/>
      <c r="J40" s="1978"/>
      <c r="K40" s="1986"/>
      <c r="L40" s="1890"/>
      <c r="M40" s="1890"/>
    </row>
    <row r="41" spans="1:18" ht="18" customHeight="1">
      <c r="A41" s="1823"/>
      <c r="B41" s="1891"/>
      <c r="C41" s="1824"/>
      <c r="D41" s="1892" t="s">
        <v>1163</v>
      </c>
      <c r="E41" s="1817" t="s">
        <v>1164</v>
      </c>
      <c r="F41" s="1893">
        <f ca="1">IF(INDIRECT("'数据-取费表'!af"&amp;$G$1)=0,INDIRECT("'数据-取费表'!ae"&amp;$G$1),INDIRECT("'数据-取费表'!af"&amp;$G$1))</f>
        <v>16.829999999999998</v>
      </c>
      <c r="G41" s="773"/>
      <c r="H41" s="1894"/>
      <c r="I41" s="1977"/>
      <c r="J41" s="1978"/>
      <c r="K41" s="1985"/>
      <c r="L41" s="1894"/>
      <c r="M41" s="1894"/>
    </row>
    <row r="42" spans="1:18" ht="18" customHeight="1">
      <c r="A42" s="1830"/>
      <c r="B42" s="1895"/>
      <c r="C42" s="1843"/>
      <c r="D42" s="1881"/>
      <c r="E42" s="1817" t="s">
        <v>1167</v>
      </c>
      <c r="F42" s="1825">
        <f ca="1">INDIRECT("'数据-取费表'!v"&amp;$G$1)</f>
        <v>2.5000000000000001E-2</v>
      </c>
      <c r="G42" s="773"/>
      <c r="H42" s="1894"/>
      <c r="I42" s="1977"/>
      <c r="J42" s="1978"/>
      <c r="K42" s="1985"/>
      <c r="L42" s="1894"/>
      <c r="M42" s="1894"/>
    </row>
    <row r="43" spans="1:18" ht="18" customHeight="1">
      <c r="A43" s="1866" t="s">
        <v>1169</v>
      </c>
      <c r="B43" s="1896" t="s">
        <v>1176</v>
      </c>
      <c r="C43" s="1897">
        <f ca="1">ROUND(C40/F43,0)</f>
        <v>6277</v>
      </c>
      <c r="D43" s="1898" t="s">
        <v>1177</v>
      </c>
      <c r="E43" s="1899" t="s">
        <v>1178</v>
      </c>
      <c r="F43" s="1900">
        <f ca="1">INDIRECT("'数据-取费表'!k"&amp;$G$1)</f>
        <v>6064.29</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f ca="1">C68-C40</f>
        <v>-68236095</v>
      </c>
      <c r="D45" s="1904" t="s">
        <v>2091</v>
      </c>
      <c r="E45" s="1901"/>
      <c r="F45" s="1901"/>
      <c r="O45" s="1988" t="s">
        <v>1179</v>
      </c>
      <c r="P45" s="1890"/>
      <c r="Q45" s="1890"/>
      <c r="R45" s="1890"/>
    </row>
    <row r="46" spans="1:18" s="773" customFormat="1">
      <c r="A46" s="1905" t="s">
        <v>1180</v>
      </c>
      <c r="C46" s="1906">
        <f ca="1">ROUND(C45/10000,0)</f>
        <v>-6824</v>
      </c>
      <c r="D46" s="1907" t="str">
        <f>C2</f>
        <v>万元</v>
      </c>
      <c r="I46" s="1989" t="s">
        <v>1181</v>
      </c>
      <c r="J46" s="1990"/>
      <c r="K46" s="1991"/>
      <c r="L46" s="1992" t="str">
        <f ca="1">IF(M47="住宅",0,IF(L48&gt;J51,L60,J60))</f>
        <v>0</v>
      </c>
      <c r="O46" s="1993" t="s">
        <v>1182</v>
      </c>
      <c r="P46" s="1994" t="s">
        <v>1183</v>
      </c>
      <c r="Q46" s="2038" t="s">
        <v>1184</v>
      </c>
      <c r="R46" s="2038" t="s">
        <v>1185</v>
      </c>
    </row>
    <row r="47" spans="1:18" s="773" customFormat="1">
      <c r="A47" s="1908" t="s">
        <v>1083</v>
      </c>
      <c r="B47" s="1909" t="s">
        <v>1084</v>
      </c>
      <c r="C47" s="1909" t="s">
        <v>1085</v>
      </c>
      <c r="D47" s="1909" t="s">
        <v>1086</v>
      </c>
      <c r="E47" s="1910" t="s">
        <v>1087</v>
      </c>
      <c r="F47" s="286"/>
      <c r="G47" s="1911"/>
      <c r="I47" s="1995" t="s">
        <v>1186</v>
      </c>
      <c r="J47" s="1996" t="s">
        <v>1187</v>
      </c>
      <c r="K47" s="1997" t="s">
        <v>1188</v>
      </c>
      <c r="L47" s="1998">
        <f ca="1">INDIRECT("'数据-取费表'!d"&amp;$G$1)</f>
        <v>40</v>
      </c>
      <c r="M47" s="1999" t="str">
        <f>IF(ISNUMBER(FIND("住宅",C1)),"住宅","非住宅")</f>
        <v>非住宅</v>
      </c>
      <c r="O47" s="2000" t="s">
        <v>931</v>
      </c>
      <c r="P47" s="2001" t="s">
        <v>1189</v>
      </c>
      <c r="Q47" s="2039">
        <f ca="1">C40+J29</f>
        <v>38062647</v>
      </c>
      <c r="R47" s="2039" t="s">
        <v>1190</v>
      </c>
    </row>
    <row r="48" spans="1:18" s="773" customFormat="1" ht="27.75">
      <c r="A48" s="1912" t="s">
        <v>1191</v>
      </c>
      <c r="B48" s="1809" t="s">
        <v>1088</v>
      </c>
      <c r="C48" s="294">
        <f ca="1">C49+C53+C55</f>
        <v>0</v>
      </c>
      <c r="D48" s="1913"/>
      <c r="E48" s="1914"/>
      <c r="F48" s="1915"/>
      <c r="G48" s="1911"/>
      <c r="H48" s="1916"/>
      <c r="I48" s="834" t="s">
        <v>1192</v>
      </c>
      <c r="J48" s="2002" t="s">
        <v>1193</v>
      </c>
      <c r="K48" s="2003" t="s">
        <v>1194</v>
      </c>
      <c r="L48" s="2004">
        <f ca="1">INDIRECT("'数据-取费表'!f"&amp;$G$1)</f>
        <v>16.829999999999998</v>
      </c>
      <c r="O48" s="2000" t="s">
        <v>935</v>
      </c>
      <c r="P48" s="2001" t="s">
        <v>1195</v>
      </c>
      <c r="Q48" s="2039" t="str">
        <f ca="1">J60</f>
        <v>0</v>
      </c>
      <c r="R48" s="2039" t="s">
        <v>1196</v>
      </c>
    </row>
    <row r="49" spans="1:18" s="773" customFormat="1">
      <c r="A49" s="1917" t="s">
        <v>1197</v>
      </c>
      <c r="B49" s="1918" t="s">
        <v>1198</v>
      </c>
      <c r="C49" s="1919">
        <f ca="1">ROUND(F49*F51*F50*(1-F52),0)</f>
        <v>0</v>
      </c>
      <c r="D49" s="1920" t="s">
        <v>2092</v>
      </c>
      <c r="E49" s="1921" t="s">
        <v>1199</v>
      </c>
      <c r="F49" s="1922"/>
      <c r="G49" s="1923"/>
      <c r="H49" s="1916"/>
      <c r="I49" s="834" t="s">
        <v>1200</v>
      </c>
      <c r="J49" s="2005">
        <v>2002</v>
      </c>
      <c r="K49" s="2003" t="s">
        <v>1201</v>
      </c>
      <c r="L49" s="2006"/>
      <c r="O49" s="2007" t="s">
        <v>1202</v>
      </c>
      <c r="P49" s="2001" t="s">
        <v>1203</v>
      </c>
      <c r="Q49" s="2039">
        <f ca="1">C29</f>
        <v>24355880</v>
      </c>
      <c r="R49" s="2039" t="s">
        <v>1190</v>
      </c>
    </row>
    <row r="50" spans="1:18" s="773" customFormat="1">
      <c r="A50" s="1924"/>
      <c r="B50" s="1925"/>
      <c r="C50" s="1926"/>
      <c r="D50" s="1927"/>
      <c r="E50" s="1928" t="s">
        <v>1094</v>
      </c>
      <c r="F50" s="1929">
        <f ca="1">F7</f>
        <v>217</v>
      </c>
      <c r="H50" s="1916"/>
      <c r="I50" s="834" t="s">
        <v>1204</v>
      </c>
      <c r="J50" s="2008">
        <f>SUMPRODUCT((I63:I65=J47)*(J62:L62=J48)*(J63:L65))</f>
        <v>60</v>
      </c>
      <c r="K50" s="2003" t="s">
        <v>1205</v>
      </c>
      <c r="L50" s="2006"/>
      <c r="M50" s="2009"/>
      <c r="O50" s="2007" t="s">
        <v>1206</v>
      </c>
      <c r="P50" s="2001" t="s">
        <v>1207</v>
      </c>
      <c r="Q50" s="2040" t="e">
        <f ca="1">J58</f>
        <v>#VALUE!</v>
      </c>
      <c r="R50" s="2039"/>
    </row>
    <row r="51" spans="1:18" s="773" customFormat="1">
      <c r="A51" s="1930"/>
      <c r="B51" s="1925"/>
      <c r="C51" s="1926"/>
      <c r="D51" s="1927"/>
      <c r="E51" s="1931" t="s">
        <v>1095</v>
      </c>
      <c r="F51" s="1818">
        <f ca="1">F8</f>
        <v>12</v>
      </c>
      <c r="I51" s="2010" t="s">
        <v>1208</v>
      </c>
      <c r="J51" s="2011">
        <f>IF(J49="",J50,J49+J50-YEAR('数据-取费表'!B2))</f>
        <v>40</v>
      </c>
      <c r="K51" s="2012" t="s">
        <v>1209</v>
      </c>
      <c r="L51" s="2013">
        <f ca="1">ROUND(-PV(INDIRECT("'数据-取费表'!h"&amp;$G$1),J51,(C39-C13*C76),0),0)</f>
        <v>28688352</v>
      </c>
      <c r="M51" s="2014"/>
      <c r="O51" s="2007" t="s">
        <v>1210</v>
      </c>
      <c r="P51" s="2001" t="s">
        <v>1211</v>
      </c>
      <c r="Q51" s="2040">
        <f>J52</f>
        <v>0.08</v>
      </c>
      <c r="R51" s="2039"/>
    </row>
    <row r="52" spans="1:18" s="773" customFormat="1">
      <c r="A52" s="1930"/>
      <c r="B52" s="1925"/>
      <c r="C52" s="1926"/>
      <c r="D52" s="1927"/>
      <c r="E52" s="1931" t="s">
        <v>1096</v>
      </c>
      <c r="F52" s="1932"/>
      <c r="I52" s="2015" t="s">
        <v>1212</v>
      </c>
      <c r="J52" s="2016">
        <v>0.08</v>
      </c>
      <c r="K52" s="2015" t="s">
        <v>1213</v>
      </c>
      <c r="L52" s="2016"/>
      <c r="O52" s="2007" t="s">
        <v>1214</v>
      </c>
      <c r="P52" s="2001" t="s">
        <v>1215</v>
      </c>
      <c r="Q52" s="2039">
        <f ca="1">J53</f>
        <v>16.829999999999998</v>
      </c>
      <c r="R52" s="2039" t="s">
        <v>1216</v>
      </c>
    </row>
    <row r="53" spans="1:18" s="773" customFormat="1" ht="30.75" customHeight="1">
      <c r="A53" s="1933" t="s">
        <v>1217</v>
      </c>
      <c r="B53" s="1858" t="s">
        <v>1097</v>
      </c>
      <c r="C53" s="292">
        <f ca="1">ROUND(IF(F53="押一",C49/12*F11,IF(F53="押二",C49/12*2*F11,IF(F53="押三",C49/12*3*F11,C54*F11))),0)</f>
        <v>0</v>
      </c>
      <c r="D53" s="1827" t="s">
        <v>2093</v>
      </c>
      <c r="E53" s="1828" t="s">
        <v>1099</v>
      </c>
      <c r="F53" s="1829"/>
      <c r="I53" s="2017" t="s">
        <v>1218</v>
      </c>
      <c r="J53" s="2018">
        <f ca="1">IF(M47="住宅",IF(D1="——",MAX(J51,L48),MAX(J51,L48-'数据-取费表'!B24)),IF(D1="——",MIN(J51,L48),MIN(J51,L48-'数据-取费表'!B24)))</f>
        <v>16.829999999999998</v>
      </c>
      <c r="K53" s="3471" t="s">
        <v>1219</v>
      </c>
      <c r="L53" s="3472"/>
      <c r="O53" s="2000" t="s">
        <v>1039</v>
      </c>
      <c r="P53" s="2001" t="s">
        <v>1220</v>
      </c>
      <c r="Q53" s="2039">
        <f ca="1">Q47+Q48</f>
        <v>38062647</v>
      </c>
      <c r="R53" s="2039" t="s">
        <v>1221</v>
      </c>
    </row>
    <row r="54" spans="1:18" s="773" customFormat="1">
      <c r="A54" s="1917"/>
      <c r="B54" s="1934" t="s">
        <v>2090</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1222</v>
      </c>
      <c r="P54" s="2021"/>
      <c r="Q54" s="2021"/>
      <c r="R54" s="2021"/>
    </row>
    <row r="55" spans="1:18" s="773" customFormat="1">
      <c r="A55" s="1835" t="s">
        <v>874</v>
      </c>
      <c r="B55" s="1836" t="s">
        <v>1104</v>
      </c>
      <c r="C55" s="1837"/>
      <c r="D55" s="1827"/>
      <c r="E55" s="1935"/>
      <c r="F55" s="1936"/>
      <c r="I55" s="2022" t="s">
        <v>1223</v>
      </c>
      <c r="J55" s="2023" t="e">
        <f ca="1">ROUND(IF(J47="钢混",J57/J50,1-(1-2%)*(J50-J57)/J50),3)</f>
        <v>#VALUE!</v>
      </c>
      <c r="K55" s="2024" t="s">
        <v>1224</v>
      </c>
      <c r="L55" s="2025"/>
      <c r="O55" s="1993" t="s">
        <v>1182</v>
      </c>
      <c r="P55" s="1994" t="s">
        <v>1183</v>
      </c>
      <c r="Q55" s="2038" t="s">
        <v>1184</v>
      </c>
      <c r="R55" s="2038" t="s">
        <v>1185</v>
      </c>
    </row>
    <row r="56" spans="1:18" s="773" customFormat="1" ht="36" customHeight="1">
      <c r="A56" s="1937">
        <v>2</v>
      </c>
      <c r="B56" s="1938" t="s">
        <v>1105</v>
      </c>
      <c r="C56" s="186">
        <f ca="1">C13</f>
        <v>17292675</v>
      </c>
      <c r="D56" s="1939"/>
      <c r="E56" s="1940"/>
      <c r="F56" s="1936"/>
      <c r="I56" s="2026" t="s">
        <v>1226</v>
      </c>
      <c r="J56" s="2027" t="s">
        <v>461</v>
      </c>
      <c r="K56" s="834" t="s">
        <v>1227</v>
      </c>
      <c r="L56" s="2004" t="str">
        <f ca="1">IF(L48&lt;J51,"——",L48-J51)</f>
        <v>——</v>
      </c>
      <c r="O56" s="2000" t="s">
        <v>931</v>
      </c>
      <c r="P56" s="2001" t="s">
        <v>1189</v>
      </c>
      <c r="Q56" s="2039">
        <f ca="1">C40+J29</f>
        <v>38062647</v>
      </c>
      <c r="R56" s="2039" t="s">
        <v>1190</v>
      </c>
    </row>
    <row r="57" spans="1:18" s="773" customFormat="1" ht="24">
      <c r="A57" s="1941"/>
      <c r="B57" s="1942" t="s">
        <v>1168</v>
      </c>
      <c r="C57" s="196">
        <f ca="1">C29</f>
        <v>24355880</v>
      </c>
      <c r="D57" s="1943"/>
      <c r="E57" s="1944"/>
      <c r="F57" s="1945"/>
      <c r="I57" s="2028" t="s">
        <v>1228</v>
      </c>
      <c r="J57" s="2029" t="str">
        <f ca="1">IF(OR(M47="住宅",J51&lt;L48,J56="是"),"——",J51-L48)</f>
        <v>——</v>
      </c>
      <c r="K57" s="834" t="s">
        <v>2094</v>
      </c>
      <c r="L57" s="2004" t="str">
        <f ca="1">IF(L48&lt;J51,"——",IF(L55="比较法",L49,IF(L55="基准地价",L50,L51)))</f>
        <v>——</v>
      </c>
      <c r="O57" s="2000" t="s">
        <v>935</v>
      </c>
      <c r="P57" s="2001" t="s">
        <v>1230</v>
      </c>
      <c r="Q57" s="2039">
        <f ca="1">L60</f>
        <v>0</v>
      </c>
      <c r="R57" s="2039" t="s">
        <v>1231</v>
      </c>
    </row>
    <row r="58" spans="1:18" s="773" customFormat="1" ht="24">
      <c r="A58" s="1946" t="s">
        <v>1113</v>
      </c>
      <c r="B58" s="1938" t="s">
        <v>1114</v>
      </c>
      <c r="C58" s="292">
        <f ca="1">ROUND(C59+C64+C65+C66,0)</f>
        <v>2353504</v>
      </c>
      <c r="D58" s="1947" t="s">
        <v>1115</v>
      </c>
      <c r="E58" s="1948"/>
      <c r="F58" s="1915"/>
      <c r="I58" s="2028" t="s">
        <v>1232</v>
      </c>
      <c r="J58" s="2030" t="e">
        <f ca="1">IF(J55&lt;0.4,0.4,J55)</f>
        <v>#VALUE!</v>
      </c>
      <c r="K58" s="2012" t="s">
        <v>2095</v>
      </c>
      <c r="L58" s="2004" t="e">
        <f ca="1">ROUND(POWER(1+L52,L47-L48)*(POWER(1+L52,L48)-1)/(POWER(1+L52,L47)-1),4)</f>
        <v>#DIV/0!</v>
      </c>
      <c r="O58" s="2007" t="s">
        <v>1202</v>
      </c>
      <c r="P58" s="2001" t="s">
        <v>1234</v>
      </c>
      <c r="Q58" s="2039">
        <f>IF(L55="比较法",L49,IF(L55="基准地价",L50,0))</f>
        <v>0</v>
      </c>
      <c r="R58" s="2039" t="s">
        <v>1190</v>
      </c>
    </row>
    <row r="59" spans="1:18" s="773" customFormat="1" ht="24">
      <c r="A59" s="1846" t="s">
        <v>825</v>
      </c>
      <c r="B59" s="1942" t="s">
        <v>1120</v>
      </c>
      <c r="C59" s="1870">
        <f ca="1">ROUND(IF(AND(项目基本情况!B11="自然人",项目基本情况!B10="北京市"),C49*F59/(1+'数据-取费表'!C42),C60+C61+C62),0)</f>
        <v>2084006</v>
      </c>
      <c r="D59" s="1949" t="s">
        <v>1121</v>
      </c>
      <c r="E59" s="1950" t="s">
        <v>1122</v>
      </c>
      <c r="F59" s="1872" t="str">
        <f>IF(项目基本情况!B11="企业","——",IF('数据-取费表'!B10="住宅",IF(F49*F50*F51/12/(1+'数据-取费表'!F30)&gt;100000,4%,2.5%),IF(F49*F50*F51/12/(1+'数据-取费表'!F30)&gt;100000,12%,7%)))</f>
        <v>——</v>
      </c>
      <c r="I59" s="2028" t="s">
        <v>1235</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1206</v>
      </c>
      <c r="P59" s="2001" t="s">
        <v>1236</v>
      </c>
      <c r="Q59" s="2040">
        <f>L52</f>
        <v>0</v>
      </c>
      <c r="R59" s="2039"/>
    </row>
    <row r="60" spans="1:18" s="773" customFormat="1" ht="15.75">
      <c r="A60" s="1846" t="s">
        <v>848</v>
      </c>
      <c r="B60" s="1942" t="s">
        <v>1124</v>
      </c>
      <c r="C60" s="293">
        <f ca="1">IF(项目基本情况!B11="自然人","——",ROUND(C48*F60/(1+'数据-取费表'!C42),0))</f>
        <v>0</v>
      </c>
      <c r="D60" s="1950" t="s">
        <v>1125</v>
      </c>
      <c r="E60" s="1942" t="s">
        <v>1112</v>
      </c>
      <c r="F60" s="1862">
        <f t="shared" ref="F60:F66" si="0">F32</f>
        <v>5.6000000000000001E-2</v>
      </c>
      <c r="I60" s="2031" t="s">
        <v>1237</v>
      </c>
      <c r="J60" s="2032" t="str">
        <f ca="1">IF(OR(M47="住宅",J51&lt;L48,J56="是"),"0",ROUND(J59/(1+J52)^J53,0))</f>
        <v>0</v>
      </c>
      <c r="K60" s="2033" t="s">
        <v>1238</v>
      </c>
      <c r="L60" s="2032">
        <f ca="1">IF(OR(M47="住宅",L48&lt;J51),0,ROUND(L57*(L58/L59-1),0))</f>
        <v>0</v>
      </c>
      <c r="O60" s="2007" t="s">
        <v>1210</v>
      </c>
      <c r="P60" s="2001" t="s">
        <v>1239</v>
      </c>
      <c r="Q60" s="2039" t="e">
        <f ca="1">L58</f>
        <v>#DIV/0!</v>
      </c>
      <c r="R60" s="2039" t="s">
        <v>1240</v>
      </c>
    </row>
    <row r="61" spans="1:18" s="773" customFormat="1">
      <c r="A61" s="1846" t="s">
        <v>852</v>
      </c>
      <c r="B61" s="1942" t="s">
        <v>1128</v>
      </c>
      <c r="C61" s="293">
        <f ca="1">IF(项目基本情况!B11="自然人","——",IF(D61="按租金收入计税",ROUND(C49*F61/(1+'数据-取费表'!C42),0),IF(D61="按房产原值计税",ROUND(C57*F61*0.7,0),INDIRECT("'数据-取费表'!Aj"&amp;$G$1))))</f>
        <v>2045894</v>
      </c>
      <c r="D61" s="1874" t="s">
        <v>1129</v>
      </c>
      <c r="E61" s="1942" t="s">
        <v>1112</v>
      </c>
      <c r="F61" s="1855">
        <f t="shared" si="0"/>
        <v>0.12</v>
      </c>
      <c r="I61" s="1890"/>
      <c r="J61" s="1890"/>
      <c r="K61" s="1890"/>
      <c r="L61" s="1890"/>
      <c r="O61" s="2007" t="s">
        <v>1214</v>
      </c>
      <c r="P61" s="2001" t="str">
        <f>K59</f>
        <v>建筑物剩余耐用年限下的土地年期修正系数Kn</v>
      </c>
      <c r="Q61" s="2039" t="e">
        <f ca="1">L59</f>
        <v>#DIV/0!</v>
      </c>
      <c r="R61" s="2039" t="s">
        <v>1241</v>
      </c>
    </row>
    <row r="62" spans="1:18" s="773" customFormat="1">
      <c r="A62" s="1846" t="s">
        <v>855</v>
      </c>
      <c r="B62" s="1951" t="s">
        <v>1132</v>
      </c>
      <c r="C62" s="1876">
        <f ca="1">IF(项目基本情况!B11="自然人","——",ROUND(F62*F63,0))</f>
        <v>38112</v>
      </c>
      <c r="D62" s="1952" t="s">
        <v>1133</v>
      </c>
      <c r="E62" s="1942" t="s">
        <v>1134</v>
      </c>
      <c r="F62" s="1861">
        <f t="shared" si="0"/>
        <v>18</v>
      </c>
      <c r="I62" s="2034" t="s">
        <v>1242</v>
      </c>
      <c r="J62" s="2035" t="s">
        <v>1243</v>
      </c>
      <c r="K62" s="2035" t="s">
        <v>1244</v>
      </c>
      <c r="L62" s="2035" t="s">
        <v>1245</v>
      </c>
      <c r="M62" s="2036" t="s">
        <v>1246</v>
      </c>
      <c r="O62" s="2000" t="s">
        <v>1039</v>
      </c>
      <c r="P62" s="2001" t="s">
        <v>1220</v>
      </c>
      <c r="Q62" s="2039">
        <f ca="1">Q56+Q57</f>
        <v>38062647</v>
      </c>
      <c r="R62" s="2039" t="s">
        <v>1221</v>
      </c>
    </row>
    <row r="63" spans="1:18" s="773" customFormat="1">
      <c r="A63" s="1859"/>
      <c r="B63" s="1953"/>
      <c r="C63" s="1880"/>
      <c r="D63" s="1954"/>
      <c r="E63" s="1942" t="s">
        <v>1138</v>
      </c>
      <c r="F63" s="1818">
        <f t="shared" ca="1" si="0"/>
        <v>2117.33</v>
      </c>
      <c r="I63" s="2034" t="s">
        <v>1247</v>
      </c>
      <c r="J63" s="2035">
        <v>70</v>
      </c>
      <c r="K63" s="2035">
        <v>50</v>
      </c>
      <c r="L63" s="2035">
        <v>80</v>
      </c>
      <c r="M63" s="2037">
        <v>0.02</v>
      </c>
      <c r="O63" s="1988" t="s">
        <v>1248</v>
      </c>
      <c r="P63" s="2021"/>
      <c r="Q63" s="2021"/>
      <c r="R63" s="2021"/>
    </row>
    <row r="64" spans="1:18" s="773" customFormat="1">
      <c r="A64" s="1846" t="s">
        <v>829</v>
      </c>
      <c r="B64" s="1942" t="s">
        <v>1140</v>
      </c>
      <c r="C64" s="293">
        <f ca="1">ROUND(C57*F64,0)</f>
        <v>243559</v>
      </c>
      <c r="D64" s="1950" t="s">
        <v>1174</v>
      </c>
      <c r="E64" s="1942" t="s">
        <v>1112</v>
      </c>
      <c r="F64" s="1883">
        <f t="shared" ca="1" si="0"/>
        <v>0.01</v>
      </c>
      <c r="I64" s="2034" t="s">
        <v>1249</v>
      </c>
      <c r="J64" s="2035">
        <v>50</v>
      </c>
      <c r="K64" s="2035">
        <v>35</v>
      </c>
      <c r="L64" s="2035">
        <v>60</v>
      </c>
      <c r="M64" s="2036">
        <v>0</v>
      </c>
      <c r="O64" s="1993" t="s">
        <v>1182</v>
      </c>
      <c r="P64" s="1994" t="s">
        <v>1183</v>
      </c>
      <c r="Q64" s="2038" t="s">
        <v>1184</v>
      </c>
      <c r="R64" s="2038" t="s">
        <v>1185</v>
      </c>
    </row>
    <row r="65" spans="1:18" s="773" customFormat="1">
      <c r="A65" s="1846" t="s">
        <v>874</v>
      </c>
      <c r="B65" s="1942" t="s">
        <v>1144</v>
      </c>
      <c r="C65" s="293">
        <f ca="1">ROUND(C56*F65,0)</f>
        <v>25939</v>
      </c>
      <c r="D65" s="1950" t="s">
        <v>1145</v>
      </c>
      <c r="E65" s="1942" t="s">
        <v>1112</v>
      </c>
      <c r="F65" s="1884">
        <f t="shared" ca="1" si="0"/>
        <v>1.5E-3</v>
      </c>
      <c r="I65" s="2034" t="s">
        <v>1250</v>
      </c>
      <c r="J65" s="2035">
        <v>40</v>
      </c>
      <c r="K65" s="2035">
        <v>30</v>
      </c>
      <c r="L65" s="2035">
        <v>50</v>
      </c>
      <c r="M65" s="2037">
        <v>0.02</v>
      </c>
      <c r="O65" s="2000" t="s">
        <v>931</v>
      </c>
      <c r="P65" s="2001" t="s">
        <v>1189</v>
      </c>
      <c r="Q65" s="2039">
        <f ca="1">C40+J29</f>
        <v>38062647</v>
      </c>
      <c r="R65" s="2039" t="s">
        <v>1190</v>
      </c>
    </row>
    <row r="66" spans="1:18" s="773" customFormat="1" ht="15.75">
      <c r="A66" s="1846" t="s">
        <v>877</v>
      </c>
      <c r="B66" s="1942" t="s">
        <v>1130</v>
      </c>
      <c r="C66" s="293">
        <f ca="1">ROUND(C48*F66,0)</f>
        <v>0</v>
      </c>
      <c r="D66" s="1950" t="s">
        <v>1148</v>
      </c>
      <c r="E66" s="1942" t="s">
        <v>1112</v>
      </c>
      <c r="F66" s="1825">
        <f t="shared" ca="1" si="0"/>
        <v>0.01</v>
      </c>
      <c r="O66" s="2000" t="s">
        <v>935</v>
      </c>
      <c r="P66" s="2001" t="s">
        <v>1230</v>
      </c>
      <c r="Q66" s="2039">
        <f ca="1">L60</f>
        <v>0</v>
      </c>
      <c r="R66" s="2039" t="s">
        <v>1231</v>
      </c>
    </row>
    <row r="67" spans="1:18" s="773" customFormat="1" ht="15.75">
      <c r="A67" s="1937" t="s">
        <v>1151</v>
      </c>
      <c r="B67" s="2041" t="s">
        <v>1152</v>
      </c>
      <c r="C67" s="292">
        <f ca="1">C48-C58</f>
        <v>-2353504</v>
      </c>
      <c r="D67" s="1949" t="s">
        <v>1153</v>
      </c>
      <c r="E67" s="2042"/>
      <c r="F67" s="2043"/>
      <c r="O67" s="2007" t="s">
        <v>1202</v>
      </c>
      <c r="P67" s="2001" t="s">
        <v>1234</v>
      </c>
      <c r="Q67" s="2063">
        <f ca="1">L51</f>
        <v>28688352</v>
      </c>
      <c r="R67" s="2039" t="s">
        <v>1251</v>
      </c>
    </row>
    <row r="68" spans="1:18" s="773" customFormat="1" ht="15.75">
      <c r="A68" s="2044" t="s">
        <v>1157</v>
      </c>
      <c r="B68" s="2045" t="s">
        <v>1175</v>
      </c>
      <c r="C68" s="1889">
        <f ca="1">ROUND(C67*(1-((1+F70)/(1+F68))^F69)/(F68-F70),0)</f>
        <v>-30173448</v>
      </c>
      <c r="D68" s="1952" t="s">
        <v>1159</v>
      </c>
      <c r="E68" s="1942" t="s">
        <v>1160</v>
      </c>
      <c r="F68" s="1825">
        <f ca="1">F40</f>
        <v>5.5E-2</v>
      </c>
      <c r="O68" s="2007" t="s">
        <v>1206</v>
      </c>
      <c r="P68" s="2062" t="s">
        <v>1252</v>
      </c>
      <c r="Q68" s="2039">
        <f ca="1">ROUND(Q69-Q70*Q71,0)</f>
        <v>1671904</v>
      </c>
      <c r="R68" s="2039" t="s">
        <v>1253</v>
      </c>
    </row>
    <row r="69" spans="1:18" s="773" customFormat="1">
      <c r="A69" s="2046"/>
      <c r="B69" s="2047"/>
      <c r="C69" s="1824"/>
      <c r="D69" s="2048" t="s">
        <v>1163</v>
      </c>
      <c r="E69" s="1942" t="s">
        <v>1164</v>
      </c>
      <c r="F69" s="1893">
        <f ca="1">F41</f>
        <v>16.829999999999998</v>
      </c>
      <c r="O69" s="2007" t="s">
        <v>1254</v>
      </c>
      <c r="P69" s="2062" t="s">
        <v>1255</v>
      </c>
      <c r="Q69" s="2039">
        <f ca="1">C39</f>
        <v>2968855</v>
      </c>
      <c r="R69" s="2039" t="s">
        <v>1190</v>
      </c>
    </row>
    <row r="70" spans="1:18" s="773" customFormat="1">
      <c r="A70" s="2049"/>
      <c r="B70" s="2050"/>
      <c r="C70" s="1843"/>
      <c r="D70" s="1954"/>
      <c r="E70" s="1942" t="s">
        <v>1167</v>
      </c>
      <c r="F70" s="1932">
        <f ca="1">F42</f>
        <v>2.5000000000000001E-2</v>
      </c>
      <c r="O70" s="2007" t="s">
        <v>1256</v>
      </c>
      <c r="P70" s="2062" t="s">
        <v>1257</v>
      </c>
      <c r="Q70" s="2039">
        <f ca="1">C13</f>
        <v>17292675</v>
      </c>
      <c r="R70" s="2039" t="s">
        <v>1190</v>
      </c>
    </row>
    <row r="71" spans="1:18" s="773" customFormat="1">
      <c r="A71" s="2051" t="s">
        <v>1169</v>
      </c>
      <c r="B71" s="2052" t="s">
        <v>1176</v>
      </c>
      <c r="C71" s="1897">
        <f ca="1">ROUND(C68/F71,0)</f>
        <v>-4976</v>
      </c>
      <c r="D71" s="2053" t="s">
        <v>1177</v>
      </c>
      <c r="E71" s="2054" t="s">
        <v>1178</v>
      </c>
      <c r="F71" s="1900">
        <f ca="1">F43</f>
        <v>6064.29</v>
      </c>
      <c r="O71" s="2007" t="s">
        <v>1258</v>
      </c>
      <c r="P71" s="2062" t="s">
        <v>1259</v>
      </c>
      <c r="Q71" s="2040">
        <f ca="1">C76</f>
        <v>7.4999999999999997E-2</v>
      </c>
      <c r="R71" s="2039"/>
    </row>
    <row r="72" spans="1:18" s="773" customFormat="1">
      <c r="B72" s="327"/>
      <c r="C72" s="327"/>
      <c r="O72" s="2007" t="s">
        <v>1210</v>
      </c>
      <c r="P72" s="2001" t="s">
        <v>1236</v>
      </c>
      <c r="Q72" s="2040">
        <f>L52</f>
        <v>0</v>
      </c>
      <c r="R72" s="2039"/>
    </row>
    <row r="73" spans="1:18" ht="15.75">
      <c r="A73" s="773"/>
      <c r="B73" s="327"/>
      <c r="C73" s="327"/>
      <c r="D73" s="773"/>
      <c r="E73" s="773"/>
      <c r="F73" s="773"/>
      <c r="O73" s="2007" t="s">
        <v>1214</v>
      </c>
      <c r="P73" s="2001" t="s">
        <v>1239</v>
      </c>
      <c r="Q73" s="2039" t="e">
        <f ca="1">L58</f>
        <v>#DIV/0!</v>
      </c>
      <c r="R73" s="2039" t="s">
        <v>1240</v>
      </c>
    </row>
    <row r="74" spans="1:18">
      <c r="A74" s="773"/>
      <c r="B74" s="228" t="s">
        <v>1260</v>
      </c>
      <c r="C74" s="2055"/>
      <c r="D74" s="773"/>
      <c r="E74" s="773"/>
      <c r="F74" s="773"/>
      <c r="O74" s="2007" t="s">
        <v>1261</v>
      </c>
      <c r="P74" s="2001" t="str">
        <f>K59</f>
        <v>建筑物剩余耐用年限下的土地年期修正系数Kn</v>
      </c>
      <c r="Q74" s="2039" t="e">
        <f ca="1">L59</f>
        <v>#DIV/0!</v>
      </c>
      <c r="R74" s="2039" t="s">
        <v>1241</v>
      </c>
    </row>
    <row r="75" spans="1:18">
      <c r="A75" s="773"/>
      <c r="B75" s="2056" t="s">
        <v>1262</v>
      </c>
      <c r="C75" s="2057">
        <f ca="1">ROUND(C13*C76,0)</f>
        <v>1296951</v>
      </c>
      <c r="D75" s="773"/>
      <c r="E75" s="773"/>
      <c r="F75" s="773"/>
      <c r="K75" s="1987"/>
      <c r="L75" s="773"/>
      <c r="O75" s="2000" t="s">
        <v>1039</v>
      </c>
      <c r="P75" s="2001" t="s">
        <v>1220</v>
      </c>
      <c r="Q75" s="2039">
        <f ca="1">Q65+Q66</f>
        <v>38062647</v>
      </c>
      <c r="R75" s="2039" t="s">
        <v>1221</v>
      </c>
    </row>
    <row r="76" spans="1:18">
      <c r="B76" s="592" t="s">
        <v>1263</v>
      </c>
      <c r="C76" s="2058">
        <f ca="1">INDIRECT("'数据-取费表'!j"&amp;$G$1)</f>
        <v>7.4999999999999997E-2</v>
      </c>
      <c r="I76" s="773"/>
      <c r="J76" s="773"/>
      <c r="K76" s="1987"/>
      <c r="L76" s="773"/>
    </row>
    <row r="77" spans="1:18">
      <c r="B77" s="2059" t="s">
        <v>1264</v>
      </c>
      <c r="C77" s="2060"/>
      <c r="I77" s="773"/>
      <c r="J77" s="773"/>
      <c r="K77" s="1987"/>
      <c r="L77" s="773"/>
    </row>
    <row r="78" spans="1:18">
      <c r="B78" s="226" t="s">
        <v>1265</v>
      </c>
      <c r="C78" s="2061"/>
    </row>
    <row r="79" spans="1:18">
      <c r="B79" s="2056" t="s">
        <v>1266</v>
      </c>
      <c r="C79" s="229">
        <f ca="1">1-C80</f>
        <v>0.56299999999999994</v>
      </c>
    </row>
    <row r="80" spans="1:18">
      <c r="B80" s="2056" t="s">
        <v>1267</v>
      </c>
      <c r="C80" s="229">
        <f ca="1">ROUND(C75/C39,3)</f>
        <v>0.437</v>
      </c>
    </row>
    <row r="81" spans="2:3">
      <c r="B81" s="226" t="s">
        <v>1268</v>
      </c>
      <c r="C81" s="196"/>
    </row>
    <row r="82" spans="2:3">
      <c r="B82" s="228" t="s">
        <v>1012</v>
      </c>
      <c r="C82" s="230">
        <f ca="1">1-C83</f>
        <v>0.54600000000000004</v>
      </c>
    </row>
    <row r="83" spans="2:3">
      <c r="B83" s="228" t="s">
        <v>1013</v>
      </c>
      <c r="C83" s="229">
        <f ca="1">ROUND(C13/C40,3)</f>
        <v>0.45400000000000001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2096</v>
      </c>
      <c r="B1" s="1617"/>
      <c r="C1" s="1618"/>
      <c r="D1" s="1618"/>
      <c r="E1" s="1619"/>
      <c r="F1" s="1620"/>
      <c r="G1" s="1621"/>
      <c r="J1" s="1721" t="s">
        <v>2097</v>
      </c>
      <c r="K1" s="1722"/>
      <c r="L1" s="1722"/>
      <c r="M1" s="1722"/>
      <c r="N1" s="1722"/>
      <c r="O1" s="1722"/>
      <c r="P1" s="1722"/>
      <c r="Q1" s="1722"/>
      <c r="R1" s="1761"/>
      <c r="S1" s="1762"/>
      <c r="T1" s="1762"/>
      <c r="U1" s="1762"/>
    </row>
    <row r="2" spans="1:22" s="1609" customFormat="1" ht="13.15" customHeight="1">
      <c r="A2" s="1622" t="s">
        <v>1078</v>
      </c>
      <c r="B2" s="1623" t="e">
        <f>C40</f>
        <v>#DIV/0!</v>
      </c>
      <c r="C2" s="1618" t="s">
        <v>1079</v>
      </c>
      <c r="D2" s="1618"/>
      <c r="E2" s="1624"/>
      <c r="F2" s="1625"/>
      <c r="G2" s="1626"/>
      <c r="H2" s="1627"/>
      <c r="I2" s="1723"/>
      <c r="J2" s="3489" t="s">
        <v>2098</v>
      </c>
      <c r="K2" s="3490"/>
      <c r="L2" s="1724" t="s">
        <v>2099</v>
      </c>
      <c r="M2" s="1724" t="s">
        <v>2100</v>
      </c>
      <c r="N2" s="1724" t="s">
        <v>2101</v>
      </c>
      <c r="O2" s="1724" t="s">
        <v>2102</v>
      </c>
      <c r="P2" s="1724" t="s">
        <v>2103</v>
      </c>
      <c r="Q2" s="1763" t="s">
        <v>2104</v>
      </c>
      <c r="R2" s="1764" t="s">
        <v>2105</v>
      </c>
      <c r="S2" s="1762"/>
      <c r="T2" s="1762"/>
      <c r="U2" s="1762"/>
      <c r="V2" s="1723"/>
    </row>
    <row r="3" spans="1:22" s="1609" customFormat="1" ht="13.15" customHeight="1">
      <c r="A3" s="1628" t="s">
        <v>1080</v>
      </c>
      <c r="B3" s="1629" t="e">
        <f>ROUND(B2*10000/B4,0)</f>
        <v>#DIV/0!</v>
      </c>
      <c r="C3" s="1618" t="s">
        <v>1081</v>
      </c>
      <c r="D3" s="1618"/>
      <c r="E3" s="1624"/>
      <c r="F3" s="1625"/>
      <c r="G3" s="1626"/>
      <c r="H3" s="1627"/>
      <c r="I3" s="1723"/>
      <c r="J3" s="3483" t="s">
        <v>2106</v>
      </c>
      <c r="K3" s="3484"/>
      <c r="L3" s="1725"/>
      <c r="M3" s="1725"/>
      <c r="N3" s="1725"/>
      <c r="O3" s="1725"/>
      <c r="P3" s="1725"/>
      <c r="Q3" s="1765"/>
      <c r="R3" s="1766">
        <f>SUM(L3:Q3)</f>
        <v>0</v>
      </c>
      <c r="S3" s="1762"/>
      <c r="T3" s="1762"/>
      <c r="U3" s="1762"/>
      <c r="V3" s="1723"/>
    </row>
    <row r="4" spans="1:22" s="1609" customFormat="1" ht="13.15" customHeight="1">
      <c r="A4" s="1630" t="s">
        <v>466</v>
      </c>
      <c r="B4" s="1631"/>
      <c r="C4" s="1618"/>
      <c r="D4" s="1618"/>
      <c r="E4" s="1624"/>
      <c r="F4" s="1625"/>
      <c r="G4" s="1626"/>
      <c r="H4" s="1627"/>
      <c r="I4" s="1723"/>
      <c r="J4" s="3483" t="s">
        <v>2107</v>
      </c>
      <c r="K4" s="3484"/>
      <c r="L4" s="1726"/>
      <c r="M4" s="1726"/>
      <c r="N4" s="1726"/>
      <c r="O4" s="1726"/>
      <c r="P4" s="1726"/>
      <c r="Q4" s="1767"/>
      <c r="R4" s="1768">
        <f>SUM(L4:Q4)</f>
        <v>0</v>
      </c>
      <c r="S4" s="1762"/>
      <c r="T4" s="1762"/>
      <c r="U4" s="1762"/>
      <c r="V4" s="1723"/>
    </row>
    <row r="5" spans="1:22" s="1609" customFormat="1" ht="13.15" customHeight="1">
      <c r="A5" s="1632" t="s">
        <v>2108</v>
      </c>
      <c r="B5" s="1633"/>
      <c r="C5" s="1618"/>
      <c r="D5" s="1634"/>
      <c r="E5" s="1625"/>
      <c r="F5" s="1625"/>
      <c r="G5" s="1626"/>
      <c r="H5" s="1627"/>
      <c r="I5" s="1723"/>
      <c r="J5" s="1727" t="s">
        <v>2109</v>
      </c>
      <c r="K5" s="1728"/>
      <c r="L5" s="1728"/>
      <c r="M5" s="1729"/>
      <c r="N5" s="1729"/>
      <c r="O5" s="1729"/>
      <c r="P5" s="1729"/>
      <c r="Q5" s="1729"/>
      <c r="R5" s="1764">
        <f>SUM(R14,R19,R24,R25,R27,R28)</f>
        <v>0</v>
      </c>
      <c r="S5" s="1762"/>
      <c r="T5" s="1762" t="s">
        <v>2110</v>
      </c>
      <c r="U5" s="1762" t="e">
        <f>ROUND(R5*10000/365/R3,1)</f>
        <v>#DIV/0!</v>
      </c>
      <c r="V5" s="1723"/>
    </row>
    <row r="6" spans="1:22" s="1609" customFormat="1" ht="13.15" customHeight="1">
      <c r="A6" s="3493" t="s">
        <v>2111</v>
      </c>
      <c r="B6" s="3494"/>
      <c r="C6" s="3495"/>
      <c r="D6" s="1635"/>
      <c r="E6" s="1636"/>
      <c r="F6" s="1637"/>
      <c r="G6" s="1638"/>
      <c r="H6" s="1627"/>
      <c r="I6" s="1723"/>
      <c r="J6" s="3477">
        <v>1</v>
      </c>
      <c r="K6" s="3480" t="s">
        <v>2112</v>
      </c>
      <c r="L6" s="1731" t="s">
        <v>2113</v>
      </c>
      <c r="M6" s="1732" t="s">
        <v>2114</v>
      </c>
      <c r="N6" s="1732" t="s">
        <v>2115</v>
      </c>
      <c r="O6" s="1732" t="s">
        <v>2116</v>
      </c>
      <c r="P6" s="1732" t="s">
        <v>2117</v>
      </c>
      <c r="Q6" s="1732" t="s">
        <v>2118</v>
      </c>
      <c r="R6" s="1766" t="s">
        <v>2119</v>
      </c>
      <c r="S6" s="1762"/>
      <c r="T6" s="1762" t="s">
        <v>2120</v>
      </c>
      <c r="U6" s="1762"/>
      <c r="V6" s="1723"/>
    </row>
    <row r="7" spans="1:22" s="1609" customFormat="1" ht="13.15" customHeight="1">
      <c r="A7" s="1639" t="s">
        <v>2121</v>
      </c>
      <c r="B7" s="1640"/>
      <c r="C7" s="1641"/>
      <c r="D7" s="1642">
        <f>SUM(D9,D10,D11,D17,0)</f>
        <v>0</v>
      </c>
      <c r="E7" s="1643" t="e">
        <f>E9+E10+E11+E17</f>
        <v>#DIV/0!</v>
      </c>
      <c r="F7" s="1644"/>
      <c r="G7" s="1645"/>
      <c r="H7" s="1627"/>
      <c r="I7" s="1723"/>
      <c r="J7" s="3477"/>
      <c r="K7" s="3481"/>
      <c r="L7" s="1733" t="s">
        <v>2122</v>
      </c>
      <c r="M7" s="1734"/>
      <c r="N7" s="1631"/>
      <c r="O7" s="1735"/>
      <c r="P7" s="1735"/>
      <c r="Q7" s="1664">
        <v>365</v>
      </c>
      <c r="R7" s="1769">
        <f>ROUND(M7*N7*O7*P7*Q7/10000,0)</f>
        <v>0</v>
      </c>
      <c r="S7" s="1762"/>
      <c r="T7" s="1762" t="s">
        <v>2123</v>
      </c>
      <c r="U7" s="1762"/>
      <c r="V7" s="1723"/>
    </row>
    <row r="8" spans="1:22" s="1609" customFormat="1" ht="13.15" customHeight="1">
      <c r="A8" s="1646" t="s">
        <v>2124</v>
      </c>
      <c r="B8" s="3491" t="s">
        <v>2125</v>
      </c>
      <c r="C8" s="3492"/>
      <c r="D8" s="1649" t="s">
        <v>2126</v>
      </c>
      <c r="E8" s="1650" t="s">
        <v>2127</v>
      </c>
      <c r="F8" s="1651" t="s">
        <v>2128</v>
      </c>
      <c r="G8" s="1652"/>
      <c r="H8" s="1627"/>
      <c r="I8" s="1723"/>
      <c r="J8" s="3477"/>
      <c r="K8" s="3481"/>
      <c r="L8" s="1733" t="s">
        <v>2129</v>
      </c>
      <c r="M8" s="1734"/>
      <c r="N8" s="1631"/>
      <c r="O8" s="1735"/>
      <c r="P8" s="1735"/>
      <c r="Q8" s="1664">
        <v>365</v>
      </c>
      <c r="R8" s="1769">
        <f t="shared" ref="R8:R13" si="0">ROUND(M8*N8*O8*P8*Q8/10000,0)</f>
        <v>0</v>
      </c>
      <c r="S8" s="1762"/>
      <c r="T8" s="1762" t="s">
        <v>2130</v>
      </c>
      <c r="U8" s="1762"/>
      <c r="V8" s="1723"/>
    </row>
    <row r="9" spans="1:22" s="1609" customFormat="1" ht="13.15" customHeight="1">
      <c r="A9" s="1646">
        <v>1</v>
      </c>
      <c r="B9" s="3491" t="s">
        <v>2131</v>
      </c>
      <c r="C9" s="3492"/>
      <c r="D9" s="1649">
        <f>ROUND(D6*E9,0)</f>
        <v>0</v>
      </c>
      <c r="E9" s="1653"/>
      <c r="F9" s="1654" t="s">
        <v>2132</v>
      </c>
      <c r="G9" s="1638"/>
      <c r="H9" s="1627"/>
      <c r="I9" s="1723"/>
      <c r="J9" s="3477"/>
      <c r="K9" s="3481"/>
      <c r="L9" s="1733" t="s">
        <v>2133</v>
      </c>
      <c r="M9" s="1734"/>
      <c r="N9" s="1631"/>
      <c r="O9" s="1735"/>
      <c r="P9" s="1735"/>
      <c r="Q9" s="1664">
        <v>365</v>
      </c>
      <c r="R9" s="1769">
        <f t="shared" si="0"/>
        <v>0</v>
      </c>
      <c r="S9" s="1762"/>
      <c r="T9" s="1762"/>
      <c r="U9" s="1762"/>
      <c r="V9" s="1723"/>
    </row>
    <row r="10" spans="1:22" s="1609" customFormat="1" ht="13.15" customHeight="1">
      <c r="A10" s="1646">
        <v>2</v>
      </c>
      <c r="B10" s="3491" t="s">
        <v>2134</v>
      </c>
      <c r="C10" s="3492"/>
      <c r="D10" s="1649">
        <f>ROUND(D6*E10,0)</f>
        <v>0</v>
      </c>
      <c r="E10" s="1653"/>
      <c r="F10" s="1654" t="s">
        <v>2135</v>
      </c>
      <c r="G10" s="1638"/>
      <c r="H10" s="1627"/>
      <c r="I10" s="1723"/>
      <c r="J10" s="3477"/>
      <c r="K10" s="3481"/>
      <c r="L10" s="1733" t="s">
        <v>2136</v>
      </c>
      <c r="M10" s="1734"/>
      <c r="N10" s="1631"/>
      <c r="O10" s="1735"/>
      <c r="P10" s="1735"/>
      <c r="Q10" s="1664">
        <v>365</v>
      </c>
      <c r="R10" s="1769">
        <f t="shared" si="0"/>
        <v>0</v>
      </c>
      <c r="S10" s="1762"/>
      <c r="T10" s="1762"/>
      <c r="U10" s="1762"/>
      <c r="V10" s="1723"/>
    </row>
    <row r="11" spans="1:22" s="1609" customFormat="1" ht="13.15" customHeight="1">
      <c r="A11" s="1646">
        <v>3</v>
      </c>
      <c r="B11" s="3491" t="s">
        <v>2137</v>
      </c>
      <c r="C11" s="3492"/>
      <c r="D11" s="1649">
        <f>D12+D14+D15+D16</f>
        <v>0</v>
      </c>
      <c r="E11" s="1655" t="e">
        <f>D11/D6</f>
        <v>#DIV/0!</v>
      </c>
      <c r="F11" s="1651"/>
      <c r="G11" s="1652"/>
      <c r="H11" s="1627"/>
      <c r="I11" s="1723"/>
      <c r="J11" s="3477"/>
      <c r="K11" s="3481"/>
      <c r="L11" s="1733" t="s">
        <v>2138</v>
      </c>
      <c r="M11" s="1734"/>
      <c r="N11" s="1631"/>
      <c r="O11" s="1735"/>
      <c r="P11" s="1735"/>
      <c r="Q11" s="1664">
        <v>365</v>
      </c>
      <c r="R11" s="1769">
        <f t="shared" si="0"/>
        <v>0</v>
      </c>
      <c r="S11" s="1762"/>
      <c r="T11" s="1762"/>
      <c r="U11" s="1762"/>
      <c r="V11" s="1723"/>
    </row>
    <row r="12" spans="1:22" s="1609" customFormat="1" ht="13.15" customHeight="1">
      <c r="A12" s="1656" t="s">
        <v>2139</v>
      </c>
      <c r="B12" s="3485" t="s">
        <v>2140</v>
      </c>
      <c r="C12" s="3486"/>
      <c r="D12" s="1659">
        <f>ROUND(D13*1.2%*(1-30%),0)</f>
        <v>0</v>
      </c>
      <c r="E12" s="1660">
        <v>1.2E-2</v>
      </c>
      <c r="F12" s="1651" t="s">
        <v>2141</v>
      </c>
      <c r="G12" s="1652"/>
      <c r="H12" s="1627"/>
      <c r="I12" s="1723"/>
      <c r="J12" s="3477"/>
      <c r="K12" s="3481"/>
      <c r="L12" s="1733" t="s">
        <v>2142</v>
      </c>
      <c r="M12" s="1734"/>
      <c r="N12" s="1631"/>
      <c r="O12" s="1735"/>
      <c r="P12" s="1735"/>
      <c r="Q12" s="1664">
        <v>365</v>
      </c>
      <c r="R12" s="1769">
        <f t="shared" si="0"/>
        <v>0</v>
      </c>
      <c r="S12" s="1762"/>
      <c r="T12" s="1762"/>
      <c r="U12" s="1762"/>
      <c r="V12" s="1723"/>
    </row>
    <row r="13" spans="1:22" s="1609" customFormat="1" ht="13.15" customHeight="1">
      <c r="A13" s="1656"/>
      <c r="B13" s="1657"/>
      <c r="C13" s="1661" t="s">
        <v>2143</v>
      </c>
      <c r="D13" s="1662"/>
      <c r="E13" s="1663"/>
      <c r="F13" s="1651"/>
      <c r="G13" s="1652"/>
      <c r="H13" s="1627"/>
      <c r="I13" s="1723"/>
      <c r="J13" s="3477"/>
      <c r="K13" s="3481"/>
      <c r="L13" s="1733" t="s">
        <v>2144</v>
      </c>
      <c r="M13" s="1734"/>
      <c r="N13" s="1631"/>
      <c r="O13" s="1735"/>
      <c r="P13" s="1735"/>
      <c r="Q13" s="1664">
        <v>365</v>
      </c>
      <c r="R13" s="1769">
        <f t="shared" si="0"/>
        <v>0</v>
      </c>
      <c r="S13" s="1762"/>
      <c r="T13" s="1762"/>
      <c r="U13" s="1762"/>
      <c r="V13" s="1723"/>
    </row>
    <row r="14" spans="1:22" s="1609" customFormat="1" ht="13.15" customHeight="1">
      <c r="A14" s="1656" t="s">
        <v>2145</v>
      </c>
      <c r="B14" s="3485" t="s">
        <v>2146</v>
      </c>
      <c r="C14" s="3486"/>
      <c r="D14" s="1659">
        <f>ROUND(E14*B5/10000,0)</f>
        <v>0</v>
      </c>
      <c r="E14" s="1664"/>
      <c r="F14" s="1651" t="s">
        <v>2147</v>
      </c>
      <c r="G14" s="1652"/>
      <c r="H14" s="1627"/>
      <c r="I14" s="1723"/>
      <c r="J14" s="3477"/>
      <c r="K14" s="3482"/>
      <c r="L14" s="1736" t="s">
        <v>2148</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2149</v>
      </c>
      <c r="B15" s="3485" t="s">
        <v>2150</v>
      </c>
      <c r="C15" s="3486"/>
      <c r="D15" s="1659">
        <f>ROUND(D6*E15,0)</f>
        <v>0</v>
      </c>
      <c r="E15" s="1660">
        <v>5.5E-2</v>
      </c>
      <c r="F15" s="1651" t="s">
        <v>2151</v>
      </c>
      <c r="G15" s="1638"/>
      <c r="H15" s="1627"/>
      <c r="I15" s="1723"/>
      <c r="J15" s="3477">
        <v>2</v>
      </c>
      <c r="K15" s="3480" t="s">
        <v>2152</v>
      </c>
      <c r="L15" s="1733" t="s">
        <v>2153</v>
      </c>
      <c r="M15" s="1734" t="s">
        <v>2154</v>
      </c>
      <c r="N15" s="1734" t="s">
        <v>2155</v>
      </c>
      <c r="O15" s="1735" t="s">
        <v>2156</v>
      </c>
      <c r="P15" s="1735" t="s">
        <v>2118</v>
      </c>
      <c r="Q15" s="1631" t="s">
        <v>124</v>
      </c>
      <c r="R15" s="1771" t="s">
        <v>2119</v>
      </c>
      <c r="S15" s="1762"/>
      <c r="T15" s="1762"/>
      <c r="U15" s="1762"/>
      <c r="V15" s="1723"/>
    </row>
    <row r="16" spans="1:22" s="1609" customFormat="1" ht="13.15" customHeight="1">
      <c r="A16" s="1656" t="s">
        <v>2157</v>
      </c>
      <c r="B16" s="3485" t="s">
        <v>2158</v>
      </c>
      <c r="C16" s="3486"/>
      <c r="D16" s="1665">
        <f>D6*E16</f>
        <v>0</v>
      </c>
      <c r="E16" s="1666"/>
      <c r="F16" s="1654" t="s">
        <v>2159</v>
      </c>
      <c r="G16" s="1638"/>
      <c r="H16" s="1627"/>
      <c r="I16" s="1723"/>
      <c r="J16" s="3477"/>
      <c r="K16" s="3481"/>
      <c r="L16" s="1733" t="s">
        <v>2160</v>
      </c>
      <c r="M16" s="1734"/>
      <c r="N16" s="1734"/>
      <c r="O16" s="1735"/>
      <c r="P16" s="1664">
        <v>365</v>
      </c>
      <c r="Q16" s="1631"/>
      <c r="R16" s="1771">
        <f>ROUND(M16*N16*O16*P16/10000,0)</f>
        <v>0</v>
      </c>
      <c r="S16" s="1762"/>
      <c r="T16" s="1762"/>
      <c r="U16" s="1762"/>
      <c r="V16" s="1723"/>
    </row>
    <row r="17" spans="1:22" s="1609" customFormat="1" ht="13.15" customHeight="1">
      <c r="A17" s="1667">
        <v>4</v>
      </c>
      <c r="B17" s="3487" t="s">
        <v>2161</v>
      </c>
      <c r="C17" s="3488"/>
      <c r="D17" s="1668">
        <f>ROUND(D6*E17,0)</f>
        <v>0</v>
      </c>
      <c r="E17" s="1669"/>
      <c r="F17" s="1670" t="s">
        <v>2162</v>
      </c>
      <c r="G17" s="1638"/>
      <c r="H17" s="1627"/>
      <c r="I17" s="1723"/>
      <c r="J17" s="3477"/>
      <c r="K17" s="3481"/>
      <c r="L17" s="1733" t="s">
        <v>2163</v>
      </c>
      <c r="M17" s="1734"/>
      <c r="N17" s="1734"/>
      <c r="O17" s="1735"/>
      <c r="P17" s="1664">
        <v>365</v>
      </c>
      <c r="Q17" s="1631"/>
      <c r="R17" s="1771">
        <f>ROUND(M17*N17*O17*P17/10000,0)</f>
        <v>0</v>
      </c>
      <c r="S17" s="1762"/>
      <c r="T17" s="1762"/>
      <c r="U17" s="1762"/>
      <c r="V17" s="1723"/>
    </row>
    <row r="18" spans="1:22" s="1609" customFormat="1" ht="13.15" customHeight="1">
      <c r="A18" s="1639" t="s">
        <v>2164</v>
      </c>
      <c r="B18" s="1640"/>
      <c r="C18" s="1640"/>
      <c r="D18" s="1671">
        <f>ROUND(D6*E18,0)</f>
        <v>0</v>
      </c>
      <c r="E18" s="1672"/>
      <c r="F18" s="1673" t="s">
        <v>2165</v>
      </c>
      <c r="G18" s="1638"/>
      <c r="H18" s="1627"/>
      <c r="I18" s="1723"/>
      <c r="J18" s="3477"/>
      <c r="K18" s="3481"/>
      <c r="L18" s="1733" t="s">
        <v>2166</v>
      </c>
      <c r="M18" s="1734"/>
      <c r="N18" s="1734"/>
      <c r="O18" s="1735"/>
      <c r="P18" s="1664">
        <v>365</v>
      </c>
      <c r="Q18" s="1631"/>
      <c r="R18" s="1771">
        <f>ROUND(M18*N18*O18*P18/10000,0)</f>
        <v>0</v>
      </c>
      <c r="S18" s="1762"/>
      <c r="T18" s="1762"/>
      <c r="U18" s="1762"/>
      <c r="V18" s="1723"/>
    </row>
    <row r="19" spans="1:22" s="1609" customFormat="1" ht="13.15" customHeight="1">
      <c r="A19" s="1674" t="s">
        <v>2167</v>
      </c>
      <c r="B19" s="1636"/>
      <c r="C19" s="1636"/>
      <c r="D19" s="1636"/>
      <c r="E19" s="1636"/>
      <c r="F19" s="1637"/>
      <c r="G19" s="1652"/>
      <c r="H19" s="1627"/>
      <c r="I19" s="1723"/>
      <c r="J19" s="3477"/>
      <c r="K19" s="3482"/>
      <c r="L19" s="1736" t="s">
        <v>2148</v>
      </c>
      <c r="M19" s="1737"/>
      <c r="N19" s="1737">
        <f>SUM(N16:N18)</f>
        <v>0</v>
      </c>
      <c r="O19" s="1738"/>
      <c r="P19" s="1739" t="s">
        <v>2168</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77">
        <v>3</v>
      </c>
      <c r="K20" s="3480" t="s">
        <v>2169</v>
      </c>
      <c r="L20" s="1733" t="s">
        <v>2170</v>
      </c>
      <c r="M20" s="1734" t="s">
        <v>2171</v>
      </c>
      <c r="N20" s="1740" t="s">
        <v>2172</v>
      </c>
      <c r="O20" s="1735" t="s">
        <v>2173</v>
      </c>
      <c r="P20" s="1664" t="s">
        <v>2118</v>
      </c>
      <c r="Q20" s="1631" t="s">
        <v>124</v>
      </c>
      <c r="R20" s="1771" t="s">
        <v>2119</v>
      </c>
      <c r="S20" s="1759"/>
      <c r="T20" s="1759"/>
      <c r="U20" s="1759"/>
      <c r="V20" s="1723"/>
    </row>
    <row r="21" spans="1:22" s="1609" customFormat="1" ht="13.15" customHeight="1">
      <c r="A21" s="1639"/>
      <c r="B21" s="1640"/>
      <c r="C21" s="1647" t="s">
        <v>2174</v>
      </c>
      <c r="D21" s="1676" t="s">
        <v>2175</v>
      </c>
      <c r="E21" s="1648" t="s">
        <v>2176</v>
      </c>
      <c r="F21" s="1675"/>
      <c r="G21" s="1652"/>
      <c r="H21" s="1627"/>
      <c r="I21" s="1723"/>
      <c r="J21" s="3477"/>
      <c r="K21" s="3481"/>
      <c r="L21" s="1733" t="s">
        <v>2177</v>
      </c>
      <c r="M21" s="1734"/>
      <c r="N21" s="1734"/>
      <c r="O21" s="1735"/>
      <c r="P21" s="1664">
        <v>365</v>
      </c>
      <c r="Q21" s="1631"/>
      <c r="R21" s="1773">
        <f>ROUND(M21*N21*O21*P21/10000,0)</f>
        <v>0</v>
      </c>
      <c r="S21" s="1759"/>
      <c r="T21" s="1759"/>
      <c r="U21" s="1759"/>
      <c r="V21" s="1723"/>
    </row>
    <row r="22" spans="1:22" s="1609" customFormat="1" ht="13.15" customHeight="1">
      <c r="A22" s="1639"/>
      <c r="B22" s="1640"/>
      <c r="C22" s="1677" t="s">
        <v>2178</v>
      </c>
      <c r="D22" s="1678" t="s">
        <v>2179</v>
      </c>
      <c r="E22" s="1679" t="s">
        <v>2180</v>
      </c>
      <c r="F22" s="1675"/>
      <c r="G22" s="1680"/>
      <c r="H22" s="1627"/>
      <c r="I22" s="1723"/>
      <c r="J22" s="3477"/>
      <c r="K22" s="3481"/>
      <c r="L22" s="1733" t="s">
        <v>2181</v>
      </c>
      <c r="M22" s="1734"/>
      <c r="N22" s="1734"/>
      <c r="O22" s="1735"/>
      <c r="P22" s="1664">
        <v>365</v>
      </c>
      <c r="Q22" s="1631"/>
      <c r="R22" s="1773">
        <f>ROUND(M22*N22*O22*P22/10000,0)</f>
        <v>0</v>
      </c>
      <c r="S22" s="1759"/>
      <c r="T22" s="1759"/>
      <c r="U22" s="1759"/>
      <c r="V22" s="1723"/>
    </row>
    <row r="23" spans="1:22" s="1609" customFormat="1" ht="13.15" customHeight="1">
      <c r="A23" s="1681">
        <v>1</v>
      </c>
      <c r="B23" s="1682" t="s">
        <v>2182</v>
      </c>
      <c r="C23" s="1683">
        <f>D6</f>
        <v>0</v>
      </c>
      <c r="D23" s="1684">
        <f>C23*(1+D24)</f>
        <v>0</v>
      </c>
      <c r="E23" s="1685">
        <f>D23*(1+E24)</f>
        <v>0</v>
      </c>
      <c r="F23" s="1686"/>
      <c r="G23" s="1687"/>
      <c r="H23" s="1627"/>
      <c r="I23" s="1723"/>
      <c r="J23" s="3477"/>
      <c r="K23" s="3481"/>
      <c r="L23" s="1733" t="s">
        <v>2183</v>
      </c>
      <c r="M23" s="1734"/>
      <c r="N23" s="1734"/>
      <c r="O23" s="1735"/>
      <c r="P23" s="1664">
        <v>365</v>
      </c>
      <c r="Q23" s="1631"/>
      <c r="R23" s="1773">
        <f>ROUND(M23*N23*O23*P23/10000,0)</f>
        <v>0</v>
      </c>
      <c r="S23" s="1762"/>
      <c r="T23" s="1762"/>
      <c r="U23" s="1762"/>
      <c r="V23" s="1723"/>
    </row>
    <row r="24" spans="1:22" s="1609" customFormat="1" ht="13.15" customHeight="1">
      <c r="A24" s="1688"/>
      <c r="B24" s="1689" t="s">
        <v>2184</v>
      </c>
      <c r="C24" s="1690"/>
      <c r="D24" s="1691"/>
      <c r="E24" s="1692"/>
      <c r="F24" s="1693"/>
      <c r="G24" s="1687"/>
      <c r="H24" s="1627"/>
      <c r="I24" s="1723"/>
      <c r="J24" s="3477"/>
      <c r="K24" s="3482"/>
      <c r="L24" s="1736" t="s">
        <v>2148</v>
      </c>
      <c r="M24" s="1737">
        <f>SUM(M21:M23)</f>
        <v>0</v>
      </c>
      <c r="N24" s="1737"/>
      <c r="O24" s="1738"/>
      <c r="P24" s="1739" t="s">
        <v>2168</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2185</v>
      </c>
      <c r="L25" s="1742"/>
      <c r="M25" s="1742"/>
      <c r="N25" s="1742"/>
      <c r="O25" s="1742"/>
      <c r="P25" s="1743"/>
      <c r="Q25" s="1774">
        <v>0</v>
      </c>
      <c r="R25" s="1772">
        <f>ROUND(R14*Q25,0)</f>
        <v>0</v>
      </c>
      <c r="S25" s="1762"/>
      <c r="T25" s="1762"/>
      <c r="U25" s="1762"/>
      <c r="V25" s="1749"/>
    </row>
    <row r="26" spans="1:22" s="1610" customFormat="1" ht="13.15" customHeight="1">
      <c r="A26" s="1681">
        <v>2</v>
      </c>
      <c r="B26" s="1682" t="s">
        <v>2186</v>
      </c>
      <c r="C26" s="1683">
        <f>D7</f>
        <v>0</v>
      </c>
      <c r="D26" s="1684">
        <f>D23*D27</f>
        <v>0</v>
      </c>
      <c r="E26" s="1685">
        <f>E23*E27</f>
        <v>0</v>
      </c>
      <c r="F26" s="1686"/>
      <c r="G26" s="1687"/>
      <c r="H26" s="1627"/>
      <c r="I26" s="1723"/>
      <c r="J26" s="3478">
        <v>5</v>
      </c>
      <c r="K26" s="1744" t="s">
        <v>2187</v>
      </c>
      <c r="L26" s="1745"/>
      <c r="M26" s="1746"/>
      <c r="N26" s="1747" t="s">
        <v>361</v>
      </c>
      <c r="O26" s="1747" t="s">
        <v>2188</v>
      </c>
      <c r="P26" s="1748" t="s">
        <v>2189</v>
      </c>
      <c r="Q26" s="1748" t="s">
        <v>2190</v>
      </c>
      <c r="R26" s="1766" t="s">
        <v>2119</v>
      </c>
      <c r="S26" s="1775"/>
      <c r="T26" s="1775"/>
      <c r="U26" s="1775"/>
      <c r="V26" s="1749"/>
    </row>
    <row r="27" spans="1:22" s="1609" customFormat="1" ht="13.15" customHeight="1">
      <c r="A27" s="1688"/>
      <c r="B27" s="1689" t="s">
        <v>2191</v>
      </c>
      <c r="C27" s="1694" t="e">
        <f>E7</f>
        <v>#DIV/0!</v>
      </c>
      <c r="D27" s="1691"/>
      <c r="E27" s="1692"/>
      <c r="F27" s="1693"/>
      <c r="G27" s="1687"/>
      <c r="H27" s="1695"/>
      <c r="I27" s="1749"/>
      <c r="J27" s="3479"/>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2192</v>
      </c>
      <c r="F28" s="1693"/>
      <c r="G28" s="1680"/>
      <c r="H28" s="1695"/>
      <c r="I28" s="1749"/>
      <c r="J28" s="1754">
        <v>6</v>
      </c>
      <c r="K28" s="1755" t="s">
        <v>2193</v>
      </c>
      <c r="L28" s="1756" t="s">
        <v>2194</v>
      </c>
      <c r="M28" s="1757"/>
      <c r="N28" s="1756" t="s">
        <v>2195</v>
      </c>
      <c r="O28" s="1758"/>
      <c r="P28" s="1756" t="s">
        <v>2196</v>
      </c>
      <c r="Q28" s="1777">
        <v>1.4999999999999999E-2</v>
      </c>
      <c r="R28" s="1778"/>
      <c r="S28" s="1759"/>
      <c r="T28" s="1759"/>
      <c r="U28" s="1759"/>
      <c r="V28" s="1749"/>
    </row>
    <row r="29" spans="1:22" s="1610" customFormat="1" ht="13.15" customHeight="1">
      <c r="A29" s="1681">
        <v>3</v>
      </c>
      <c r="B29" s="1682" t="s">
        <v>2197</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2191</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2198</v>
      </c>
      <c r="K31" s="1722"/>
      <c r="L31" s="1722"/>
      <c r="M31" s="1722"/>
      <c r="N31" s="1722"/>
      <c r="O31" s="1722"/>
      <c r="P31" s="1722"/>
      <c r="Q31" s="1722"/>
      <c r="R31" s="1761"/>
      <c r="S31" s="1759"/>
      <c r="T31" s="1762"/>
      <c r="U31" s="1762"/>
      <c r="V31" s="1749"/>
    </row>
    <row r="32" spans="1:22" s="1610" customFormat="1" ht="13.15" customHeight="1">
      <c r="A32" s="1681">
        <v>4</v>
      </c>
      <c r="B32" s="1682" t="s">
        <v>2199</v>
      </c>
      <c r="C32" s="1683">
        <f>C23-C26-C29</f>
        <v>0</v>
      </c>
      <c r="D32" s="1684">
        <f>D23-D26-D29</f>
        <v>0</v>
      </c>
      <c r="E32" s="1685">
        <f>E23-E26-E29</f>
        <v>0</v>
      </c>
      <c r="F32" s="1686"/>
      <c r="G32" s="1680"/>
      <c r="H32" s="1627"/>
      <c r="I32" s="1723"/>
      <c r="J32" s="3489" t="s">
        <v>2098</v>
      </c>
      <c r="K32" s="3490"/>
      <c r="L32" s="1724" t="s">
        <v>2099</v>
      </c>
      <c r="M32" s="1724" t="s">
        <v>2100</v>
      </c>
      <c r="N32" s="1724" t="s">
        <v>2101</v>
      </c>
      <c r="O32" s="1724" t="s">
        <v>2102</v>
      </c>
      <c r="P32" s="1724" t="s">
        <v>2103</v>
      </c>
      <c r="Q32" s="1763" t="s">
        <v>2104</v>
      </c>
      <c r="R32" s="1779" t="s">
        <v>2105</v>
      </c>
      <c r="S32" s="1759"/>
      <c r="T32" s="1762"/>
      <c r="U32" s="1762"/>
      <c r="V32" s="1749"/>
    </row>
    <row r="33" spans="1:23" s="1609" customFormat="1" ht="13.15" customHeight="1">
      <c r="A33" s="1681"/>
      <c r="B33" s="1682"/>
      <c r="C33" s="1683"/>
      <c r="D33" s="1698"/>
      <c r="E33" s="1658"/>
      <c r="F33" s="1686"/>
      <c r="G33" s="1680"/>
      <c r="H33" s="1695"/>
      <c r="I33" s="1749"/>
      <c r="J33" s="3483" t="s">
        <v>2106</v>
      </c>
      <c r="K33" s="3484"/>
      <c r="L33" s="1725"/>
      <c r="M33" s="1725"/>
      <c r="N33" s="1725"/>
      <c r="O33" s="1725"/>
      <c r="P33" s="1725"/>
      <c r="Q33" s="1765"/>
      <c r="R33" s="1780">
        <f>SUM(L33:Q33)</f>
        <v>0</v>
      </c>
      <c r="S33" s="1759"/>
      <c r="T33" s="1762"/>
      <c r="U33" s="1762"/>
      <c r="V33" s="1723"/>
    </row>
    <row r="34" spans="1:23" s="1609" customFormat="1" ht="13.15" customHeight="1">
      <c r="A34" s="1681">
        <v>5</v>
      </c>
      <c r="B34" s="1682" t="s">
        <v>2200</v>
      </c>
      <c r="C34" s="1699"/>
      <c r="D34" s="1700"/>
      <c r="E34" s="1701"/>
      <c r="F34" s="1686"/>
      <c r="G34" s="1680"/>
      <c r="H34" s="1695"/>
      <c r="I34" s="1749"/>
      <c r="J34" s="3483" t="s">
        <v>2107</v>
      </c>
      <c r="K34" s="3484"/>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2201</v>
      </c>
      <c r="C35" s="1702"/>
      <c r="D35" s="1703"/>
      <c r="E35" s="1704"/>
      <c r="F35" s="1686"/>
      <c r="G35" s="1705"/>
      <c r="H35" s="1627"/>
      <c r="I35" s="1749"/>
      <c r="J35" s="1727" t="s">
        <v>2109</v>
      </c>
      <c r="K35" s="1728"/>
      <c r="L35" s="1728"/>
      <c r="M35" s="1729"/>
      <c r="N35" s="1729"/>
      <c r="O35" s="1729"/>
      <c r="P35" s="1729"/>
      <c r="Q35" s="1729"/>
      <c r="R35" s="1782">
        <f>R40+R41+R43</f>
        <v>0</v>
      </c>
      <c r="S35" s="1759"/>
      <c r="T35" s="1762" t="s">
        <v>2110</v>
      </c>
      <c r="U35" s="1762"/>
      <c r="V35" s="1723"/>
    </row>
    <row r="36" spans="1:23" s="1609" customFormat="1" ht="13.15" customHeight="1">
      <c r="A36" s="1681">
        <v>7</v>
      </c>
      <c r="B36" s="1706" t="s">
        <v>2202</v>
      </c>
      <c r="C36" s="1707"/>
      <c r="D36" s="1708"/>
      <c r="E36" s="1709"/>
      <c r="F36" s="1710">
        <f>C36+D36+E36</f>
        <v>0</v>
      </c>
      <c r="G36" s="1680"/>
      <c r="H36" s="1627"/>
      <c r="I36" s="1723"/>
      <c r="J36" s="3477">
        <v>1</v>
      </c>
      <c r="K36" s="3480" t="s">
        <v>2203</v>
      </c>
      <c r="L36" s="1731"/>
      <c r="M36" s="1732"/>
      <c r="N36" s="1732"/>
      <c r="O36" s="1732"/>
      <c r="P36" s="1732"/>
      <c r="Q36" s="1732"/>
      <c r="R36" s="1766" t="s">
        <v>2119</v>
      </c>
      <c r="S36" s="1759"/>
      <c r="T36" s="1762" t="s">
        <v>2120</v>
      </c>
      <c r="U36" s="1762"/>
      <c r="V36" s="1723"/>
    </row>
    <row r="37" spans="1:23" s="1609" customFormat="1" ht="13.15" customHeight="1">
      <c r="A37" s="1681"/>
      <c r="B37" s="1682"/>
      <c r="C37" s="1682"/>
      <c r="D37" s="1682"/>
      <c r="E37" s="1682"/>
      <c r="F37" s="1686"/>
      <c r="G37" s="1680"/>
      <c r="H37" s="1627"/>
      <c r="I37" s="1723"/>
      <c r="J37" s="3477"/>
      <c r="K37" s="3481"/>
      <c r="L37" s="1733"/>
      <c r="M37" s="1734"/>
      <c r="N37" s="1631"/>
      <c r="O37" s="1735"/>
      <c r="P37" s="1735"/>
      <c r="Q37" s="1664"/>
      <c r="R37" s="1769"/>
      <c r="S37" s="1759"/>
      <c r="T37" s="1762" t="s">
        <v>2123</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77"/>
      <c r="K38" s="3481"/>
      <c r="L38" s="1733"/>
      <c r="M38" s="1734"/>
      <c r="N38" s="1631"/>
      <c r="O38" s="1735"/>
      <c r="P38" s="1735"/>
      <c r="Q38" s="1664"/>
      <c r="R38" s="1769"/>
      <c r="S38" s="1759"/>
      <c r="T38" s="1762" t="s">
        <v>2130</v>
      </c>
      <c r="U38" s="1762"/>
      <c r="V38" s="1723"/>
    </row>
    <row r="39" spans="1:23" s="1609" customFormat="1" ht="13.15" customHeight="1">
      <c r="A39" s="1681">
        <v>9</v>
      </c>
      <c r="B39" s="1682" t="s">
        <v>2204</v>
      </c>
      <c r="C39" s="1659" t="e">
        <f>C38</f>
        <v>#DIV/0!</v>
      </c>
      <c r="D39" s="1682">
        <f>D38/(1+D34)^C36</f>
        <v>0</v>
      </c>
      <c r="E39" s="1682">
        <f>E38/(1+E34)^(C36+D36)</f>
        <v>0</v>
      </c>
      <c r="F39" s="1686"/>
      <c r="G39" s="1711"/>
      <c r="H39" s="1627"/>
      <c r="I39" s="1723"/>
      <c r="J39" s="3477"/>
      <c r="K39" s="3481"/>
      <c r="L39" s="1733"/>
      <c r="M39" s="1734"/>
      <c r="N39" s="1631"/>
      <c r="O39" s="1735"/>
      <c r="P39" s="1735"/>
      <c r="Q39" s="1664"/>
      <c r="R39" s="1769"/>
      <c r="S39" s="1759"/>
      <c r="T39" s="1762"/>
      <c r="U39" s="1762"/>
      <c r="V39" s="1723"/>
    </row>
    <row r="40" spans="1:23" s="1609" customFormat="1" ht="13.15" customHeight="1">
      <c r="A40" s="1712">
        <v>10</v>
      </c>
      <c r="B40" s="1682" t="s">
        <v>2205</v>
      </c>
      <c r="C40" s="1713" t="e">
        <f>C39+D39+E39</f>
        <v>#DIV/0!</v>
      </c>
      <c r="D40" s="1714"/>
      <c r="E40" s="1714"/>
      <c r="F40" s="1715"/>
      <c r="G40" s="1680"/>
      <c r="H40" s="1627"/>
      <c r="I40" s="1723"/>
      <c r="J40" s="3477"/>
      <c r="K40" s="3482"/>
      <c r="L40" s="1736" t="s">
        <v>2148</v>
      </c>
      <c r="M40" s="1737"/>
      <c r="N40" s="1737"/>
      <c r="O40" s="1738"/>
      <c r="P40" s="1738"/>
      <c r="Q40" s="1770"/>
      <c r="R40" s="1764">
        <f>SUM(R37:R39)</f>
        <v>0</v>
      </c>
      <c r="S40" s="1759"/>
      <c r="T40" s="1762"/>
      <c r="U40" s="1762"/>
      <c r="V40" s="1723"/>
    </row>
    <row r="41" spans="1:23" s="1609" customFormat="1" ht="13.15" customHeight="1">
      <c r="A41" s="1716">
        <v>11</v>
      </c>
      <c r="B41" s="1717" t="s">
        <v>2206</v>
      </c>
      <c r="C41" s="1717" t="e">
        <f>ROUND(C40*10000/B4,0)</f>
        <v>#DIV/0!</v>
      </c>
      <c r="D41" s="1718"/>
      <c r="E41" s="1718"/>
      <c r="F41" s="1719"/>
      <c r="G41" s="1720"/>
      <c r="H41" s="1627"/>
      <c r="I41" s="1723"/>
      <c r="J41" s="1730">
        <v>2</v>
      </c>
      <c r="K41" s="1741" t="s">
        <v>2185</v>
      </c>
      <c r="L41" s="1742"/>
      <c r="M41" s="1742"/>
      <c r="N41" s="1742"/>
      <c r="O41" s="1742"/>
      <c r="P41" s="1743"/>
      <c r="Q41" s="1774"/>
      <c r="R41" s="1772">
        <f>ROUND(R40*Q41,0)</f>
        <v>0</v>
      </c>
      <c r="S41" s="1759"/>
      <c r="T41" s="1762"/>
      <c r="U41" s="1775"/>
      <c r="V41" s="1723"/>
    </row>
    <row r="42" spans="1:23" s="1609" customFormat="1" ht="13.15" customHeight="1">
      <c r="G42" s="1720"/>
      <c r="H42" s="1627"/>
      <c r="I42" s="1723"/>
      <c r="J42" s="3478">
        <v>3</v>
      </c>
      <c r="K42" s="1744" t="s">
        <v>2187</v>
      </c>
      <c r="L42" s="1745"/>
      <c r="M42" s="1746"/>
      <c r="N42" s="1747" t="s">
        <v>361</v>
      </c>
      <c r="O42" s="1747" t="s">
        <v>2188</v>
      </c>
      <c r="P42" s="1748" t="s">
        <v>2189</v>
      </c>
      <c r="Q42" s="1748" t="s">
        <v>2190</v>
      </c>
      <c r="R42" s="1766" t="s">
        <v>2119</v>
      </c>
      <c r="S42" s="1775"/>
      <c r="T42" s="1775"/>
      <c r="U42" s="1762"/>
      <c r="V42" s="1723"/>
    </row>
    <row r="43" spans="1:23" ht="13.15" customHeight="1">
      <c r="A43" s="1609"/>
      <c r="B43" s="1609"/>
      <c r="C43" s="1609"/>
      <c r="D43" s="1609"/>
      <c r="E43" s="1609"/>
      <c r="F43" s="1609"/>
      <c r="I43" s="1613"/>
      <c r="J43" s="3479"/>
      <c r="K43" s="1750"/>
      <c r="L43" s="1751"/>
      <c r="M43" s="1752"/>
      <c r="N43" s="1734"/>
      <c r="O43" s="1734"/>
      <c r="P43" s="1734"/>
      <c r="Q43" s="1774"/>
      <c r="R43" s="1772">
        <f>ROUND(O43*N43*P43*(1-Q43)/10000,0)</f>
        <v>0</v>
      </c>
      <c r="S43" s="1759"/>
      <c r="T43" s="1762"/>
      <c r="V43" s="1615"/>
      <c r="W43" s="1783"/>
    </row>
    <row r="44" spans="1:23" ht="13.15" customHeight="1">
      <c r="J44" s="1754">
        <v>6</v>
      </c>
      <c r="K44" s="1755" t="s">
        <v>2193</v>
      </c>
      <c r="L44" s="1760" t="s">
        <v>2194</v>
      </c>
      <c r="M44" s="1757"/>
      <c r="N44" s="1760" t="s">
        <v>2195</v>
      </c>
      <c r="O44" s="1757"/>
      <c r="P44" s="1760" t="s">
        <v>2196</v>
      </c>
      <c r="Q44" s="1777">
        <v>1.4999999999999999E-2</v>
      </c>
      <c r="R44" s="17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G6" sqref="G6"/>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2207</v>
      </c>
      <c r="B1" s="1586"/>
      <c r="C1" s="1586"/>
      <c r="D1" s="1586"/>
      <c r="E1" s="1587"/>
      <c r="F1" s="1588"/>
      <c r="G1" s="1589"/>
      <c r="H1" s="1589"/>
      <c r="I1" s="1589"/>
      <c r="J1" s="1589"/>
      <c r="K1" s="1589"/>
      <c r="L1" s="1589"/>
      <c r="M1" s="1589"/>
      <c r="N1" s="1589"/>
      <c r="O1" s="1589"/>
      <c r="P1" s="1589"/>
      <c r="Q1" s="1589"/>
      <c r="R1" s="1589"/>
      <c r="S1" s="1589"/>
    </row>
    <row r="2" spans="1:22" ht="15.75">
      <c r="A2" s="1590" t="s">
        <v>915</v>
      </c>
      <c r="B2" s="1591">
        <f ca="1">SUMIF(B6:B13,"&lt;&gt;#ref!",B6:B13)</f>
        <v>30460</v>
      </c>
      <c r="C2" s="1592" t="s">
        <v>2208</v>
      </c>
      <c r="D2" s="1593" t="s">
        <v>2209</v>
      </c>
      <c r="E2" s="1594">
        <f>SUM(E6:E13)</f>
        <v>16578.28</v>
      </c>
      <c r="F2" s="1588"/>
      <c r="G2" s="1589"/>
      <c r="H2" s="1589"/>
      <c r="I2" s="1589"/>
      <c r="J2" s="1589"/>
      <c r="K2" s="1589"/>
      <c r="L2" s="1589"/>
      <c r="M2" s="1589"/>
      <c r="N2" s="1589"/>
      <c r="O2" s="1589"/>
      <c r="P2" s="1589"/>
      <c r="Q2" s="1589"/>
      <c r="R2" s="1589"/>
      <c r="S2" s="1589"/>
    </row>
    <row r="3" spans="1:22" ht="15.75">
      <c r="A3" s="1590" t="s">
        <v>917</v>
      </c>
      <c r="B3" s="1595">
        <f ca="1">ROUND(B2*10000/E2,0)</f>
        <v>18373</v>
      </c>
      <c r="C3" s="1592" t="s">
        <v>2210</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2211</v>
      </c>
      <c r="B5" s="3496" t="s">
        <v>2212</v>
      </c>
      <c r="C5" s="3497"/>
      <c r="D5" s="1600"/>
      <c r="E5" s="1601" t="s">
        <v>2213</v>
      </c>
      <c r="F5" s="1602" t="s">
        <v>2214</v>
      </c>
      <c r="G5" s="1589"/>
      <c r="H5" s="1589"/>
      <c r="I5" s="1589">
        <f ca="1">I6+I7</f>
        <v>3011.4119999999998</v>
      </c>
      <c r="J5" s="1589"/>
      <c r="K5" s="1589"/>
      <c r="L5" s="1589"/>
      <c r="M5" s="1589"/>
      <c r="N5" s="1589"/>
      <c r="O5" s="1589"/>
      <c r="P5" s="1589"/>
      <c r="Q5" s="1589"/>
      <c r="R5" s="1589"/>
      <c r="S5" s="1589"/>
    </row>
    <row r="6" spans="1:22">
      <c r="A6" s="1603" t="str">
        <f>'数据-取费表'!AN6</f>
        <v>收益法</v>
      </c>
      <c r="B6" s="498">
        <f ca="1">IF(F6="是",'数据-取费表'!AO6,0)</f>
        <v>26654</v>
      </c>
      <c r="C6" s="1592" t="s">
        <v>2208</v>
      </c>
      <c r="D6" s="1596"/>
      <c r="E6" s="1604">
        <f>IF(OR(A6=0,F6="否"),0,'数据-取费表'!K6+'数据-取费表'!S6)</f>
        <v>10513.99</v>
      </c>
      <c r="F6" s="1605" t="s">
        <v>2215</v>
      </c>
      <c r="G6" s="1589"/>
      <c r="H6" s="1589"/>
      <c r="I6" s="1589">
        <f ca="1">收益法!C5</f>
        <v>2613</v>
      </c>
      <c r="J6" s="1589"/>
      <c r="K6" s="1589"/>
      <c r="L6" s="1589"/>
      <c r="M6" s="1589"/>
      <c r="N6" s="1589"/>
      <c r="O6" s="1589"/>
      <c r="P6" s="1589"/>
      <c r="Q6" s="1589"/>
      <c r="R6" s="1589"/>
      <c r="S6" s="1589"/>
    </row>
    <row r="7" spans="1:22">
      <c r="A7" s="1603" t="str">
        <f>'数据-取费表'!AN7</f>
        <v>收益法 (元)</v>
      </c>
      <c r="B7" s="498">
        <f ca="1">IF(F7="是",'数据-取费表'!AO7,0)</f>
        <v>3806</v>
      </c>
      <c r="C7" s="1592" t="s">
        <v>2208</v>
      </c>
      <c r="D7" s="1596"/>
      <c r="E7" s="1604">
        <f>IF(OR(A7=0,F7="否"),0,'数据-取费表'!K7+'数据-取费表'!S7)</f>
        <v>6064.29</v>
      </c>
      <c r="F7" s="1605" t="s">
        <v>2215</v>
      </c>
      <c r="G7" s="1589"/>
      <c r="H7" s="1589"/>
      <c r="I7" s="1589">
        <f ca="1">'收益法 (元)'!C5/10000</f>
        <v>398.41199999999998</v>
      </c>
      <c r="J7" s="1589"/>
      <c r="K7" s="1589"/>
      <c r="L7" s="1589"/>
      <c r="M7" s="1589"/>
      <c r="N7" s="1589"/>
      <c r="O7" s="1589"/>
      <c r="P7" s="1589"/>
      <c r="Q7" s="1589"/>
      <c r="R7" s="1589"/>
      <c r="S7" s="1589"/>
    </row>
    <row r="8" spans="1:22">
      <c r="A8" s="1603">
        <f>'数据-取费表'!AN8</f>
        <v>0</v>
      </c>
      <c r="B8" s="498" t="e">
        <f ca="1">IF(F8="是",'数据-取费表'!AO8,0)</f>
        <v>#REF!</v>
      </c>
      <c r="C8" s="1592" t="s">
        <v>2208</v>
      </c>
      <c r="D8" s="1596"/>
      <c r="E8" s="1604">
        <f>IF(OR(A8=0,F8="否"),0,'数据-取费表'!K8+'数据-取费表'!S8)</f>
        <v>0</v>
      </c>
      <c r="F8" s="1605" t="s">
        <v>2215</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2208</v>
      </c>
      <c r="D9" s="1596"/>
      <c r="E9" s="1604">
        <f>IF(OR(A9=0,F9="否"),0,'数据-取费表'!K9+'数据-取费表'!S9)</f>
        <v>0</v>
      </c>
      <c r="F9" s="1605" t="s">
        <v>2215</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2208</v>
      </c>
      <c r="D10" s="1596"/>
      <c r="E10" s="1604">
        <f>IF(OR(A10=0,F10="否"),0,'数据-取费表'!K10+'数据-取费表'!S10)</f>
        <v>0</v>
      </c>
      <c r="F10" s="1605" t="s">
        <v>2215</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2208</v>
      </c>
      <c r="D11" s="1596"/>
      <c r="E11" s="1604">
        <f>IF(OR(A11=0,F11="否"),0,'数据-取费表'!K11+'数据-取费表'!S11)</f>
        <v>0</v>
      </c>
      <c r="F11" s="1605" t="s">
        <v>2215</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2208</v>
      </c>
      <c r="D12" s="1596"/>
      <c r="E12" s="1604">
        <f>IF(OR(A12=0,F12="否"),0,'数据-取费表'!K12+'数据-取费表'!S12)</f>
        <v>0</v>
      </c>
      <c r="F12" s="1605" t="s">
        <v>2215</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2208</v>
      </c>
      <c r="D13" s="1608"/>
      <c r="E13" s="1604">
        <f>IF(OR(A13=0,F13="否"),0,'数据-取费表'!K13+'数据-取费表'!S13)</f>
        <v>0</v>
      </c>
      <c r="F13" s="1605" t="s">
        <v>2215</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2216</v>
      </c>
      <c r="B1" s="1482" t="s">
        <v>2217</v>
      </c>
      <c r="C1" s="1343" t="s">
        <v>2218</v>
      </c>
      <c r="D1" s="1287"/>
      <c r="E1" s="1506"/>
      <c r="F1" s="1289" t="s">
        <v>2219</v>
      </c>
      <c r="G1" s="1290" t="s">
        <v>2220</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915</v>
      </c>
      <c r="B2" s="1292" t="e">
        <f ca="1">IF(C2="——",ROUND(C49*D3/10000,0),ROUND(C49*D3/10000,0)-D2)</f>
        <v>#DIV/0!</v>
      </c>
      <c r="C2" s="1293"/>
      <c r="D2" s="1461" t="e">
        <f ca="1">SUMIF(INDIRECT("'"&amp;F2&amp;"'"&amp;"!A:A"),"承租人权益价值",INDIRECT("'"&amp;F2&amp;"'"&amp;"!c:c"))</f>
        <v>#REF!</v>
      </c>
      <c r="E2" s="1294" t="s">
        <v>916</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917</v>
      </c>
      <c r="B3" s="1297" t="e">
        <f ca="1">IF(C2="——",C49,ROUND(B2*10000/D3,0))</f>
        <v>#DIV/0!</v>
      </c>
      <c r="C3" s="1296" t="s">
        <v>2221</v>
      </c>
      <c r="D3" s="1297">
        <f>IF(D1="",'数据-汇总表'!E3,SUMIF('数据-汇总表'!$C19:$C33,D1,'数据-汇总表'!$E19:$E33))</f>
        <v>16578.28</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2222</v>
      </c>
      <c r="B4" s="925"/>
      <c r="C4" s="3536" t="s">
        <v>2223</v>
      </c>
      <c r="D4" s="3537"/>
      <c r="E4" s="3538" t="s">
        <v>2224</v>
      </c>
      <c r="F4" s="3539"/>
      <c r="G4" s="3536" t="s">
        <v>2225</v>
      </c>
      <c r="H4" s="3537"/>
      <c r="I4" s="3536" t="s">
        <v>2226</v>
      </c>
      <c r="J4" s="3537"/>
      <c r="K4" s="1520" t="s">
        <v>2227</v>
      </c>
      <c r="L4" s="1072"/>
      <c r="M4" s="1073"/>
      <c r="N4" s="1073"/>
      <c r="O4" s="1073"/>
      <c r="P4" s="3501" t="s">
        <v>2228</v>
      </c>
      <c r="Q4" s="3502"/>
      <c r="R4" s="3507" t="s">
        <v>2224</v>
      </c>
      <c r="S4" s="3508"/>
      <c r="T4" s="3507" t="s">
        <v>2225</v>
      </c>
      <c r="U4" s="3508"/>
      <c r="V4" s="3513" t="s">
        <v>2226</v>
      </c>
      <c r="W4" s="3513"/>
      <c r="X4" s="1115"/>
      <c r="Y4" s="3507" t="s">
        <v>2228</v>
      </c>
      <c r="Z4" s="3508"/>
      <c r="AA4" s="3498" t="s">
        <v>2224</v>
      </c>
      <c r="AB4" s="3498" t="s">
        <v>2225</v>
      </c>
      <c r="AC4" s="3498" t="s">
        <v>2226</v>
      </c>
    </row>
    <row r="5" spans="1:29" ht="15">
      <c r="A5" s="926"/>
      <c r="B5" s="927"/>
      <c r="C5" s="3540" t="s">
        <v>2229</v>
      </c>
      <c r="D5" s="3541"/>
      <c r="E5" s="3542" t="s">
        <v>2230</v>
      </c>
      <c r="F5" s="3543"/>
      <c r="G5" s="3540" t="s">
        <v>2231</v>
      </c>
      <c r="H5" s="3541"/>
      <c r="I5" s="3540" t="s">
        <v>2232</v>
      </c>
      <c r="J5" s="3541"/>
      <c r="K5" s="1521"/>
      <c r="L5" s="1072"/>
      <c r="M5" s="1073"/>
      <c r="N5" s="1073"/>
      <c r="O5" s="1073"/>
      <c r="P5" s="3503"/>
      <c r="Q5" s="3504"/>
      <c r="R5" s="3509"/>
      <c r="S5" s="3510"/>
      <c r="T5" s="3509"/>
      <c r="U5" s="3510"/>
      <c r="V5" s="3513"/>
      <c r="W5" s="3513"/>
      <c r="X5" s="1115"/>
      <c r="Y5" s="3509"/>
      <c r="Z5" s="3510"/>
      <c r="AA5" s="3499"/>
      <c r="AB5" s="3499"/>
      <c r="AC5" s="3499"/>
    </row>
    <row r="6" spans="1:29" ht="15">
      <c r="A6" s="928"/>
      <c r="B6" s="929"/>
      <c r="C6" s="3531" t="s">
        <v>2233</v>
      </c>
      <c r="D6" s="3532"/>
      <c r="E6" s="3533" t="s">
        <v>2233</v>
      </c>
      <c r="F6" s="3534"/>
      <c r="G6" s="3531" t="s">
        <v>2233</v>
      </c>
      <c r="H6" s="3532"/>
      <c r="I6" s="3531" t="s">
        <v>2233</v>
      </c>
      <c r="J6" s="3532"/>
      <c r="K6" s="1521" t="s">
        <v>2234</v>
      </c>
      <c r="L6" s="1072"/>
      <c r="M6" s="1073"/>
      <c r="N6" s="1073"/>
      <c r="O6" s="1073"/>
      <c r="P6" s="3505"/>
      <c r="Q6" s="3506"/>
      <c r="R6" s="3509"/>
      <c r="S6" s="3510"/>
      <c r="T6" s="3511"/>
      <c r="U6" s="3512"/>
      <c r="V6" s="3513"/>
      <c r="W6" s="3513"/>
      <c r="X6" s="1115"/>
      <c r="Y6" s="3511"/>
      <c r="Z6" s="3512"/>
      <c r="AA6" s="3500"/>
      <c r="AB6" s="3500"/>
      <c r="AC6" s="3500"/>
    </row>
    <row r="7" spans="1:29" s="905" customFormat="1" ht="15">
      <c r="A7" s="930" t="s">
        <v>2235</v>
      </c>
      <c r="B7" s="931"/>
      <c r="C7" s="932">
        <f>'数据-取费表'!B2</f>
        <v>44755</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519" t="s">
        <v>2236</v>
      </c>
      <c r="Q7" s="3535"/>
      <c r="R7" s="1116" t="s">
        <v>2237</v>
      </c>
      <c r="S7" s="1117">
        <f t="shared" ref="S7:S15" si="0">F7</f>
        <v>0</v>
      </c>
      <c r="T7" s="1116" t="s">
        <v>2237</v>
      </c>
      <c r="U7" s="1117">
        <f t="shared" ref="U7:U15" si="1">H7</f>
        <v>0</v>
      </c>
      <c r="V7" s="1116" t="s">
        <v>2237</v>
      </c>
      <c r="W7" s="1117">
        <f t="shared" ref="W7:W15" si="2">J7</f>
        <v>0</v>
      </c>
      <c r="X7" s="1118"/>
      <c r="Y7" s="3519" t="s">
        <v>2236</v>
      </c>
      <c r="Z7" s="3520"/>
      <c r="AA7" s="1130" t="e">
        <f>D7/F7</f>
        <v>#DIV/0!</v>
      </c>
      <c r="AB7" s="1130" t="e">
        <f>D7/H7</f>
        <v>#DIV/0!</v>
      </c>
      <c r="AC7" s="1130" t="e">
        <f>D7/J7</f>
        <v>#DIV/0!</v>
      </c>
    </row>
    <row r="8" spans="1:29" s="905" customFormat="1" ht="15">
      <c r="A8" s="930" t="s">
        <v>2238</v>
      </c>
      <c r="B8" s="931"/>
      <c r="C8" s="937" t="s">
        <v>2239</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519" t="s">
        <v>2240</v>
      </c>
      <c r="Q8" s="3520"/>
      <c r="R8" s="1116" t="s">
        <v>2237</v>
      </c>
      <c r="S8" s="1117">
        <f t="shared" si="0"/>
        <v>0</v>
      </c>
      <c r="T8" s="1116" t="s">
        <v>2237</v>
      </c>
      <c r="U8" s="1117">
        <f t="shared" si="1"/>
        <v>0</v>
      </c>
      <c r="V8" s="1116" t="s">
        <v>2237</v>
      </c>
      <c r="W8" s="1117">
        <f t="shared" si="2"/>
        <v>0</v>
      </c>
      <c r="X8" s="1118"/>
      <c r="Y8" s="3519" t="s">
        <v>2240</v>
      </c>
      <c r="Z8" s="3520"/>
      <c r="AA8" s="1130" t="e">
        <f t="shared" ref="AA8:AA19" si="3">D8/F8</f>
        <v>#DIV/0!</v>
      </c>
      <c r="AB8" s="1130" t="e">
        <f t="shared" ref="AB8:AB19" si="4">D8/H8</f>
        <v>#DIV/0!</v>
      </c>
      <c r="AC8" s="1130" t="e">
        <f t="shared" ref="AC8:AC19" si="5">D8/J8</f>
        <v>#DIV/0!</v>
      </c>
    </row>
    <row r="9" spans="1:29" s="905" customFormat="1">
      <c r="A9" s="938" t="s">
        <v>2241</v>
      </c>
      <c r="B9" s="939" t="s">
        <v>2242</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521" t="s">
        <v>2243</v>
      </c>
      <c r="Q9" s="1120" t="str">
        <f t="shared" ref="Q9:Q15" si="6">B9</f>
        <v>用途</v>
      </c>
      <c r="R9" s="1116" t="s">
        <v>2237</v>
      </c>
      <c r="S9" s="1117">
        <f t="shared" si="0"/>
        <v>100</v>
      </c>
      <c r="T9" s="1116" t="s">
        <v>2237</v>
      </c>
      <c r="U9" s="1117">
        <f t="shared" si="1"/>
        <v>100</v>
      </c>
      <c r="V9" s="1116" t="s">
        <v>2237</v>
      </c>
      <c r="W9" s="1117">
        <f t="shared" si="2"/>
        <v>100</v>
      </c>
      <c r="X9" s="1118"/>
      <c r="Y9" s="3380" t="s">
        <v>2244</v>
      </c>
      <c r="Z9" s="1131" t="str">
        <f t="shared" ref="Z9:Z15" si="7">Q9</f>
        <v>用途</v>
      </c>
      <c r="AA9" s="1130">
        <f t="shared" si="3"/>
        <v>1</v>
      </c>
      <c r="AB9" s="1130">
        <f t="shared" si="4"/>
        <v>1</v>
      </c>
      <c r="AC9" s="1130">
        <f t="shared" si="5"/>
        <v>1</v>
      </c>
    </row>
    <row r="10" spans="1:29" s="906" customFormat="1" ht="27">
      <c r="A10" s="942"/>
      <c r="B10" s="943" t="s">
        <v>2245</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521"/>
      <c r="Q10" s="1120" t="str">
        <f t="shared" si="6"/>
        <v>土地使用年限（年）</v>
      </c>
      <c r="R10" s="1116" t="s">
        <v>2237</v>
      </c>
      <c r="S10" s="1117">
        <f t="shared" si="0"/>
        <v>100</v>
      </c>
      <c r="T10" s="1116" t="s">
        <v>2237</v>
      </c>
      <c r="U10" s="1117">
        <f t="shared" si="1"/>
        <v>100</v>
      </c>
      <c r="V10" s="1116" t="s">
        <v>2237</v>
      </c>
      <c r="W10" s="1117">
        <f t="shared" si="2"/>
        <v>100</v>
      </c>
      <c r="X10" s="1118"/>
      <c r="Y10" s="3380"/>
      <c r="Z10" s="1131" t="str">
        <f t="shared" si="7"/>
        <v>土地使用年限（年）</v>
      </c>
      <c r="AA10" s="1130">
        <f t="shared" si="3"/>
        <v>1</v>
      </c>
      <c r="AB10" s="1130">
        <f t="shared" si="4"/>
        <v>1</v>
      </c>
      <c r="AC10" s="1130">
        <f t="shared" si="5"/>
        <v>1</v>
      </c>
    </row>
    <row r="11" spans="1:29" ht="15">
      <c r="A11" s="946"/>
      <c r="B11" s="943" t="s">
        <v>2246</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521"/>
      <c r="Q11" s="1120" t="str">
        <f t="shared" si="6"/>
        <v>容积率</v>
      </c>
      <c r="R11" s="1116" t="s">
        <v>2237</v>
      </c>
      <c r="S11" s="1117" t="e">
        <f t="shared" si="0"/>
        <v>#N/A</v>
      </c>
      <c r="T11" s="1116" t="s">
        <v>2237</v>
      </c>
      <c r="U11" s="1117" t="e">
        <f t="shared" si="1"/>
        <v>#N/A</v>
      </c>
      <c r="V11" s="1116" t="s">
        <v>2237</v>
      </c>
      <c r="W11" s="1117" t="e">
        <f t="shared" si="2"/>
        <v>#N/A</v>
      </c>
      <c r="X11" s="1118"/>
      <c r="Y11" s="338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521"/>
      <c r="Q12" s="1120">
        <f t="shared" si="6"/>
        <v>111</v>
      </c>
      <c r="R12" s="1116" t="s">
        <v>2237</v>
      </c>
      <c r="S12" s="1117">
        <f t="shared" si="0"/>
        <v>100</v>
      </c>
      <c r="T12" s="1116" t="s">
        <v>2237</v>
      </c>
      <c r="U12" s="1117">
        <f t="shared" si="1"/>
        <v>100</v>
      </c>
      <c r="V12" s="1116" t="s">
        <v>2237</v>
      </c>
      <c r="W12" s="1117">
        <f t="shared" si="2"/>
        <v>100</v>
      </c>
      <c r="X12" s="1118"/>
      <c r="Y12" s="3380"/>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521"/>
      <c r="Q13" s="1120">
        <f t="shared" si="6"/>
        <v>111</v>
      </c>
      <c r="R13" s="1116" t="s">
        <v>2237</v>
      </c>
      <c r="S13" s="1117">
        <f t="shared" si="0"/>
        <v>100</v>
      </c>
      <c r="T13" s="1116" t="s">
        <v>2237</v>
      </c>
      <c r="U13" s="1117">
        <f t="shared" si="1"/>
        <v>100</v>
      </c>
      <c r="V13" s="1116" t="s">
        <v>2237</v>
      </c>
      <c r="W13" s="1117">
        <f t="shared" si="2"/>
        <v>100</v>
      </c>
      <c r="X13" s="1118"/>
      <c r="Y13" s="3380"/>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521"/>
      <c r="Q14" s="1120">
        <f t="shared" si="6"/>
        <v>111</v>
      </c>
      <c r="R14" s="1116" t="s">
        <v>2237</v>
      </c>
      <c r="S14" s="1117">
        <f t="shared" si="0"/>
        <v>100</v>
      </c>
      <c r="T14" s="1116" t="s">
        <v>2237</v>
      </c>
      <c r="U14" s="1117">
        <f t="shared" si="1"/>
        <v>100</v>
      </c>
      <c r="V14" s="1116" t="s">
        <v>2237</v>
      </c>
      <c r="W14" s="1117">
        <f t="shared" si="2"/>
        <v>100</v>
      </c>
      <c r="X14" s="1118"/>
      <c r="Y14" s="3380"/>
      <c r="Z14" s="1131">
        <f t="shared" si="7"/>
        <v>111</v>
      </c>
      <c r="AA14" s="1130">
        <f t="shared" si="3"/>
        <v>1</v>
      </c>
      <c r="AB14" s="1130">
        <f t="shared" si="4"/>
        <v>1</v>
      </c>
      <c r="AC14" s="1130">
        <f t="shared" si="5"/>
        <v>1</v>
      </c>
    </row>
    <row r="15" spans="1:29" ht="99.75">
      <c r="A15" s="960" t="s">
        <v>2247</v>
      </c>
      <c r="B15" s="1253" t="s">
        <v>2248</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522" t="s">
        <v>2249</v>
      </c>
      <c r="Q15" s="681" t="str">
        <f t="shared" si="6"/>
        <v>居住社区成熟度</v>
      </c>
      <c r="R15" s="1121" t="s">
        <v>2237</v>
      </c>
      <c r="S15" s="1122">
        <f t="shared" si="0"/>
        <v>100</v>
      </c>
      <c r="T15" s="1121" t="s">
        <v>2237</v>
      </c>
      <c r="U15" s="1122">
        <f t="shared" si="1"/>
        <v>100</v>
      </c>
      <c r="V15" s="1121" t="s">
        <v>2237</v>
      </c>
      <c r="W15" s="1122">
        <f t="shared" si="2"/>
        <v>100</v>
      </c>
      <c r="X15" s="1115"/>
      <c r="Y15" s="3527" t="s">
        <v>2249</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523"/>
      <c r="Q16" s="681"/>
      <c r="R16" s="1121"/>
      <c r="S16" s="1122"/>
      <c r="T16" s="1121"/>
      <c r="U16" s="1122"/>
      <c r="V16" s="1121"/>
      <c r="W16" s="1122"/>
      <c r="X16" s="1115"/>
      <c r="Y16" s="3528"/>
      <c r="Z16" s="1105"/>
      <c r="AA16" s="1132">
        <v>1</v>
      </c>
      <c r="AB16" s="1132">
        <v>1</v>
      </c>
      <c r="AC16" s="1132">
        <v>1</v>
      </c>
    </row>
    <row r="17" spans="1:29" ht="85.5">
      <c r="A17" s="946"/>
      <c r="B17" s="1256" t="s">
        <v>2250</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523"/>
      <c r="Q17" s="681" t="str">
        <f>B17</f>
        <v>交通便捷度</v>
      </c>
      <c r="R17" s="1121" t="s">
        <v>2237</v>
      </c>
      <c r="S17" s="1122">
        <f>F17</f>
        <v>100</v>
      </c>
      <c r="T17" s="1121" t="s">
        <v>2237</v>
      </c>
      <c r="U17" s="1122">
        <f>H17</f>
        <v>100</v>
      </c>
      <c r="V17" s="1121" t="s">
        <v>2237</v>
      </c>
      <c r="W17" s="1122">
        <f>J17</f>
        <v>100</v>
      </c>
      <c r="X17" s="1115"/>
      <c r="Y17" s="3528"/>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523"/>
      <c r="Q18" s="681"/>
      <c r="R18" s="1121"/>
      <c r="S18" s="1122"/>
      <c r="T18" s="1121"/>
      <c r="U18" s="1122"/>
      <c r="V18" s="1121"/>
      <c r="W18" s="1122"/>
      <c r="X18" s="1115"/>
      <c r="Y18" s="3528"/>
      <c r="Z18" s="1105"/>
      <c r="AA18" s="1132">
        <v>1</v>
      </c>
      <c r="AB18" s="1132">
        <v>1</v>
      </c>
      <c r="AC18" s="1132">
        <v>1</v>
      </c>
    </row>
    <row r="19" spans="1:29" ht="42.75">
      <c r="A19" s="946"/>
      <c r="B19" s="1256" t="s">
        <v>2251</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523"/>
      <c r="Q19" s="681" t="str">
        <f>B19</f>
        <v>公共配套设施</v>
      </c>
      <c r="R19" s="1121" t="s">
        <v>2237</v>
      </c>
      <c r="S19" s="1122">
        <f>F19</f>
        <v>100</v>
      </c>
      <c r="T19" s="1121" t="s">
        <v>2237</v>
      </c>
      <c r="U19" s="1122">
        <f>H19</f>
        <v>100</v>
      </c>
      <c r="V19" s="1121" t="s">
        <v>2237</v>
      </c>
      <c r="W19" s="1122">
        <f>J19</f>
        <v>100</v>
      </c>
      <c r="X19" s="1115"/>
      <c r="Y19" s="3528"/>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523"/>
      <c r="Q20" s="681"/>
      <c r="R20" s="1121"/>
      <c r="S20" s="1122"/>
      <c r="T20" s="1121"/>
      <c r="U20" s="1122"/>
      <c r="V20" s="1121"/>
      <c r="W20" s="1122"/>
      <c r="X20" s="1115"/>
      <c r="Y20" s="3528"/>
      <c r="Z20" s="1105"/>
      <c r="AA20" s="1132">
        <v>1</v>
      </c>
      <c r="AB20" s="1132">
        <v>1</v>
      </c>
      <c r="AC20" s="1132">
        <v>1</v>
      </c>
    </row>
    <row r="21" spans="1:29" ht="28.5">
      <c r="A21" s="946"/>
      <c r="B21" s="1260" t="s">
        <v>2252</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523"/>
      <c r="Q21" s="681" t="str">
        <f>B21</f>
        <v>基础设施水平</v>
      </c>
      <c r="R21" s="1121" t="s">
        <v>2237</v>
      </c>
      <c r="S21" s="1122">
        <f>F21</f>
        <v>100</v>
      </c>
      <c r="T21" s="1121" t="s">
        <v>2237</v>
      </c>
      <c r="U21" s="1122">
        <f>H21</f>
        <v>100</v>
      </c>
      <c r="V21" s="1121" t="s">
        <v>2237</v>
      </c>
      <c r="W21" s="1122">
        <f>J21</f>
        <v>100</v>
      </c>
      <c r="X21" s="1115"/>
      <c r="Y21" s="352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523"/>
      <c r="Q22" s="681"/>
      <c r="R22" s="1121"/>
      <c r="S22" s="1122"/>
      <c r="T22" s="1121"/>
      <c r="U22" s="1122"/>
      <c r="V22" s="1121"/>
      <c r="W22" s="1122"/>
      <c r="X22" s="1115"/>
      <c r="Y22" s="3528"/>
      <c r="Z22" s="1105"/>
      <c r="AA22" s="1132">
        <v>1</v>
      </c>
      <c r="AB22" s="1132">
        <v>1</v>
      </c>
      <c r="AC22" s="1132">
        <v>1</v>
      </c>
    </row>
    <row r="23" spans="1:29" ht="57">
      <c r="A23" s="946"/>
      <c r="B23" s="1256" t="s">
        <v>2253</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523"/>
      <c r="Q23" s="681" t="str">
        <f>B23</f>
        <v>自然及人文环境</v>
      </c>
      <c r="R23" s="1121" t="s">
        <v>2237</v>
      </c>
      <c r="S23" s="1122">
        <f>F23</f>
        <v>100</v>
      </c>
      <c r="T23" s="1121" t="s">
        <v>2237</v>
      </c>
      <c r="U23" s="1122">
        <f>H23</f>
        <v>100</v>
      </c>
      <c r="V23" s="1121" t="s">
        <v>2237</v>
      </c>
      <c r="W23" s="1122">
        <f>J23</f>
        <v>100</v>
      </c>
      <c r="X23" s="1115"/>
      <c r="Y23" s="3528"/>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523"/>
      <c r="Q24" s="681"/>
      <c r="R24" s="1121"/>
      <c r="S24" s="1122"/>
      <c r="T24" s="1121"/>
      <c r="U24" s="1122"/>
      <c r="V24" s="1121"/>
      <c r="W24" s="1122"/>
      <c r="X24" s="1115"/>
      <c r="Y24" s="3528"/>
      <c r="Z24" s="1105"/>
      <c r="AA24" s="1132">
        <v>1</v>
      </c>
      <c r="AB24" s="1132">
        <v>1</v>
      </c>
      <c r="AC24" s="1132">
        <v>1</v>
      </c>
    </row>
    <row r="25" spans="1:29" ht="15">
      <c r="A25" s="946"/>
      <c r="B25" s="943" t="s">
        <v>2254</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523"/>
      <c r="Q25" s="681" t="str">
        <f t="shared" ref="Q25:Q46" si="11">B25</f>
        <v>楼层-1</v>
      </c>
      <c r="R25" s="1121" t="s">
        <v>2237</v>
      </c>
      <c r="S25" s="1122">
        <f t="shared" ref="S25:S46" si="12">F25</f>
        <v>100</v>
      </c>
      <c r="T25" s="1121" t="s">
        <v>2237</v>
      </c>
      <c r="U25" s="1122">
        <f t="shared" ref="U25:U46" si="13">H25</f>
        <v>100</v>
      </c>
      <c r="V25" s="1121" t="s">
        <v>2237</v>
      </c>
      <c r="W25" s="1122">
        <f t="shared" ref="W25:W46" si="14">J25</f>
        <v>100</v>
      </c>
      <c r="X25" s="1115"/>
      <c r="Y25" s="3528"/>
      <c r="Z25" s="1105" t="str">
        <f>Q25</f>
        <v>楼层-1</v>
      </c>
      <c r="AA25" s="1132">
        <f t="shared" ref="AA25:AA46" si="15">D25/F25</f>
        <v>1</v>
      </c>
      <c r="AB25" s="1132">
        <f t="shared" ref="AB25:AB46" si="16">D25/H25</f>
        <v>1</v>
      </c>
      <c r="AC25" s="1132">
        <f t="shared" ref="AC25:AC46" si="17">D25/J25</f>
        <v>1</v>
      </c>
    </row>
    <row r="26" spans="1:29" ht="15">
      <c r="A26" s="946"/>
      <c r="B26" s="943" t="s">
        <v>2255</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523"/>
      <c r="Q26" s="681" t="str">
        <f t="shared" si="11"/>
        <v>朝向</v>
      </c>
      <c r="R26" s="1121" t="s">
        <v>2237</v>
      </c>
      <c r="S26" s="1122">
        <f t="shared" si="12"/>
        <v>100</v>
      </c>
      <c r="T26" s="1121" t="s">
        <v>2237</v>
      </c>
      <c r="U26" s="1122">
        <f t="shared" si="13"/>
        <v>100</v>
      </c>
      <c r="V26" s="1121" t="s">
        <v>2237</v>
      </c>
      <c r="W26" s="1122">
        <f t="shared" si="14"/>
        <v>100</v>
      </c>
      <c r="X26" s="1115"/>
      <c r="Y26" s="3528"/>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523"/>
      <c r="Q27" s="1120">
        <f t="shared" si="11"/>
        <v>111</v>
      </c>
      <c r="R27" s="1116" t="s">
        <v>2237</v>
      </c>
      <c r="S27" s="1117">
        <f t="shared" si="12"/>
        <v>100</v>
      </c>
      <c r="T27" s="1116" t="s">
        <v>2237</v>
      </c>
      <c r="U27" s="1117">
        <f t="shared" si="13"/>
        <v>100</v>
      </c>
      <c r="V27" s="1116" t="s">
        <v>2237</v>
      </c>
      <c r="W27" s="1117">
        <f t="shared" si="14"/>
        <v>100</v>
      </c>
      <c r="X27" s="1118"/>
      <c r="Y27" s="3528"/>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523"/>
      <c r="Q28" s="681">
        <f t="shared" si="11"/>
        <v>111</v>
      </c>
      <c r="R28" s="1121" t="s">
        <v>2237</v>
      </c>
      <c r="S28" s="1122">
        <f t="shared" si="12"/>
        <v>100</v>
      </c>
      <c r="T28" s="1121" t="s">
        <v>2237</v>
      </c>
      <c r="U28" s="1122">
        <f t="shared" si="13"/>
        <v>100</v>
      </c>
      <c r="V28" s="1121" t="s">
        <v>2237</v>
      </c>
      <c r="W28" s="1122">
        <f t="shared" si="14"/>
        <v>100</v>
      </c>
      <c r="X28" s="1115"/>
      <c r="Y28" s="3528"/>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523"/>
      <c r="Q29" s="681">
        <f t="shared" si="11"/>
        <v>111</v>
      </c>
      <c r="R29" s="1121" t="s">
        <v>2237</v>
      </c>
      <c r="S29" s="1122">
        <f t="shared" si="12"/>
        <v>100</v>
      </c>
      <c r="T29" s="1121" t="s">
        <v>2237</v>
      </c>
      <c r="U29" s="1122">
        <f t="shared" si="13"/>
        <v>100</v>
      </c>
      <c r="V29" s="1121" t="s">
        <v>2237</v>
      </c>
      <c r="W29" s="1122">
        <f t="shared" si="14"/>
        <v>100</v>
      </c>
      <c r="X29" s="1115"/>
      <c r="Y29" s="3528"/>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523"/>
      <c r="Q30" s="681">
        <f t="shared" si="11"/>
        <v>111</v>
      </c>
      <c r="R30" s="1121" t="s">
        <v>2237</v>
      </c>
      <c r="S30" s="1122">
        <f t="shared" si="12"/>
        <v>100</v>
      </c>
      <c r="T30" s="1121" t="s">
        <v>2237</v>
      </c>
      <c r="U30" s="1122">
        <f t="shared" si="13"/>
        <v>100</v>
      </c>
      <c r="V30" s="1121" t="s">
        <v>2237</v>
      </c>
      <c r="W30" s="1122">
        <f t="shared" si="14"/>
        <v>100</v>
      </c>
      <c r="X30" s="1115"/>
      <c r="Y30" s="3528"/>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523"/>
      <c r="Q31" s="681">
        <f t="shared" si="11"/>
        <v>111</v>
      </c>
      <c r="R31" s="1121" t="s">
        <v>2237</v>
      </c>
      <c r="S31" s="1122">
        <f t="shared" si="12"/>
        <v>100</v>
      </c>
      <c r="T31" s="1121" t="s">
        <v>2237</v>
      </c>
      <c r="U31" s="1122">
        <f t="shared" si="13"/>
        <v>100</v>
      </c>
      <c r="V31" s="1121" t="s">
        <v>2237</v>
      </c>
      <c r="W31" s="1122">
        <f t="shared" si="14"/>
        <v>100</v>
      </c>
      <c r="X31" s="1115"/>
      <c r="Y31" s="3528"/>
      <c r="Z31" s="1105">
        <f t="shared" si="18"/>
        <v>111</v>
      </c>
      <c r="AA31" s="1132">
        <f t="shared" si="15"/>
        <v>1</v>
      </c>
      <c r="AB31" s="1132">
        <f t="shared" si="16"/>
        <v>1</v>
      </c>
      <c r="AC31" s="1132">
        <f t="shared" si="17"/>
        <v>1</v>
      </c>
    </row>
    <row r="32" spans="1:29" ht="15">
      <c r="A32" s="960" t="s">
        <v>2256</v>
      </c>
      <c r="B32" s="939" t="s">
        <v>2257</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524" t="s">
        <v>2258</v>
      </c>
      <c r="Q32" s="681" t="str">
        <f t="shared" si="11"/>
        <v>建筑类型</v>
      </c>
      <c r="R32" s="1121" t="s">
        <v>2237</v>
      </c>
      <c r="S32" s="1122">
        <f t="shared" si="12"/>
        <v>100</v>
      </c>
      <c r="T32" s="1121" t="s">
        <v>2237</v>
      </c>
      <c r="U32" s="1122">
        <f t="shared" si="13"/>
        <v>100</v>
      </c>
      <c r="V32" s="1121" t="s">
        <v>2237</v>
      </c>
      <c r="W32" s="1122">
        <f t="shared" si="14"/>
        <v>100</v>
      </c>
      <c r="X32" s="1115"/>
      <c r="Y32" s="3529" t="s">
        <v>2258</v>
      </c>
      <c r="Z32" s="1105" t="str">
        <f t="shared" si="18"/>
        <v>建筑类型</v>
      </c>
      <c r="AA32" s="1132">
        <f t="shared" si="15"/>
        <v>1</v>
      </c>
      <c r="AB32" s="1132">
        <f t="shared" si="16"/>
        <v>1</v>
      </c>
      <c r="AC32" s="1132">
        <f t="shared" si="17"/>
        <v>1</v>
      </c>
    </row>
    <row r="33" spans="1:29" s="907" customFormat="1" ht="15">
      <c r="A33" s="1002"/>
      <c r="B33" s="943" t="s">
        <v>2259</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525"/>
      <c r="Q33" s="1348" t="str">
        <f t="shared" si="11"/>
        <v>项目建筑规模</v>
      </c>
      <c r="R33" s="1123" t="s">
        <v>2237</v>
      </c>
      <c r="S33" s="1124" t="e">
        <f t="shared" si="12"/>
        <v>#N/A</v>
      </c>
      <c r="T33" s="1123" t="s">
        <v>2237</v>
      </c>
      <c r="U33" s="1124" t="e">
        <f t="shared" si="13"/>
        <v>#N/A</v>
      </c>
      <c r="V33" s="1123" t="s">
        <v>2237</v>
      </c>
      <c r="W33" s="1124" t="e">
        <f t="shared" si="14"/>
        <v>#N/A</v>
      </c>
      <c r="X33" s="1125"/>
      <c r="Y33" s="3529"/>
      <c r="Z33" s="1133" t="str">
        <f t="shared" si="18"/>
        <v>项目建筑规模</v>
      </c>
      <c r="AA33" s="1132" t="e">
        <f t="shared" si="15"/>
        <v>#N/A</v>
      </c>
      <c r="AB33" s="1132" t="e">
        <f t="shared" si="16"/>
        <v>#N/A</v>
      </c>
      <c r="AC33" s="1132" t="e">
        <f t="shared" si="17"/>
        <v>#N/A</v>
      </c>
    </row>
    <row r="34" spans="1:29" ht="15">
      <c r="A34" s="997"/>
      <c r="B34" s="943" t="s">
        <v>2260</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525"/>
      <c r="Q34" s="681" t="str">
        <f t="shared" si="11"/>
        <v>建筑结构</v>
      </c>
      <c r="R34" s="1121" t="s">
        <v>2237</v>
      </c>
      <c r="S34" s="1122">
        <f t="shared" si="12"/>
        <v>100</v>
      </c>
      <c r="T34" s="1121" t="s">
        <v>2237</v>
      </c>
      <c r="U34" s="1122">
        <f t="shared" si="13"/>
        <v>100</v>
      </c>
      <c r="V34" s="1121" t="s">
        <v>2237</v>
      </c>
      <c r="W34" s="1122">
        <f t="shared" si="14"/>
        <v>100</v>
      </c>
      <c r="X34" s="1115"/>
      <c r="Y34" s="3529"/>
      <c r="Z34" s="1105" t="str">
        <f t="shared" si="18"/>
        <v>建筑结构</v>
      </c>
      <c r="AA34" s="1132">
        <f t="shared" si="15"/>
        <v>1</v>
      </c>
      <c r="AB34" s="1132">
        <f t="shared" si="16"/>
        <v>1</v>
      </c>
      <c r="AC34" s="1132">
        <f t="shared" si="17"/>
        <v>1</v>
      </c>
    </row>
    <row r="35" spans="1:29" ht="15">
      <c r="A35" s="997"/>
      <c r="B35" s="943" t="s">
        <v>2261</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525"/>
      <c r="Q35" s="681" t="str">
        <f t="shared" si="11"/>
        <v>建筑品质</v>
      </c>
      <c r="R35" s="1121" t="s">
        <v>2237</v>
      </c>
      <c r="S35" s="1122">
        <f t="shared" si="12"/>
        <v>100</v>
      </c>
      <c r="T35" s="1121" t="s">
        <v>2237</v>
      </c>
      <c r="U35" s="1122">
        <f t="shared" si="13"/>
        <v>100</v>
      </c>
      <c r="V35" s="1121" t="s">
        <v>2237</v>
      </c>
      <c r="W35" s="1122">
        <f t="shared" si="14"/>
        <v>100</v>
      </c>
      <c r="X35" s="1115"/>
      <c r="Y35" s="3529"/>
      <c r="Z35" s="1105" t="str">
        <f t="shared" si="18"/>
        <v>建筑品质</v>
      </c>
      <c r="AA35" s="1132">
        <f t="shared" si="15"/>
        <v>1</v>
      </c>
      <c r="AB35" s="1132">
        <f t="shared" si="16"/>
        <v>1</v>
      </c>
      <c r="AC35" s="1132">
        <f t="shared" si="17"/>
        <v>1</v>
      </c>
    </row>
    <row r="36" spans="1:29" ht="15">
      <c r="A36" s="997"/>
      <c r="B36" s="943" t="s">
        <v>2262</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525"/>
      <c r="Q36" s="681" t="str">
        <f t="shared" si="11"/>
        <v>公共部分装修</v>
      </c>
      <c r="R36" s="1121" t="s">
        <v>2237</v>
      </c>
      <c r="S36" s="1122">
        <f t="shared" si="12"/>
        <v>100</v>
      </c>
      <c r="T36" s="1121" t="s">
        <v>2237</v>
      </c>
      <c r="U36" s="1122">
        <f t="shared" si="13"/>
        <v>100</v>
      </c>
      <c r="V36" s="1121" t="s">
        <v>2237</v>
      </c>
      <c r="W36" s="1122">
        <f t="shared" si="14"/>
        <v>100</v>
      </c>
      <c r="X36" s="1115"/>
      <c r="Y36" s="3529"/>
      <c r="Z36" s="1105" t="str">
        <f t="shared" si="18"/>
        <v>公共部分装修</v>
      </c>
      <c r="AA36" s="1132">
        <f t="shared" si="15"/>
        <v>1</v>
      </c>
      <c r="AB36" s="1132">
        <f t="shared" si="16"/>
        <v>1</v>
      </c>
      <c r="AC36" s="1132">
        <f t="shared" si="17"/>
        <v>1</v>
      </c>
    </row>
    <row r="37" spans="1:29" s="905" customFormat="1" ht="15">
      <c r="A37" s="999"/>
      <c r="B37" s="943" t="s">
        <v>563</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525"/>
      <c r="Q37" s="1120" t="str">
        <f t="shared" si="11"/>
        <v>成新度</v>
      </c>
      <c r="R37" s="1116" t="s">
        <v>2237</v>
      </c>
      <c r="S37" s="1117" t="e">
        <f t="shared" si="12"/>
        <v>#N/A</v>
      </c>
      <c r="T37" s="1116" t="s">
        <v>2237</v>
      </c>
      <c r="U37" s="1117" t="e">
        <f t="shared" si="13"/>
        <v>#N/A</v>
      </c>
      <c r="V37" s="1116" t="s">
        <v>2237</v>
      </c>
      <c r="W37" s="1117" t="e">
        <f t="shared" si="14"/>
        <v>#N/A</v>
      </c>
      <c r="X37" s="1118"/>
      <c r="Y37" s="3529"/>
      <c r="Z37" s="1131" t="str">
        <f t="shared" si="18"/>
        <v>成新度</v>
      </c>
      <c r="AA37" s="1130" t="e">
        <f t="shared" si="15"/>
        <v>#N/A</v>
      </c>
      <c r="AB37" s="1130" t="e">
        <f t="shared" si="16"/>
        <v>#N/A</v>
      </c>
      <c r="AC37" s="1130" t="e">
        <f t="shared" si="17"/>
        <v>#N/A</v>
      </c>
    </row>
    <row r="38" spans="1:29" ht="15">
      <c r="A38" s="997"/>
      <c r="B38" s="943" t="s">
        <v>2263</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525" t="s">
        <v>2258</v>
      </c>
      <c r="Q38" s="681" t="str">
        <f t="shared" si="11"/>
        <v>物业管理</v>
      </c>
      <c r="R38" s="1121" t="s">
        <v>2237</v>
      </c>
      <c r="S38" s="1122">
        <f t="shared" si="12"/>
        <v>100</v>
      </c>
      <c r="T38" s="1121" t="s">
        <v>2237</v>
      </c>
      <c r="U38" s="1122">
        <f t="shared" si="13"/>
        <v>100</v>
      </c>
      <c r="V38" s="1121" t="s">
        <v>2237</v>
      </c>
      <c r="W38" s="1122">
        <f t="shared" si="14"/>
        <v>100</v>
      </c>
      <c r="X38" s="1115"/>
      <c r="Y38" s="3529" t="s">
        <v>2258</v>
      </c>
      <c r="Z38" s="1105" t="str">
        <f t="shared" si="18"/>
        <v>物业管理</v>
      </c>
      <c r="AA38" s="1132">
        <f t="shared" si="15"/>
        <v>1</v>
      </c>
      <c r="AB38" s="1132">
        <f t="shared" si="16"/>
        <v>1</v>
      </c>
      <c r="AC38" s="1132">
        <f t="shared" si="17"/>
        <v>1</v>
      </c>
    </row>
    <row r="39" spans="1:29" ht="15">
      <c r="A39" s="997"/>
      <c r="B39" s="943" t="s">
        <v>2264</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525"/>
      <c r="Q39" s="681" t="str">
        <f t="shared" si="11"/>
        <v>市政基础设施</v>
      </c>
      <c r="R39" s="1121" t="s">
        <v>2237</v>
      </c>
      <c r="S39" s="1122">
        <f t="shared" si="12"/>
        <v>100</v>
      </c>
      <c r="T39" s="1121" t="s">
        <v>2237</v>
      </c>
      <c r="U39" s="1122">
        <f t="shared" si="13"/>
        <v>100</v>
      </c>
      <c r="V39" s="1121" t="s">
        <v>2237</v>
      </c>
      <c r="W39" s="1122">
        <f t="shared" si="14"/>
        <v>100</v>
      </c>
      <c r="X39" s="1115"/>
      <c r="Y39" s="3529"/>
      <c r="Z39" s="1105" t="str">
        <f t="shared" si="18"/>
        <v>市政基础设施</v>
      </c>
      <c r="AA39" s="1132">
        <f t="shared" si="15"/>
        <v>1</v>
      </c>
      <c r="AB39" s="1132">
        <f t="shared" si="16"/>
        <v>1</v>
      </c>
      <c r="AC39" s="1132">
        <f t="shared" si="17"/>
        <v>1</v>
      </c>
    </row>
    <row r="40" spans="1:29" ht="15">
      <c r="A40" s="997"/>
      <c r="B40" s="943" t="s">
        <v>2265</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525"/>
      <c r="Q40" s="681" t="str">
        <f t="shared" si="11"/>
        <v>房型</v>
      </c>
      <c r="R40" s="1121" t="s">
        <v>2237</v>
      </c>
      <c r="S40" s="1122">
        <f t="shared" si="12"/>
        <v>100</v>
      </c>
      <c r="T40" s="1121" t="s">
        <v>2237</v>
      </c>
      <c r="U40" s="1122">
        <f t="shared" si="13"/>
        <v>100</v>
      </c>
      <c r="V40" s="1121" t="s">
        <v>2237</v>
      </c>
      <c r="W40" s="1122">
        <f t="shared" si="14"/>
        <v>100</v>
      </c>
      <c r="X40" s="1115"/>
      <c r="Y40" s="3529"/>
      <c r="Z40" s="1105" t="str">
        <f t="shared" si="18"/>
        <v>房型</v>
      </c>
      <c r="AA40" s="1132">
        <f t="shared" si="15"/>
        <v>1</v>
      </c>
      <c r="AB40" s="1132">
        <f t="shared" si="16"/>
        <v>1</v>
      </c>
      <c r="AC40" s="1132">
        <f t="shared" si="17"/>
        <v>1</v>
      </c>
    </row>
    <row r="41" spans="1:29" s="907" customFormat="1" ht="28.5">
      <c r="A41" s="1002"/>
      <c r="B41" s="943" t="s">
        <v>2266</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525"/>
      <c r="Q41" s="1348" t="str">
        <f t="shared" si="11"/>
        <v>单套/主力户型建筑面积</v>
      </c>
      <c r="R41" s="1123" t="s">
        <v>2237</v>
      </c>
      <c r="S41" s="1124">
        <f t="shared" si="12"/>
        <v>100</v>
      </c>
      <c r="T41" s="1123" t="s">
        <v>2237</v>
      </c>
      <c r="U41" s="1124">
        <f t="shared" si="13"/>
        <v>100</v>
      </c>
      <c r="V41" s="1123" t="s">
        <v>2237</v>
      </c>
      <c r="W41" s="1124">
        <f t="shared" si="14"/>
        <v>100</v>
      </c>
      <c r="X41" s="1125"/>
      <c r="Y41" s="3529"/>
      <c r="Z41" s="1133" t="str">
        <f t="shared" si="18"/>
        <v>单套/主力户型建筑面积</v>
      </c>
      <c r="AA41" s="1132">
        <f t="shared" si="15"/>
        <v>1</v>
      </c>
      <c r="AB41" s="1132">
        <f t="shared" si="16"/>
        <v>1</v>
      </c>
      <c r="AC41" s="1132">
        <f t="shared" si="17"/>
        <v>1</v>
      </c>
    </row>
    <row r="42" spans="1:29" ht="15">
      <c r="A42" s="997"/>
      <c r="B42" s="943" t="s">
        <v>2267</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525"/>
      <c r="Q42" s="681" t="str">
        <f t="shared" si="11"/>
        <v>内部装修</v>
      </c>
      <c r="R42" s="1121" t="s">
        <v>2237</v>
      </c>
      <c r="S42" s="1122">
        <f t="shared" si="12"/>
        <v>100</v>
      </c>
      <c r="T42" s="1121" t="s">
        <v>2237</v>
      </c>
      <c r="U42" s="1122">
        <f t="shared" si="13"/>
        <v>100</v>
      </c>
      <c r="V42" s="1121" t="s">
        <v>2237</v>
      </c>
      <c r="W42" s="1122">
        <f t="shared" si="14"/>
        <v>100</v>
      </c>
      <c r="X42" s="1115"/>
      <c r="Y42" s="3529"/>
      <c r="Z42" s="1105" t="str">
        <f t="shared" si="18"/>
        <v>内部装修</v>
      </c>
      <c r="AA42" s="1132">
        <f t="shared" si="15"/>
        <v>1</v>
      </c>
      <c r="AB42" s="1132">
        <f t="shared" si="16"/>
        <v>1</v>
      </c>
      <c r="AC42" s="1132">
        <f t="shared" si="17"/>
        <v>1</v>
      </c>
    </row>
    <row r="43" spans="1:29" ht="15">
      <c r="A43" s="997"/>
      <c r="B43" s="943" t="s">
        <v>2268</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525"/>
      <c r="Q43" s="681" t="str">
        <f t="shared" si="11"/>
        <v>内部装修维护情况</v>
      </c>
      <c r="R43" s="1121" t="s">
        <v>2237</v>
      </c>
      <c r="S43" s="1122">
        <f t="shared" si="12"/>
        <v>100</v>
      </c>
      <c r="T43" s="1121" t="s">
        <v>2237</v>
      </c>
      <c r="U43" s="1122">
        <f t="shared" si="13"/>
        <v>100</v>
      </c>
      <c r="V43" s="1121" t="s">
        <v>2237</v>
      </c>
      <c r="W43" s="1122">
        <f t="shared" si="14"/>
        <v>100</v>
      </c>
      <c r="X43" s="1115"/>
      <c r="Y43" s="3529"/>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525"/>
      <c r="Q44" s="1120">
        <f t="shared" si="11"/>
        <v>111</v>
      </c>
      <c r="R44" s="1116" t="s">
        <v>2237</v>
      </c>
      <c r="S44" s="1117">
        <f t="shared" si="12"/>
        <v>100</v>
      </c>
      <c r="T44" s="1116" t="s">
        <v>2237</v>
      </c>
      <c r="U44" s="1117">
        <f t="shared" si="13"/>
        <v>100</v>
      </c>
      <c r="V44" s="1116" t="s">
        <v>2237</v>
      </c>
      <c r="W44" s="1117">
        <f t="shared" si="14"/>
        <v>100</v>
      </c>
      <c r="X44" s="1118"/>
      <c r="Y44" s="3529"/>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525"/>
      <c r="Q45" s="681">
        <f t="shared" si="11"/>
        <v>111</v>
      </c>
      <c r="R45" s="1121" t="s">
        <v>2237</v>
      </c>
      <c r="S45" s="1122">
        <f t="shared" si="12"/>
        <v>100</v>
      </c>
      <c r="T45" s="1121" t="s">
        <v>2237</v>
      </c>
      <c r="U45" s="1122">
        <f t="shared" si="13"/>
        <v>100</v>
      </c>
      <c r="V45" s="1121" t="s">
        <v>2237</v>
      </c>
      <c r="W45" s="1122">
        <f t="shared" si="14"/>
        <v>100</v>
      </c>
      <c r="X45" s="1115"/>
      <c r="Y45" s="3529"/>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526"/>
      <c r="Q46" s="681">
        <f t="shared" si="11"/>
        <v>111</v>
      </c>
      <c r="R46" s="1121" t="s">
        <v>2237</v>
      </c>
      <c r="S46" s="1122">
        <f t="shared" si="12"/>
        <v>100</v>
      </c>
      <c r="T46" s="1121" t="s">
        <v>2237</v>
      </c>
      <c r="U46" s="1122">
        <f t="shared" si="13"/>
        <v>100</v>
      </c>
      <c r="V46" s="1121" t="s">
        <v>2237</v>
      </c>
      <c r="W46" s="1122">
        <f t="shared" si="14"/>
        <v>100</v>
      </c>
      <c r="X46" s="1115"/>
      <c r="Y46" s="3530"/>
      <c r="Z46" s="1105">
        <f t="shared" si="18"/>
        <v>111</v>
      </c>
      <c r="AA46" s="1132">
        <f t="shared" si="15"/>
        <v>1</v>
      </c>
      <c r="AB46" s="1132">
        <f t="shared" si="16"/>
        <v>1</v>
      </c>
      <c r="AC46" s="1132">
        <f t="shared" si="17"/>
        <v>1</v>
      </c>
    </row>
    <row r="47" spans="1:29" ht="15">
      <c r="A47" s="1004" t="s">
        <v>2269</v>
      </c>
      <c r="B47" s="1323"/>
      <c r="C47" s="1324" t="s">
        <v>124</v>
      </c>
      <c r="D47" s="1325"/>
      <c r="E47" s="1326"/>
      <c r="F47" s="1327"/>
      <c r="G47" s="1328"/>
      <c r="H47" s="1329"/>
      <c r="I47" s="1326"/>
      <c r="J47" s="1329"/>
      <c r="K47" s="1528"/>
      <c r="L47" s="1097"/>
      <c r="M47" s="1021"/>
      <c r="N47" s="1073"/>
      <c r="O47" s="1021"/>
      <c r="P47" s="3514" t="str">
        <f>A47</f>
        <v>成交单价（元/平方米）</v>
      </c>
      <c r="Q47" s="3514"/>
      <c r="R47" s="3515">
        <f>E47</f>
        <v>0</v>
      </c>
      <c r="S47" s="3515"/>
      <c r="T47" s="3515">
        <f>G47</f>
        <v>0</v>
      </c>
      <c r="U47" s="3515"/>
      <c r="V47" s="3515">
        <f>I47</f>
        <v>0</v>
      </c>
      <c r="W47" s="3515"/>
      <c r="X47" s="1061"/>
      <c r="Y47" s="1134"/>
      <c r="Z47" s="1061"/>
      <c r="AA47" s="1061"/>
      <c r="AB47" s="1061"/>
      <c r="AC47" s="1061"/>
    </row>
    <row r="48" spans="1:29" ht="15">
      <c r="A48" s="1012" t="s">
        <v>2270</v>
      </c>
      <c r="B48" s="1330"/>
      <c r="C48" s="1331" t="e">
        <f>R49</f>
        <v>#DIV/0!</v>
      </c>
      <c r="D48" s="1015" t="s">
        <v>2271</v>
      </c>
      <c r="E48" s="1332" t="e">
        <f>R48</f>
        <v>#DIV/0!</v>
      </c>
      <c r="F48" s="1016"/>
      <c r="G48" s="1331" t="e">
        <f>T48</f>
        <v>#DIV/0!</v>
      </c>
      <c r="H48" s="1016"/>
      <c r="I48" s="1332" t="e">
        <f>V48</f>
        <v>#DIV/0!</v>
      </c>
      <c r="J48" s="1016"/>
      <c r="K48" s="1529">
        <f>F48+H48+J48</f>
        <v>0</v>
      </c>
      <c r="L48" s="1097"/>
      <c r="M48" s="1021"/>
      <c r="N48" s="1021"/>
      <c r="O48" s="1021"/>
      <c r="P48" s="3514" t="str">
        <f>A48</f>
        <v>比较价值（元/平方米）</v>
      </c>
      <c r="Q48" s="3514"/>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1061"/>
      <c r="Y48" s="1061"/>
      <c r="Z48" s="1061"/>
      <c r="AA48" s="1061"/>
      <c r="AB48" s="1061"/>
      <c r="AC48" s="1061"/>
    </row>
    <row r="49" spans="1:29" ht="15">
      <c r="A49" s="1018" t="s">
        <v>2272</v>
      </c>
      <c r="B49" s="1019"/>
      <c r="C49" s="1512" t="e">
        <f>R49</f>
        <v>#DIV/0!</v>
      </c>
      <c r="D49" s="1333"/>
      <c r="E49" s="1333"/>
      <c r="F49" s="1333"/>
      <c r="G49" s="1333"/>
      <c r="H49" s="1333"/>
      <c r="I49" s="1333"/>
      <c r="J49" s="1333"/>
      <c r="K49" s="1530"/>
      <c r="L49" s="1097"/>
      <c r="M49" s="1021"/>
      <c r="N49" s="1021"/>
      <c r="O49" s="1021"/>
      <c r="P49" s="3516" t="str">
        <f>A49</f>
        <v>估价对象XX用房的比较价值（楼面单价，元/平方米）</v>
      </c>
      <c r="Q49" s="3517"/>
      <c r="R49" s="3518" t="e">
        <f>IF(F1="售价",ROUND(IF(D48="简单平均",AVERAGE(R48:V48),R48*F48+T48*H48+V48*J48),0),ROUND(IF(D48="简单平均",AVERAGE(R48:V48),R48*F48+T48*H48+V48*J48),1))</f>
        <v>#DIV/0!</v>
      </c>
      <c r="S49" s="3518"/>
      <c r="T49" s="3518"/>
      <c r="U49" s="3518"/>
      <c r="V49" s="3518"/>
      <c r="W49" s="3518"/>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2273</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2274</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2275</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2276</v>
      </c>
      <c r="B57" s="1061"/>
      <c r="C57" s="1062"/>
      <c r="D57" s="1062"/>
      <c r="E57" s="1062"/>
      <c r="F57" s="1063"/>
      <c r="G57" s="1063"/>
      <c r="H57" s="1062"/>
      <c r="I57" s="1062"/>
      <c r="J57" s="1062"/>
      <c r="K57" s="1279"/>
      <c r="L57" s="1280"/>
      <c r="M57" s="1113"/>
      <c r="N57" s="1113"/>
      <c r="O57" s="1113"/>
      <c r="P57" s="1532"/>
      <c r="Q57" s="1443"/>
    </row>
    <row r="58" spans="1:29" s="910" customFormat="1" ht="15">
      <c r="A58" s="1335" t="s">
        <v>2235</v>
      </c>
      <c r="B58" s="1336"/>
      <c r="C58" s="1513" t="str">
        <f>YEAR(C7)&amp;"-"&amp;MONTH(C7)</f>
        <v>2022-7</v>
      </c>
      <c r="D58" s="1338">
        <f>EDATE(C58,-1)</f>
        <v>44713</v>
      </c>
      <c r="E58" s="1338">
        <f>EDATE(D58,-1)</f>
        <v>44682</v>
      </c>
      <c r="F58" s="1338">
        <f t="shared" ref="F58:O58" si="19">EDATE(E58,-1)</f>
        <v>44652</v>
      </c>
      <c r="G58" s="1338">
        <f t="shared" si="19"/>
        <v>44621</v>
      </c>
      <c r="H58" s="1338">
        <f t="shared" si="19"/>
        <v>44593</v>
      </c>
      <c r="I58" s="1338">
        <f t="shared" si="19"/>
        <v>44562</v>
      </c>
      <c r="J58" s="1338">
        <f t="shared" si="19"/>
        <v>44531</v>
      </c>
      <c r="K58" s="1338">
        <f t="shared" si="19"/>
        <v>44501</v>
      </c>
      <c r="L58" s="1338">
        <f t="shared" si="19"/>
        <v>44470</v>
      </c>
      <c r="M58" s="1338">
        <f t="shared" si="19"/>
        <v>44440</v>
      </c>
      <c r="N58" s="1338">
        <f t="shared" si="19"/>
        <v>44409</v>
      </c>
      <c r="O58" s="1338">
        <f t="shared" si="19"/>
        <v>44378</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2277</v>
      </c>
      <c r="B60" s="1142"/>
      <c r="C60" s="1143"/>
      <c r="D60" s="1144"/>
      <c r="E60" s="1144"/>
      <c r="F60" s="1144"/>
      <c r="G60" s="1144"/>
      <c r="H60" s="1144"/>
      <c r="I60" s="1144"/>
      <c r="J60" s="1144"/>
      <c r="K60" s="1144"/>
      <c r="L60" s="1144"/>
      <c r="M60" s="1192"/>
      <c r="N60" s="1144"/>
      <c r="O60" s="1192"/>
      <c r="P60" s="1534"/>
      <c r="Q60" s="1443"/>
    </row>
    <row r="61" spans="1:29" s="905" customFormat="1" ht="15">
      <c r="A61" s="1145" t="s">
        <v>2238</v>
      </c>
      <c r="B61" s="1146"/>
      <c r="C61" s="1147" t="s">
        <v>2239</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2278</v>
      </c>
      <c r="B63" s="1152" t="s">
        <v>2242</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2245</v>
      </c>
      <c r="C65" s="1157" t="s">
        <v>2279</v>
      </c>
      <c r="D65" s="1157" t="s">
        <v>2280</v>
      </c>
      <c r="E65" s="1157" t="s">
        <v>2281</v>
      </c>
      <c r="F65" s="1157" t="s">
        <v>2282</v>
      </c>
      <c r="G65" s="1157" t="s">
        <v>2283</v>
      </c>
      <c r="H65" s="1157" t="s">
        <v>2284</v>
      </c>
      <c r="I65" s="1157" t="s">
        <v>2285</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2246</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2247</v>
      </c>
      <c r="B76" s="1152" t="s">
        <v>2248</v>
      </c>
      <c r="C76" s="1173" t="s">
        <v>2286</v>
      </c>
      <c r="D76" s="1173" t="s">
        <v>2287</v>
      </c>
      <c r="E76" s="1173" t="s">
        <v>2288</v>
      </c>
      <c r="F76" s="1173" t="s">
        <v>2289</v>
      </c>
      <c r="G76" s="1173" t="s">
        <v>2290</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2250</v>
      </c>
      <c r="C78" s="1175" t="s">
        <v>2286</v>
      </c>
      <c r="D78" s="1175" t="s">
        <v>2287</v>
      </c>
      <c r="E78" s="1175" t="s">
        <v>2288</v>
      </c>
      <c r="F78" s="1175" t="s">
        <v>2289</v>
      </c>
      <c r="G78" s="1175" t="s">
        <v>2290</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2251</v>
      </c>
      <c r="C80" s="1175" t="s">
        <v>2286</v>
      </c>
      <c r="D80" s="1175" t="s">
        <v>2287</v>
      </c>
      <c r="E80" s="1175" t="s">
        <v>2288</v>
      </c>
      <c r="F80" s="1175" t="s">
        <v>2289</v>
      </c>
      <c r="G80" s="1175" t="s">
        <v>2290</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2252</v>
      </c>
      <c r="C82" s="1157" t="s">
        <v>2291</v>
      </c>
      <c r="D82" s="1157" t="s">
        <v>2292</v>
      </c>
      <c r="E82" s="1157" t="s">
        <v>2293</v>
      </c>
      <c r="F82" s="1157" t="s">
        <v>2294</v>
      </c>
      <c r="G82" s="1157" t="s">
        <v>2295</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2253</v>
      </c>
      <c r="C84" s="1175" t="s">
        <v>2286</v>
      </c>
      <c r="D84" s="1175" t="s">
        <v>2287</v>
      </c>
      <c r="E84" s="1175" t="s">
        <v>2288</v>
      </c>
      <c r="F84" s="1175" t="s">
        <v>2289</v>
      </c>
      <c r="G84" s="1175" t="s">
        <v>2290</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2254</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2255</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2256</v>
      </c>
      <c r="B100" s="1152" t="s">
        <v>2257</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2259</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2260</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2261</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2262</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563</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2263</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2264</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2265</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2266</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2267</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2268</v>
      </c>
      <c r="C124" s="1175" t="s">
        <v>2286</v>
      </c>
      <c r="D124" s="1175" t="s">
        <v>2287</v>
      </c>
      <c r="E124" s="1175" t="s">
        <v>2288</v>
      </c>
      <c r="F124" s="1175" t="s">
        <v>2289</v>
      </c>
      <c r="G124" s="1175" t="s">
        <v>2290</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2296</v>
      </c>
    </row>
    <row r="137" spans="1:17" ht="15">
      <c r="B137" s="1548" t="s">
        <v>2297</v>
      </c>
      <c r="C137" s="1549"/>
      <c r="D137" s="1549"/>
      <c r="E137" s="1549"/>
      <c r="F137" s="1549"/>
      <c r="G137" s="1550"/>
      <c r="H137" s="1551"/>
      <c r="I137" s="1574" t="s">
        <v>2298</v>
      </c>
      <c r="J137" s="1549"/>
      <c r="K137" s="1575"/>
    </row>
    <row r="138" spans="1:17" ht="15">
      <c r="B138" s="1552"/>
      <c r="C138" s="1553" t="s">
        <v>2299</v>
      </c>
      <c r="D138" s="1553" t="s">
        <v>2300</v>
      </c>
      <c r="E138" s="1554" t="s">
        <v>2301</v>
      </c>
      <c r="F138" s="1555" t="s">
        <v>2302</v>
      </c>
      <c r="G138" s="1553" t="s">
        <v>2300</v>
      </c>
      <c r="H138" s="1556" t="s">
        <v>2301</v>
      </c>
      <c r="I138" s="1576"/>
      <c r="J138" s="1553" t="s">
        <v>2303</v>
      </c>
      <c r="K138" s="1556" t="s">
        <v>2304</v>
      </c>
    </row>
    <row r="139" spans="1:17" ht="15">
      <c r="B139" s="1557">
        <v>6</v>
      </c>
      <c r="C139" s="1558">
        <v>96</v>
      </c>
      <c r="D139" s="1559" t="s">
        <v>2305</v>
      </c>
      <c r="E139" s="1560">
        <v>100</v>
      </c>
      <c r="F139" s="1561">
        <v>102.5</v>
      </c>
      <c r="G139" s="1559" t="s">
        <v>2305</v>
      </c>
      <c r="H139" s="1562">
        <v>105</v>
      </c>
      <c r="I139" s="1577" t="s">
        <v>2306</v>
      </c>
      <c r="J139" s="1558">
        <v>20</v>
      </c>
      <c r="K139" s="1578">
        <f>C145/(J139-2)</f>
        <v>4.0555555555555553E-3</v>
      </c>
    </row>
    <row r="140" spans="1:17" ht="15">
      <c r="B140" s="1563">
        <v>5</v>
      </c>
      <c r="C140" s="1564">
        <v>100</v>
      </c>
      <c r="D140" s="1564"/>
      <c r="E140" s="1565"/>
      <c r="F140" s="1566">
        <v>102</v>
      </c>
      <c r="G140" s="1564"/>
      <c r="H140" s="1567"/>
      <c r="I140" s="1579" t="s">
        <v>2307</v>
      </c>
      <c r="J140" s="227">
        <f>ROUNDUP((J139-1)/2,0)</f>
        <v>10</v>
      </c>
      <c r="K140" s="1580">
        <v>100</v>
      </c>
    </row>
    <row r="141" spans="1:17" ht="15">
      <c r="B141" s="1563">
        <v>4</v>
      </c>
      <c r="C141" s="1564">
        <v>102</v>
      </c>
      <c r="D141" s="1564"/>
      <c r="E141" s="1565"/>
      <c r="F141" s="1566">
        <v>101.5</v>
      </c>
      <c r="G141" s="1564"/>
      <c r="H141" s="1567"/>
      <c r="I141" s="1579" t="s">
        <v>2308</v>
      </c>
      <c r="J141" s="227">
        <v>1</v>
      </c>
      <c r="K141" s="1581">
        <f>ROUND(100+(J141-J140)*K139*100,1)</f>
        <v>96.4</v>
      </c>
    </row>
    <row r="142" spans="1:17" ht="15">
      <c r="B142" s="1563">
        <v>3</v>
      </c>
      <c r="C142" s="1564">
        <v>103</v>
      </c>
      <c r="D142" s="1564"/>
      <c r="E142" s="1565"/>
      <c r="F142" s="1566">
        <v>101</v>
      </c>
      <c r="G142" s="1564"/>
      <c r="H142" s="1567"/>
      <c r="I142" s="1579" t="s">
        <v>2309</v>
      </c>
      <c r="J142" s="227">
        <f>J139</f>
        <v>20</v>
      </c>
      <c r="K142" s="1582">
        <v>95</v>
      </c>
    </row>
    <row r="143" spans="1:17" ht="15">
      <c r="B143" s="1563">
        <v>2</v>
      </c>
      <c r="C143" s="1564">
        <v>100</v>
      </c>
      <c r="D143" s="1564"/>
      <c r="E143" s="1565"/>
      <c r="F143" s="1566">
        <v>100.5</v>
      </c>
      <c r="G143" s="1564"/>
      <c r="H143" s="1567"/>
      <c r="I143" s="1579" t="s">
        <v>2310</v>
      </c>
      <c r="J143" s="1564">
        <v>15</v>
      </c>
      <c r="K143" s="1581">
        <f>ROUND(100+(J143-J140)*K139*100,1)</f>
        <v>102</v>
      </c>
    </row>
    <row r="144" spans="1:17" ht="15">
      <c r="B144" s="1563">
        <v>1</v>
      </c>
      <c r="C144" s="1564">
        <v>98</v>
      </c>
      <c r="D144" s="1568" t="s">
        <v>2311</v>
      </c>
      <c r="E144" s="1565">
        <v>102</v>
      </c>
      <c r="F144" s="1569">
        <v>100</v>
      </c>
      <c r="G144" s="1568" t="s">
        <v>2311</v>
      </c>
      <c r="H144" s="1567">
        <v>105</v>
      </c>
      <c r="I144" s="1579" t="s">
        <v>2310</v>
      </c>
      <c r="J144" s="1564">
        <v>18</v>
      </c>
      <c r="K144" s="1581">
        <f>ROUND(100+(J144-J140)*K139*100,1)</f>
        <v>103.2</v>
      </c>
    </row>
    <row r="145" spans="2:11" ht="15">
      <c r="B145" s="1570" t="s">
        <v>2312</v>
      </c>
      <c r="C145" s="1571">
        <f>ROUND(MAX(C139:C144)/MIN(C139:C144)-1,3)</f>
        <v>7.2999999999999995E-2</v>
      </c>
      <c r="D145" s="1572"/>
      <c r="E145" s="1572"/>
      <c r="F145" s="1573" t="s">
        <v>2313</v>
      </c>
      <c r="G145" s="1473"/>
      <c r="H145" s="1476"/>
      <c r="I145" s="1583" t="s">
        <v>2310</v>
      </c>
      <c r="J145" s="1584">
        <v>8</v>
      </c>
      <c r="K145" s="1585">
        <f>ROUND(100+(J145-J140)*K139*100,1)</f>
        <v>99.2</v>
      </c>
    </row>
    <row r="147" spans="2:11">
      <c r="B147" s="1547" t="s">
        <v>2314</v>
      </c>
    </row>
    <row r="148" spans="2:11">
      <c r="B148" s="1547" t="s">
        <v>2315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2216</v>
      </c>
      <c r="B1" s="1482" t="s">
        <v>2316</v>
      </c>
      <c r="C1" s="1343" t="s">
        <v>2218</v>
      </c>
      <c r="D1" s="1287"/>
      <c r="E1" s="1483"/>
      <c r="F1" s="1289"/>
      <c r="G1" s="1290" t="s">
        <v>2220</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915</v>
      </c>
      <c r="B2" s="1292" t="e">
        <f ca="1">IF(C2="——",ROUND(C49*D3/10000,0),ROUND(C49*D3/10000,0)-D2)</f>
        <v>#DIV/0!</v>
      </c>
      <c r="C2" s="1293"/>
      <c r="D2" s="1461" t="e">
        <f ca="1">SUMIF(INDIRECT("'"&amp;F2&amp;"'"&amp;"!A:A"),"承租人权益价值",INDIRECT("'"&amp;F2&amp;"'"&amp;"!c:c"))</f>
        <v>#REF!</v>
      </c>
      <c r="E2" s="1294" t="s">
        <v>916</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917</v>
      </c>
      <c r="B3" s="922" t="e">
        <f ca="1">IF(C2="——",C49,ROUND(B2*10000/D3,0))</f>
        <v>#DIV/0!</v>
      </c>
      <c r="C3" s="1296" t="s">
        <v>2221</v>
      </c>
      <c r="D3" s="1297">
        <f>IF(D1="",'数据-汇总表'!E3,SUMIF('数据-汇总表'!$C19:$C33,D1,'数据-汇总表'!$E19:$E33))</f>
        <v>16578.28</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2222</v>
      </c>
      <c r="B4" s="925"/>
      <c r="C4" s="3536" t="s">
        <v>2223</v>
      </c>
      <c r="D4" s="3537"/>
      <c r="E4" s="3538" t="s">
        <v>2224</v>
      </c>
      <c r="F4" s="3539"/>
      <c r="G4" s="3536" t="s">
        <v>2225</v>
      </c>
      <c r="H4" s="3537"/>
      <c r="I4" s="3536" t="s">
        <v>2226</v>
      </c>
      <c r="J4" s="3537"/>
      <c r="K4" s="1071" t="s">
        <v>2227</v>
      </c>
      <c r="L4" s="1072"/>
      <c r="M4" s="1073"/>
      <c r="N4" s="1073"/>
      <c r="O4" s="1073"/>
      <c r="P4" s="3501" t="s">
        <v>2228</v>
      </c>
      <c r="Q4" s="3502"/>
      <c r="R4" s="3507" t="s">
        <v>2224</v>
      </c>
      <c r="S4" s="3508"/>
      <c r="T4" s="3507" t="s">
        <v>2225</v>
      </c>
      <c r="U4" s="3508"/>
      <c r="V4" s="3513" t="s">
        <v>2226</v>
      </c>
      <c r="W4" s="3513"/>
      <c r="X4" s="1115"/>
      <c r="Y4" s="3507" t="s">
        <v>2228</v>
      </c>
      <c r="Z4" s="3508"/>
      <c r="AA4" s="3498" t="s">
        <v>2224</v>
      </c>
      <c r="AB4" s="3513" t="s">
        <v>2225</v>
      </c>
      <c r="AC4" s="3498" t="s">
        <v>2226</v>
      </c>
    </row>
    <row r="5" spans="1:29" ht="15">
      <c r="A5" s="926"/>
      <c r="B5" s="927"/>
      <c r="C5" s="3540" t="s">
        <v>2229</v>
      </c>
      <c r="D5" s="3541"/>
      <c r="E5" s="3542" t="s">
        <v>2230</v>
      </c>
      <c r="F5" s="3543"/>
      <c r="G5" s="3540" t="s">
        <v>2231</v>
      </c>
      <c r="H5" s="3541"/>
      <c r="I5" s="3540" t="s">
        <v>2232</v>
      </c>
      <c r="J5" s="3541"/>
      <c r="K5" s="1071"/>
      <c r="L5" s="1072"/>
      <c r="M5" s="1073"/>
      <c r="N5" s="1073"/>
      <c r="O5" s="1073"/>
      <c r="P5" s="3503"/>
      <c r="Q5" s="3504"/>
      <c r="R5" s="3509"/>
      <c r="S5" s="3510"/>
      <c r="T5" s="3509"/>
      <c r="U5" s="3510"/>
      <c r="V5" s="3513"/>
      <c r="W5" s="3513"/>
      <c r="X5" s="1115"/>
      <c r="Y5" s="3509"/>
      <c r="Z5" s="3510"/>
      <c r="AA5" s="3499"/>
      <c r="AB5" s="3513"/>
      <c r="AC5" s="3499"/>
    </row>
    <row r="6" spans="1:29" ht="15">
      <c r="A6" s="928"/>
      <c r="B6" s="929"/>
      <c r="C6" s="3531" t="s">
        <v>2233</v>
      </c>
      <c r="D6" s="3532"/>
      <c r="E6" s="3533" t="s">
        <v>2233</v>
      </c>
      <c r="F6" s="3534"/>
      <c r="G6" s="3531" t="s">
        <v>2233</v>
      </c>
      <c r="H6" s="3532"/>
      <c r="I6" s="3531" t="s">
        <v>2233</v>
      </c>
      <c r="J6" s="3532"/>
      <c r="K6" s="1071" t="s">
        <v>2234</v>
      </c>
      <c r="L6" s="1072"/>
      <c r="M6" s="1073"/>
      <c r="N6" s="1073"/>
      <c r="O6" s="1073"/>
      <c r="P6" s="3505"/>
      <c r="Q6" s="3506"/>
      <c r="R6" s="3509"/>
      <c r="S6" s="3510"/>
      <c r="T6" s="3511"/>
      <c r="U6" s="3512"/>
      <c r="V6" s="3513"/>
      <c r="W6" s="3513"/>
      <c r="X6" s="1115"/>
      <c r="Y6" s="3511"/>
      <c r="Z6" s="3512"/>
      <c r="AA6" s="3500"/>
      <c r="AB6" s="3513"/>
      <c r="AC6" s="3500"/>
    </row>
    <row r="7" spans="1:29" s="905" customFormat="1" ht="15">
      <c r="A7" s="930" t="s">
        <v>2235</v>
      </c>
      <c r="B7" s="931"/>
      <c r="C7" s="932">
        <f>'数据-取费表'!B2</f>
        <v>44755</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519" t="s">
        <v>2236</v>
      </c>
      <c r="Q7" s="3535"/>
      <c r="R7" s="1116" t="s">
        <v>2237</v>
      </c>
      <c r="S7" s="1117">
        <f t="shared" ref="S7:S15" si="0">F7</f>
        <v>0</v>
      </c>
      <c r="T7" s="1116" t="s">
        <v>2237</v>
      </c>
      <c r="U7" s="1117">
        <f t="shared" ref="U7:U15" si="1">H7</f>
        <v>0</v>
      </c>
      <c r="V7" s="1116" t="s">
        <v>2237</v>
      </c>
      <c r="W7" s="1117">
        <f t="shared" ref="W7:W15" si="2">J7</f>
        <v>0</v>
      </c>
      <c r="X7" s="1118"/>
      <c r="Y7" s="3519" t="s">
        <v>2236</v>
      </c>
      <c r="Z7" s="3520"/>
      <c r="AA7" s="1130" t="e">
        <f>D7/F7</f>
        <v>#DIV/0!</v>
      </c>
      <c r="AB7" s="1130" t="e">
        <f>D7/H7</f>
        <v>#DIV/0!</v>
      </c>
      <c r="AC7" s="1130" t="e">
        <f>D7/J7</f>
        <v>#DIV/0!</v>
      </c>
    </row>
    <row r="8" spans="1:29" s="905" customFormat="1" ht="15">
      <c r="A8" s="930" t="s">
        <v>2238</v>
      </c>
      <c r="B8" s="931"/>
      <c r="C8" s="937" t="s">
        <v>2239</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519" t="s">
        <v>2240</v>
      </c>
      <c r="Q8" s="3520"/>
      <c r="R8" s="1116" t="s">
        <v>2237</v>
      </c>
      <c r="S8" s="1117">
        <f t="shared" si="0"/>
        <v>0</v>
      </c>
      <c r="T8" s="1116" t="s">
        <v>2237</v>
      </c>
      <c r="U8" s="1117">
        <f t="shared" si="1"/>
        <v>0</v>
      </c>
      <c r="V8" s="1116" t="s">
        <v>2237</v>
      </c>
      <c r="W8" s="1117">
        <f t="shared" si="2"/>
        <v>0</v>
      </c>
      <c r="X8" s="1118"/>
      <c r="Y8" s="3519" t="s">
        <v>2240</v>
      </c>
      <c r="Z8" s="3520"/>
      <c r="AA8" s="1130" t="e">
        <f t="shared" ref="AA8:AA46" si="3">D8/F8</f>
        <v>#DIV/0!</v>
      </c>
      <c r="AB8" s="1130" t="e">
        <f t="shared" ref="AB8:AB46" si="4">D8/H8</f>
        <v>#DIV/0!</v>
      </c>
      <c r="AC8" s="1130" t="e">
        <f t="shared" ref="AC8:AC46" si="5">D8/J8</f>
        <v>#DIV/0!</v>
      </c>
    </row>
    <row r="9" spans="1:29" s="905" customFormat="1">
      <c r="A9" s="938" t="s">
        <v>2241</v>
      </c>
      <c r="B9" s="939" t="s">
        <v>2242</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521" t="s">
        <v>2243</v>
      </c>
      <c r="Q9" s="1120" t="str">
        <f t="shared" ref="Q9:Q15" si="6">B9</f>
        <v>用途</v>
      </c>
      <c r="R9" s="1116" t="s">
        <v>2237</v>
      </c>
      <c r="S9" s="1117">
        <f t="shared" si="0"/>
        <v>100</v>
      </c>
      <c r="T9" s="1116" t="s">
        <v>2237</v>
      </c>
      <c r="U9" s="1117">
        <f t="shared" si="1"/>
        <v>100</v>
      </c>
      <c r="V9" s="1116" t="s">
        <v>2237</v>
      </c>
      <c r="W9" s="1117">
        <f t="shared" si="2"/>
        <v>100</v>
      </c>
      <c r="X9" s="1118"/>
      <c r="Y9" s="3380" t="s">
        <v>2244</v>
      </c>
      <c r="Z9" s="1131" t="str">
        <f t="shared" ref="Z9:Z15" si="7">Q9</f>
        <v>用途</v>
      </c>
      <c r="AA9" s="1130">
        <f t="shared" si="3"/>
        <v>1</v>
      </c>
      <c r="AB9" s="1130">
        <f t="shared" si="4"/>
        <v>1</v>
      </c>
      <c r="AC9" s="1130">
        <f t="shared" si="5"/>
        <v>1</v>
      </c>
    </row>
    <row r="10" spans="1:29" s="906" customFormat="1" ht="27">
      <c r="A10" s="942"/>
      <c r="B10" s="943" t="s">
        <v>2245</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521"/>
      <c r="Q10" s="1120" t="str">
        <f t="shared" si="6"/>
        <v>土地使用年限（年）</v>
      </c>
      <c r="R10" s="1116" t="s">
        <v>2237</v>
      </c>
      <c r="S10" s="1117">
        <f t="shared" si="0"/>
        <v>100</v>
      </c>
      <c r="T10" s="1116" t="s">
        <v>2237</v>
      </c>
      <c r="U10" s="1117">
        <f t="shared" si="1"/>
        <v>100</v>
      </c>
      <c r="V10" s="1116" t="s">
        <v>2237</v>
      </c>
      <c r="W10" s="1117">
        <f t="shared" si="2"/>
        <v>100</v>
      </c>
      <c r="X10" s="1118"/>
      <c r="Y10" s="3380"/>
      <c r="Z10" s="1131" t="str">
        <f t="shared" si="7"/>
        <v>土地使用年限（年）</v>
      </c>
      <c r="AA10" s="1130">
        <f t="shared" si="3"/>
        <v>1</v>
      </c>
      <c r="AB10" s="1130">
        <f t="shared" si="4"/>
        <v>1</v>
      </c>
      <c r="AC10" s="1130">
        <f t="shared" si="5"/>
        <v>1</v>
      </c>
    </row>
    <row r="11" spans="1:29" ht="15">
      <c r="A11" s="946"/>
      <c r="B11" s="943" t="s">
        <v>2246</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521"/>
      <c r="Q11" s="1120" t="str">
        <f t="shared" si="6"/>
        <v>容积率</v>
      </c>
      <c r="R11" s="1116" t="s">
        <v>2237</v>
      </c>
      <c r="S11" s="1117" t="e">
        <f t="shared" si="0"/>
        <v>#N/A</v>
      </c>
      <c r="T11" s="1116" t="s">
        <v>2237</v>
      </c>
      <c r="U11" s="1117" t="e">
        <f t="shared" si="1"/>
        <v>#N/A</v>
      </c>
      <c r="V11" s="1116" t="s">
        <v>2237</v>
      </c>
      <c r="W11" s="1117" t="e">
        <f t="shared" si="2"/>
        <v>#N/A</v>
      </c>
      <c r="X11" s="1118"/>
      <c r="Y11" s="338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521"/>
      <c r="Q12" s="1120">
        <f t="shared" si="6"/>
        <v>111</v>
      </c>
      <c r="R12" s="1116" t="s">
        <v>2237</v>
      </c>
      <c r="S12" s="1117">
        <f t="shared" si="0"/>
        <v>100</v>
      </c>
      <c r="T12" s="1116" t="s">
        <v>2237</v>
      </c>
      <c r="U12" s="1117">
        <f t="shared" si="1"/>
        <v>100</v>
      </c>
      <c r="V12" s="1116" t="s">
        <v>2237</v>
      </c>
      <c r="W12" s="1117">
        <f t="shared" si="2"/>
        <v>100</v>
      </c>
      <c r="X12" s="1118"/>
      <c r="Y12" s="3380"/>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521"/>
      <c r="Q13" s="1120">
        <f t="shared" si="6"/>
        <v>111</v>
      </c>
      <c r="R13" s="1116" t="s">
        <v>2237</v>
      </c>
      <c r="S13" s="1117">
        <f t="shared" si="0"/>
        <v>100</v>
      </c>
      <c r="T13" s="1116" t="s">
        <v>2237</v>
      </c>
      <c r="U13" s="1117">
        <f t="shared" si="1"/>
        <v>100</v>
      </c>
      <c r="V13" s="1116" t="s">
        <v>2237</v>
      </c>
      <c r="W13" s="1117">
        <f t="shared" si="2"/>
        <v>100</v>
      </c>
      <c r="X13" s="1118"/>
      <c r="Y13" s="3380"/>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521"/>
      <c r="Q14" s="1120">
        <f t="shared" si="6"/>
        <v>111</v>
      </c>
      <c r="R14" s="1116" t="s">
        <v>2237</v>
      </c>
      <c r="S14" s="1117">
        <f t="shared" si="0"/>
        <v>100</v>
      </c>
      <c r="T14" s="1116" t="s">
        <v>2237</v>
      </c>
      <c r="U14" s="1117">
        <f t="shared" si="1"/>
        <v>100</v>
      </c>
      <c r="V14" s="1116" t="s">
        <v>2237</v>
      </c>
      <c r="W14" s="1117">
        <f t="shared" si="2"/>
        <v>100</v>
      </c>
      <c r="X14" s="1118"/>
      <c r="Y14" s="3380"/>
      <c r="Z14" s="1131">
        <f t="shared" si="7"/>
        <v>111</v>
      </c>
      <c r="AA14" s="1130">
        <f t="shared" si="3"/>
        <v>1</v>
      </c>
      <c r="AB14" s="1130">
        <f t="shared" si="4"/>
        <v>1</v>
      </c>
      <c r="AC14" s="1130">
        <f t="shared" si="5"/>
        <v>1</v>
      </c>
    </row>
    <row r="15" spans="1:29" ht="71.25">
      <c r="A15" s="960" t="s">
        <v>2247</v>
      </c>
      <c r="B15" s="1253" t="s">
        <v>2317</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522" t="s">
        <v>2249</v>
      </c>
      <c r="Q15" s="681" t="str">
        <f t="shared" si="6"/>
        <v>商业繁华度</v>
      </c>
      <c r="R15" s="1121" t="s">
        <v>2237</v>
      </c>
      <c r="S15" s="1122">
        <f t="shared" si="0"/>
        <v>100</v>
      </c>
      <c r="T15" s="1121" t="s">
        <v>2237</v>
      </c>
      <c r="U15" s="1122">
        <f t="shared" si="1"/>
        <v>100</v>
      </c>
      <c r="V15" s="1121" t="s">
        <v>2237</v>
      </c>
      <c r="W15" s="1122">
        <f t="shared" si="2"/>
        <v>100</v>
      </c>
      <c r="X15" s="1115"/>
      <c r="Y15" s="3527" t="s">
        <v>2249</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523"/>
      <c r="Q16" s="681"/>
      <c r="R16" s="1121"/>
      <c r="S16" s="1122"/>
      <c r="T16" s="1121"/>
      <c r="U16" s="1122"/>
      <c r="V16" s="1121"/>
      <c r="W16" s="1122"/>
      <c r="X16" s="1115"/>
      <c r="Y16" s="3528"/>
      <c r="Z16" s="1105"/>
      <c r="AA16" s="1132">
        <v>1</v>
      </c>
      <c r="AB16" s="1132">
        <v>1</v>
      </c>
      <c r="AC16" s="1132">
        <v>1</v>
      </c>
    </row>
    <row r="17" spans="1:29" ht="85.5">
      <c r="A17" s="946"/>
      <c r="B17" s="1256" t="s">
        <v>2250</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523"/>
      <c r="Q17" s="681" t="str">
        <f>B17</f>
        <v>交通便捷度</v>
      </c>
      <c r="R17" s="1121" t="s">
        <v>2237</v>
      </c>
      <c r="S17" s="1122">
        <f>F17</f>
        <v>100</v>
      </c>
      <c r="T17" s="1121" t="s">
        <v>2237</v>
      </c>
      <c r="U17" s="1122">
        <f>H17</f>
        <v>100</v>
      </c>
      <c r="V17" s="1121" t="s">
        <v>2237</v>
      </c>
      <c r="W17" s="1122">
        <f>J17</f>
        <v>100</v>
      </c>
      <c r="X17" s="1115"/>
      <c r="Y17" s="3528"/>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523"/>
      <c r="Q18" s="681"/>
      <c r="R18" s="1121"/>
      <c r="S18" s="1122"/>
      <c r="T18" s="1121"/>
      <c r="U18" s="1122"/>
      <c r="V18" s="1121"/>
      <c r="W18" s="1122"/>
      <c r="X18" s="1115"/>
      <c r="Y18" s="3528"/>
      <c r="Z18" s="1105"/>
      <c r="AA18" s="1132">
        <v>1</v>
      </c>
      <c r="AB18" s="1132">
        <v>1</v>
      </c>
      <c r="AC18" s="1132">
        <v>1</v>
      </c>
    </row>
    <row r="19" spans="1:29" ht="42.75">
      <c r="A19" s="946"/>
      <c r="B19" s="1256" t="s">
        <v>2251</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523"/>
      <c r="Q19" s="681" t="str">
        <f>B19</f>
        <v>公共配套设施</v>
      </c>
      <c r="R19" s="1121" t="s">
        <v>2237</v>
      </c>
      <c r="S19" s="1122">
        <f>F19</f>
        <v>100</v>
      </c>
      <c r="T19" s="1121" t="s">
        <v>2237</v>
      </c>
      <c r="U19" s="1122">
        <f>H19</f>
        <v>100</v>
      </c>
      <c r="V19" s="1121" t="s">
        <v>2237</v>
      </c>
      <c r="W19" s="1122">
        <f>J19</f>
        <v>100</v>
      </c>
      <c r="X19" s="1115"/>
      <c r="Y19" s="3528"/>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523"/>
      <c r="Q20" s="681"/>
      <c r="R20" s="1121"/>
      <c r="S20" s="1122"/>
      <c r="T20" s="1121"/>
      <c r="U20" s="1122"/>
      <c r="V20" s="1121"/>
      <c r="W20" s="1122"/>
      <c r="X20" s="1115"/>
      <c r="Y20" s="3528"/>
      <c r="Z20" s="1105"/>
      <c r="AA20" s="1132">
        <v>1</v>
      </c>
      <c r="AB20" s="1132">
        <v>1</v>
      </c>
      <c r="AC20" s="1132">
        <v>1</v>
      </c>
    </row>
    <row r="21" spans="1:29" ht="28.5">
      <c r="A21" s="946"/>
      <c r="B21" s="1260" t="s">
        <v>2252</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523"/>
      <c r="Q21" s="681" t="str">
        <f>B21</f>
        <v>基础设施水平</v>
      </c>
      <c r="R21" s="1121" t="s">
        <v>2237</v>
      </c>
      <c r="S21" s="1122">
        <f>F21</f>
        <v>100</v>
      </c>
      <c r="T21" s="1121" t="s">
        <v>2237</v>
      </c>
      <c r="U21" s="1122">
        <f>H21</f>
        <v>100</v>
      </c>
      <c r="V21" s="1121" t="s">
        <v>2237</v>
      </c>
      <c r="W21" s="1122">
        <f>J21</f>
        <v>100</v>
      </c>
      <c r="X21" s="1115"/>
      <c r="Y21" s="352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523"/>
      <c r="Q22" s="681"/>
      <c r="R22" s="1121"/>
      <c r="S22" s="1122"/>
      <c r="T22" s="1121"/>
      <c r="U22" s="1122"/>
      <c r="V22" s="1121"/>
      <c r="W22" s="1122"/>
      <c r="X22" s="1115"/>
      <c r="Y22" s="3528"/>
      <c r="Z22" s="1105"/>
      <c r="AA22" s="1132">
        <v>1</v>
      </c>
      <c r="AB22" s="1132">
        <v>1</v>
      </c>
      <c r="AC22" s="1132">
        <v>1</v>
      </c>
    </row>
    <row r="23" spans="1:29" ht="57">
      <c r="A23" s="946"/>
      <c r="B23" s="1256" t="s">
        <v>2253</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523"/>
      <c r="Q23" s="681" t="str">
        <f>B23</f>
        <v>自然及人文环境</v>
      </c>
      <c r="R23" s="1121" t="s">
        <v>2237</v>
      </c>
      <c r="S23" s="1122">
        <f>F23</f>
        <v>100</v>
      </c>
      <c r="T23" s="1121" t="s">
        <v>2237</v>
      </c>
      <c r="U23" s="1122">
        <f>H23</f>
        <v>100</v>
      </c>
      <c r="V23" s="1121" t="s">
        <v>2237</v>
      </c>
      <c r="W23" s="1122">
        <f>J23</f>
        <v>100</v>
      </c>
      <c r="X23" s="1115"/>
      <c r="Y23" s="3528"/>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523"/>
      <c r="Q24" s="681"/>
      <c r="R24" s="1121"/>
      <c r="S24" s="1122"/>
      <c r="T24" s="1121"/>
      <c r="U24" s="1122"/>
      <c r="V24" s="1121"/>
      <c r="W24" s="1122"/>
      <c r="X24" s="1115"/>
      <c r="Y24" s="3528"/>
      <c r="Z24" s="1105"/>
      <c r="AA24" s="1132">
        <v>1</v>
      </c>
      <c r="AB24" s="1132">
        <v>1</v>
      </c>
      <c r="AC24" s="1132">
        <v>1</v>
      </c>
    </row>
    <row r="25" spans="1:29" ht="15">
      <c r="A25" s="946"/>
      <c r="B25" s="943" t="s">
        <v>2318</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523"/>
      <c r="Q25" s="681" t="str">
        <f t="shared" ref="Q25:Q46" si="11">B25</f>
        <v>临街状况</v>
      </c>
      <c r="R25" s="1121" t="s">
        <v>2237</v>
      </c>
      <c r="S25" s="1122">
        <f>F25</f>
        <v>100</v>
      </c>
      <c r="T25" s="1121" t="s">
        <v>2237</v>
      </c>
      <c r="U25" s="1122">
        <f>H25</f>
        <v>100</v>
      </c>
      <c r="V25" s="1121" t="s">
        <v>2237</v>
      </c>
      <c r="W25" s="1122">
        <f>J25</f>
        <v>100</v>
      </c>
      <c r="X25" s="1115"/>
      <c r="Y25" s="3528"/>
      <c r="Z25" s="1105" t="str">
        <f>Q25</f>
        <v>临街状况</v>
      </c>
      <c r="AA25" s="1132">
        <f t="shared" si="3"/>
        <v>1</v>
      </c>
      <c r="AB25" s="1132">
        <f t="shared" si="4"/>
        <v>1</v>
      </c>
      <c r="AC25" s="1132">
        <f t="shared" si="5"/>
        <v>1</v>
      </c>
    </row>
    <row r="26" spans="1:29" ht="15">
      <c r="A26" s="946"/>
      <c r="B26" s="1261" t="s">
        <v>2319</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523"/>
      <c r="Q26" s="681" t="str">
        <f t="shared" si="11"/>
        <v>平面位置/可视性</v>
      </c>
      <c r="R26" s="1121" t="s">
        <v>2237</v>
      </c>
      <c r="S26" s="1122">
        <f>F26</f>
        <v>100</v>
      </c>
      <c r="T26" s="1121" t="s">
        <v>2237</v>
      </c>
      <c r="U26" s="1122">
        <f>H26</f>
        <v>100</v>
      </c>
      <c r="V26" s="1121" t="s">
        <v>2237</v>
      </c>
      <c r="W26" s="1122">
        <f>J26</f>
        <v>100</v>
      </c>
      <c r="X26" s="1115"/>
      <c r="Y26" s="3528"/>
      <c r="Z26" s="1105" t="str">
        <f>Q26</f>
        <v>平面位置/可视性</v>
      </c>
      <c r="AA26" s="1132">
        <f t="shared" si="3"/>
        <v>1</v>
      </c>
      <c r="AB26" s="1132">
        <f t="shared" si="4"/>
        <v>1</v>
      </c>
      <c r="AC26" s="1132">
        <f t="shared" si="5"/>
        <v>1</v>
      </c>
    </row>
    <row r="27" spans="1:29" s="905" customFormat="1" ht="15">
      <c r="A27" s="949"/>
      <c r="B27" s="1256" t="s">
        <v>2320</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523"/>
      <c r="Q27" s="1120" t="str">
        <f t="shared" si="11"/>
        <v>人流量</v>
      </c>
      <c r="R27" s="1116" t="s">
        <v>2237</v>
      </c>
      <c r="S27" s="1117">
        <f>F27</f>
        <v>100</v>
      </c>
      <c r="T27" s="1116" t="s">
        <v>2237</v>
      </c>
      <c r="U27" s="1117">
        <f>H27</f>
        <v>100</v>
      </c>
      <c r="V27" s="1116" t="s">
        <v>2237</v>
      </c>
      <c r="W27" s="1117">
        <f>J27</f>
        <v>100</v>
      </c>
      <c r="X27" s="1118"/>
      <c r="Y27" s="3528"/>
      <c r="Z27" s="1131" t="str">
        <f>Q27</f>
        <v>人流量</v>
      </c>
      <c r="AA27" s="1132">
        <f t="shared" si="3"/>
        <v>1</v>
      </c>
      <c r="AB27" s="1132">
        <f t="shared" si="4"/>
        <v>1</v>
      </c>
      <c r="AC27" s="1132">
        <f t="shared" si="5"/>
        <v>1</v>
      </c>
    </row>
    <row r="28" spans="1:29" ht="15">
      <c r="A28" s="946"/>
      <c r="B28" s="943" t="s">
        <v>2321</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523"/>
      <c r="Q28" s="681" t="str">
        <f t="shared" si="11"/>
        <v>楼层</v>
      </c>
      <c r="R28" s="1121" t="s">
        <v>2237</v>
      </c>
      <c r="S28" s="1122">
        <f t="shared" ref="S28:S46" si="12">F28</f>
        <v>100</v>
      </c>
      <c r="T28" s="1121" t="s">
        <v>2237</v>
      </c>
      <c r="U28" s="1122">
        <f t="shared" ref="U28:U46" si="13">H28</f>
        <v>100</v>
      </c>
      <c r="V28" s="1121" t="s">
        <v>2237</v>
      </c>
      <c r="W28" s="1122">
        <f t="shared" ref="W28:W46" si="14">J28</f>
        <v>100</v>
      </c>
      <c r="X28" s="1115"/>
      <c r="Y28" s="3528"/>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523"/>
      <c r="Q29" s="681">
        <f t="shared" si="11"/>
        <v>111</v>
      </c>
      <c r="R29" s="1121" t="s">
        <v>2237</v>
      </c>
      <c r="S29" s="1122">
        <f t="shared" si="12"/>
        <v>100</v>
      </c>
      <c r="T29" s="1121" t="s">
        <v>2237</v>
      </c>
      <c r="U29" s="1122">
        <f t="shared" si="13"/>
        <v>100</v>
      </c>
      <c r="V29" s="1121" t="s">
        <v>2237</v>
      </c>
      <c r="W29" s="1122">
        <f t="shared" si="14"/>
        <v>100</v>
      </c>
      <c r="X29" s="1115"/>
      <c r="Y29" s="3528"/>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523"/>
      <c r="Q30" s="681">
        <f t="shared" si="11"/>
        <v>111</v>
      </c>
      <c r="R30" s="1121" t="s">
        <v>2237</v>
      </c>
      <c r="S30" s="1122">
        <f t="shared" si="12"/>
        <v>100</v>
      </c>
      <c r="T30" s="1121" t="s">
        <v>2237</v>
      </c>
      <c r="U30" s="1122">
        <f t="shared" si="13"/>
        <v>100</v>
      </c>
      <c r="V30" s="1121" t="s">
        <v>2237</v>
      </c>
      <c r="W30" s="1122">
        <f t="shared" si="14"/>
        <v>100</v>
      </c>
      <c r="X30" s="1115"/>
      <c r="Y30" s="3528"/>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523"/>
      <c r="Q31" s="681">
        <f t="shared" si="11"/>
        <v>111</v>
      </c>
      <c r="R31" s="1121" t="s">
        <v>2237</v>
      </c>
      <c r="S31" s="1122">
        <f t="shared" si="12"/>
        <v>100</v>
      </c>
      <c r="T31" s="1121" t="s">
        <v>2237</v>
      </c>
      <c r="U31" s="1122">
        <f t="shared" si="13"/>
        <v>100</v>
      </c>
      <c r="V31" s="1121" t="s">
        <v>2237</v>
      </c>
      <c r="W31" s="1122">
        <f t="shared" si="14"/>
        <v>100</v>
      </c>
      <c r="X31" s="1115"/>
      <c r="Y31" s="3528"/>
      <c r="Z31" s="1105">
        <f t="shared" si="15"/>
        <v>111</v>
      </c>
      <c r="AA31" s="1132">
        <f t="shared" si="3"/>
        <v>1</v>
      </c>
      <c r="AB31" s="1132">
        <f t="shared" si="4"/>
        <v>1</v>
      </c>
      <c r="AC31" s="1132">
        <f t="shared" si="5"/>
        <v>1</v>
      </c>
    </row>
    <row r="32" spans="1:29" ht="15">
      <c r="A32" s="960" t="s">
        <v>2256</v>
      </c>
      <c r="B32" s="939" t="s">
        <v>2322</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524" t="s">
        <v>2258</v>
      </c>
      <c r="Q32" s="681" t="str">
        <f t="shared" si="11"/>
        <v>商业类型</v>
      </c>
      <c r="R32" s="1121" t="s">
        <v>2237</v>
      </c>
      <c r="S32" s="1122">
        <f t="shared" si="12"/>
        <v>100</v>
      </c>
      <c r="T32" s="1121" t="s">
        <v>2237</v>
      </c>
      <c r="U32" s="1122">
        <f t="shared" si="13"/>
        <v>100</v>
      </c>
      <c r="V32" s="1121" t="s">
        <v>2237</v>
      </c>
      <c r="W32" s="1122">
        <f t="shared" si="14"/>
        <v>100</v>
      </c>
      <c r="X32" s="1115"/>
      <c r="Y32" s="3529" t="s">
        <v>2258</v>
      </c>
      <c r="Z32" s="1105" t="str">
        <f t="shared" si="15"/>
        <v>商业类型</v>
      </c>
      <c r="AA32" s="1132">
        <f t="shared" si="3"/>
        <v>1</v>
      </c>
      <c r="AB32" s="1132">
        <f t="shared" si="4"/>
        <v>1</v>
      </c>
      <c r="AC32" s="1132">
        <f t="shared" si="5"/>
        <v>1</v>
      </c>
    </row>
    <row r="33" spans="1:29" s="907" customFormat="1" ht="15">
      <c r="A33" s="1002"/>
      <c r="B33" s="943" t="s">
        <v>2259</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525"/>
      <c r="Q33" s="1348" t="str">
        <f t="shared" si="11"/>
        <v>项目建筑规模</v>
      </c>
      <c r="R33" s="1123" t="s">
        <v>2237</v>
      </c>
      <c r="S33" s="1124" t="e">
        <f t="shared" si="12"/>
        <v>#N/A</v>
      </c>
      <c r="T33" s="1123" t="s">
        <v>2237</v>
      </c>
      <c r="U33" s="1124" t="e">
        <f t="shared" si="13"/>
        <v>#N/A</v>
      </c>
      <c r="V33" s="1123" t="s">
        <v>2237</v>
      </c>
      <c r="W33" s="1124" t="e">
        <f t="shared" si="14"/>
        <v>#N/A</v>
      </c>
      <c r="X33" s="1125"/>
      <c r="Y33" s="3529"/>
      <c r="Z33" s="1133" t="str">
        <f t="shared" si="15"/>
        <v>项目建筑规模</v>
      </c>
      <c r="AA33" s="1132" t="e">
        <f t="shared" si="3"/>
        <v>#N/A</v>
      </c>
      <c r="AB33" s="1132" t="e">
        <f t="shared" si="4"/>
        <v>#N/A</v>
      </c>
      <c r="AC33" s="1132" t="e">
        <f t="shared" si="5"/>
        <v>#N/A</v>
      </c>
    </row>
    <row r="34" spans="1:29" ht="15">
      <c r="A34" s="997"/>
      <c r="B34" s="943" t="s">
        <v>2260</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525"/>
      <c r="Q34" s="681" t="str">
        <f t="shared" si="11"/>
        <v>建筑结构</v>
      </c>
      <c r="R34" s="1121" t="s">
        <v>2237</v>
      </c>
      <c r="S34" s="1122">
        <f t="shared" si="12"/>
        <v>100</v>
      </c>
      <c r="T34" s="1121" t="s">
        <v>2237</v>
      </c>
      <c r="U34" s="1122">
        <f t="shared" si="13"/>
        <v>100</v>
      </c>
      <c r="V34" s="1121" t="s">
        <v>2237</v>
      </c>
      <c r="W34" s="1122">
        <f t="shared" si="14"/>
        <v>100</v>
      </c>
      <c r="X34" s="1115"/>
      <c r="Y34" s="3529"/>
      <c r="Z34" s="1105" t="str">
        <f t="shared" si="15"/>
        <v>建筑结构</v>
      </c>
      <c r="AA34" s="1132">
        <f t="shared" si="3"/>
        <v>1</v>
      </c>
      <c r="AB34" s="1132">
        <f t="shared" si="4"/>
        <v>1</v>
      </c>
      <c r="AC34" s="1132">
        <f t="shared" si="5"/>
        <v>1</v>
      </c>
    </row>
    <row r="35" spans="1:29" ht="15">
      <c r="A35" s="997"/>
      <c r="B35" s="943" t="s">
        <v>2262</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525"/>
      <c r="Q35" s="681" t="str">
        <f t="shared" si="11"/>
        <v>公共部分装修</v>
      </c>
      <c r="R35" s="1121" t="s">
        <v>2237</v>
      </c>
      <c r="S35" s="1122">
        <f t="shared" si="12"/>
        <v>100</v>
      </c>
      <c r="T35" s="1121" t="s">
        <v>2237</v>
      </c>
      <c r="U35" s="1122">
        <f t="shared" si="13"/>
        <v>100</v>
      </c>
      <c r="V35" s="1121" t="s">
        <v>2237</v>
      </c>
      <c r="W35" s="1122">
        <f t="shared" si="14"/>
        <v>100</v>
      </c>
      <c r="X35" s="1115"/>
      <c r="Y35" s="3529"/>
      <c r="Z35" s="1105" t="str">
        <f t="shared" si="15"/>
        <v>公共部分装修</v>
      </c>
      <c r="AA35" s="1132">
        <f t="shared" si="3"/>
        <v>1</v>
      </c>
      <c r="AB35" s="1132">
        <f t="shared" si="4"/>
        <v>1</v>
      </c>
      <c r="AC35" s="1132">
        <f t="shared" si="5"/>
        <v>1</v>
      </c>
    </row>
    <row r="36" spans="1:29" ht="15">
      <c r="A36" s="997"/>
      <c r="B36" s="943" t="s">
        <v>563</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525"/>
      <c r="Q36" s="681" t="str">
        <f t="shared" si="11"/>
        <v>成新度</v>
      </c>
      <c r="R36" s="1121" t="s">
        <v>2237</v>
      </c>
      <c r="S36" s="1122" t="e">
        <f t="shared" si="12"/>
        <v>#N/A</v>
      </c>
      <c r="T36" s="1121" t="s">
        <v>2237</v>
      </c>
      <c r="U36" s="1122" t="e">
        <f t="shared" si="13"/>
        <v>#N/A</v>
      </c>
      <c r="V36" s="1121" t="s">
        <v>2237</v>
      </c>
      <c r="W36" s="1122" t="e">
        <f t="shared" si="14"/>
        <v>#N/A</v>
      </c>
      <c r="X36" s="1115"/>
      <c r="Y36" s="3529"/>
      <c r="Z36" s="1105" t="str">
        <f t="shared" si="15"/>
        <v>成新度</v>
      </c>
      <c r="AA36" s="1132" t="e">
        <f t="shared" si="3"/>
        <v>#N/A</v>
      </c>
      <c r="AB36" s="1132" t="e">
        <f t="shared" si="4"/>
        <v>#N/A</v>
      </c>
      <c r="AC36" s="1132" t="e">
        <f t="shared" si="5"/>
        <v>#N/A</v>
      </c>
    </row>
    <row r="37" spans="1:29" s="905" customFormat="1" ht="15">
      <c r="A37" s="999"/>
      <c r="B37" s="943" t="s">
        <v>2264</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525"/>
      <c r="Q37" s="1120" t="str">
        <f t="shared" si="11"/>
        <v>市政基础设施</v>
      </c>
      <c r="R37" s="1116" t="s">
        <v>2237</v>
      </c>
      <c r="S37" s="1117">
        <f t="shared" si="12"/>
        <v>100</v>
      </c>
      <c r="T37" s="1116" t="s">
        <v>2237</v>
      </c>
      <c r="U37" s="1117">
        <f t="shared" si="13"/>
        <v>100</v>
      </c>
      <c r="V37" s="1116" t="s">
        <v>2237</v>
      </c>
      <c r="W37" s="1117">
        <f t="shared" si="14"/>
        <v>100</v>
      </c>
      <c r="X37" s="1118"/>
      <c r="Y37" s="3529"/>
      <c r="Z37" s="1131" t="str">
        <f t="shared" si="15"/>
        <v>市政基础设施</v>
      </c>
      <c r="AA37" s="1130">
        <f t="shared" si="3"/>
        <v>1</v>
      </c>
      <c r="AB37" s="1130">
        <f t="shared" si="4"/>
        <v>1</v>
      </c>
      <c r="AC37" s="1130">
        <f t="shared" si="5"/>
        <v>1</v>
      </c>
    </row>
    <row r="38" spans="1:29" ht="15">
      <c r="A38" s="997"/>
      <c r="B38" s="943" t="s">
        <v>2323</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525" t="s">
        <v>2258</v>
      </c>
      <c r="Q38" s="681" t="str">
        <f t="shared" si="11"/>
        <v>业态</v>
      </c>
      <c r="R38" s="1121" t="s">
        <v>2237</v>
      </c>
      <c r="S38" s="1122">
        <f t="shared" si="12"/>
        <v>100</v>
      </c>
      <c r="T38" s="1121" t="s">
        <v>2237</v>
      </c>
      <c r="U38" s="1122">
        <f t="shared" si="13"/>
        <v>100</v>
      </c>
      <c r="V38" s="1121" t="s">
        <v>2237</v>
      </c>
      <c r="W38" s="1122">
        <f t="shared" si="14"/>
        <v>100</v>
      </c>
      <c r="X38" s="1115"/>
      <c r="Y38" s="3529" t="s">
        <v>2258</v>
      </c>
      <c r="Z38" s="1105" t="str">
        <f t="shared" si="15"/>
        <v>业态</v>
      </c>
      <c r="AA38" s="1132">
        <f t="shared" si="3"/>
        <v>1</v>
      </c>
      <c r="AB38" s="1132">
        <f t="shared" si="4"/>
        <v>1</v>
      </c>
      <c r="AC38" s="1132">
        <f t="shared" si="5"/>
        <v>1</v>
      </c>
    </row>
    <row r="39" spans="1:29" ht="15">
      <c r="A39" s="997"/>
      <c r="B39" s="943" t="s">
        <v>2324</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525"/>
      <c r="Q39" s="681" t="str">
        <f t="shared" si="11"/>
        <v>层高</v>
      </c>
      <c r="R39" s="1121" t="s">
        <v>2237</v>
      </c>
      <c r="S39" s="1122">
        <f t="shared" si="12"/>
        <v>100</v>
      </c>
      <c r="T39" s="1121" t="s">
        <v>2237</v>
      </c>
      <c r="U39" s="1122">
        <f t="shared" si="13"/>
        <v>100</v>
      </c>
      <c r="V39" s="1121" t="s">
        <v>2237</v>
      </c>
      <c r="W39" s="1122">
        <f t="shared" si="14"/>
        <v>100</v>
      </c>
      <c r="X39" s="1115"/>
      <c r="Y39" s="3529"/>
      <c r="Z39" s="1105" t="str">
        <f t="shared" si="15"/>
        <v>层高</v>
      </c>
      <c r="AA39" s="1132">
        <f t="shared" si="3"/>
        <v>1</v>
      </c>
      <c r="AB39" s="1132">
        <f t="shared" si="4"/>
        <v>1</v>
      </c>
      <c r="AC39" s="1132">
        <f t="shared" si="5"/>
        <v>1</v>
      </c>
    </row>
    <row r="40" spans="1:29" ht="15">
      <c r="A40" s="997"/>
      <c r="B40" s="943" t="s">
        <v>2325</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525"/>
      <c r="Q40" s="681" t="str">
        <f t="shared" si="11"/>
        <v>单套建筑面积</v>
      </c>
      <c r="R40" s="1121" t="s">
        <v>2237</v>
      </c>
      <c r="S40" s="1122">
        <f t="shared" si="12"/>
        <v>100</v>
      </c>
      <c r="T40" s="1121" t="s">
        <v>2237</v>
      </c>
      <c r="U40" s="1122">
        <f t="shared" si="13"/>
        <v>100</v>
      </c>
      <c r="V40" s="1121" t="s">
        <v>2237</v>
      </c>
      <c r="W40" s="1122">
        <f t="shared" si="14"/>
        <v>100</v>
      </c>
      <c r="X40" s="1115"/>
      <c r="Y40" s="3529"/>
      <c r="Z40" s="1105" t="str">
        <f t="shared" si="15"/>
        <v>单套建筑面积</v>
      </c>
      <c r="AA40" s="1132">
        <f t="shared" si="3"/>
        <v>1</v>
      </c>
      <c r="AB40" s="1132">
        <f t="shared" si="4"/>
        <v>1</v>
      </c>
      <c r="AC40" s="1132">
        <f t="shared" si="5"/>
        <v>1</v>
      </c>
    </row>
    <row r="41" spans="1:29" s="907" customFormat="1" ht="15">
      <c r="A41" s="1002"/>
      <c r="B41" s="1100" t="s">
        <v>2326</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525"/>
      <c r="Q41" s="1348" t="str">
        <f t="shared" si="11"/>
        <v>进深比</v>
      </c>
      <c r="R41" s="1123" t="s">
        <v>2237</v>
      </c>
      <c r="S41" s="1124">
        <f t="shared" si="12"/>
        <v>100</v>
      </c>
      <c r="T41" s="1123" t="s">
        <v>2237</v>
      </c>
      <c r="U41" s="1124">
        <f t="shared" si="13"/>
        <v>100</v>
      </c>
      <c r="V41" s="1123" t="s">
        <v>2237</v>
      </c>
      <c r="W41" s="1124">
        <f t="shared" si="14"/>
        <v>100</v>
      </c>
      <c r="X41" s="1125"/>
      <c r="Y41" s="3529"/>
      <c r="Z41" s="1133" t="str">
        <f t="shared" si="15"/>
        <v>进深比</v>
      </c>
      <c r="AA41" s="1132">
        <f t="shared" si="3"/>
        <v>1</v>
      </c>
      <c r="AB41" s="1132">
        <f t="shared" si="4"/>
        <v>1</v>
      </c>
      <c r="AC41" s="1132">
        <f t="shared" si="5"/>
        <v>1</v>
      </c>
    </row>
    <row r="42" spans="1:29" ht="15">
      <c r="A42" s="997"/>
      <c r="B42" s="943" t="s">
        <v>2267</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525"/>
      <c r="Q42" s="681" t="str">
        <f t="shared" si="11"/>
        <v>内部装修</v>
      </c>
      <c r="R42" s="1121" t="s">
        <v>2237</v>
      </c>
      <c r="S42" s="1122">
        <f t="shared" si="12"/>
        <v>100</v>
      </c>
      <c r="T42" s="1121" t="s">
        <v>2237</v>
      </c>
      <c r="U42" s="1122">
        <f t="shared" si="13"/>
        <v>100</v>
      </c>
      <c r="V42" s="1121" t="s">
        <v>2237</v>
      </c>
      <c r="W42" s="1122">
        <f t="shared" si="14"/>
        <v>100</v>
      </c>
      <c r="X42" s="1115"/>
      <c r="Y42" s="3529"/>
      <c r="Z42" s="1105" t="str">
        <f t="shared" si="15"/>
        <v>内部装修</v>
      </c>
      <c r="AA42" s="1132">
        <f t="shared" si="3"/>
        <v>1</v>
      </c>
      <c r="AB42" s="1132">
        <f t="shared" si="4"/>
        <v>1</v>
      </c>
      <c r="AC42" s="1132">
        <f t="shared" si="5"/>
        <v>1</v>
      </c>
    </row>
    <row r="43" spans="1:29" ht="15">
      <c r="A43" s="997"/>
      <c r="B43" s="943" t="s">
        <v>2268</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525"/>
      <c r="Q43" s="681" t="str">
        <f t="shared" si="11"/>
        <v>内部装修维护情况</v>
      </c>
      <c r="R43" s="1121" t="s">
        <v>2237</v>
      </c>
      <c r="S43" s="1122">
        <f t="shared" si="12"/>
        <v>100</v>
      </c>
      <c r="T43" s="1121" t="s">
        <v>2237</v>
      </c>
      <c r="U43" s="1122">
        <f t="shared" si="13"/>
        <v>100</v>
      </c>
      <c r="V43" s="1121" t="s">
        <v>2237</v>
      </c>
      <c r="W43" s="1122">
        <f t="shared" si="14"/>
        <v>100</v>
      </c>
      <c r="X43" s="1115"/>
      <c r="Y43" s="3529"/>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525"/>
      <c r="Q44" s="1120">
        <f t="shared" si="11"/>
        <v>111</v>
      </c>
      <c r="R44" s="1116" t="s">
        <v>2237</v>
      </c>
      <c r="S44" s="1117">
        <f t="shared" si="12"/>
        <v>100</v>
      </c>
      <c r="T44" s="1116" t="s">
        <v>2237</v>
      </c>
      <c r="U44" s="1117">
        <f t="shared" si="13"/>
        <v>100</v>
      </c>
      <c r="V44" s="1116" t="s">
        <v>2237</v>
      </c>
      <c r="W44" s="1117">
        <f t="shared" si="14"/>
        <v>100</v>
      </c>
      <c r="X44" s="1118"/>
      <c r="Y44" s="3529"/>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525"/>
      <c r="Q45" s="681">
        <f t="shared" si="11"/>
        <v>111</v>
      </c>
      <c r="R45" s="1121" t="s">
        <v>2237</v>
      </c>
      <c r="S45" s="1122">
        <f t="shared" si="12"/>
        <v>100</v>
      </c>
      <c r="T45" s="1121" t="s">
        <v>2237</v>
      </c>
      <c r="U45" s="1122">
        <f t="shared" si="13"/>
        <v>100</v>
      </c>
      <c r="V45" s="1121" t="s">
        <v>2237</v>
      </c>
      <c r="W45" s="1122">
        <f t="shared" si="14"/>
        <v>100</v>
      </c>
      <c r="X45" s="1115"/>
      <c r="Y45" s="3529"/>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526"/>
      <c r="Q46" s="681">
        <f t="shared" si="11"/>
        <v>111</v>
      </c>
      <c r="R46" s="1121" t="s">
        <v>2237</v>
      </c>
      <c r="S46" s="1122">
        <f t="shared" si="12"/>
        <v>100</v>
      </c>
      <c r="T46" s="1121" t="s">
        <v>2237</v>
      </c>
      <c r="U46" s="1122">
        <f t="shared" si="13"/>
        <v>100</v>
      </c>
      <c r="V46" s="1121" t="s">
        <v>2237</v>
      </c>
      <c r="W46" s="1122">
        <f t="shared" si="14"/>
        <v>100</v>
      </c>
      <c r="X46" s="1115"/>
      <c r="Y46" s="3530"/>
      <c r="Z46" s="1105">
        <f t="shared" si="15"/>
        <v>111</v>
      </c>
      <c r="AA46" s="1132">
        <f t="shared" si="3"/>
        <v>1</v>
      </c>
      <c r="AB46" s="1132">
        <f t="shared" si="4"/>
        <v>1</v>
      </c>
      <c r="AC46" s="1132">
        <f t="shared" si="5"/>
        <v>1</v>
      </c>
    </row>
    <row r="47" spans="1:29" ht="15">
      <c r="A47" s="1004" t="s">
        <v>2269</v>
      </c>
      <c r="B47" s="1323"/>
      <c r="C47" s="1324" t="s">
        <v>124</v>
      </c>
      <c r="D47" s="1325"/>
      <c r="E47" s="1326"/>
      <c r="F47" s="1327"/>
      <c r="G47" s="1328"/>
      <c r="H47" s="1329"/>
      <c r="I47" s="1326"/>
      <c r="J47" s="1329"/>
      <c r="K47" s="1096"/>
      <c r="L47" s="1097"/>
      <c r="M47" s="1021"/>
      <c r="N47" s="1073"/>
      <c r="O47" s="1021"/>
      <c r="P47" s="3514" t="str">
        <f>A47</f>
        <v>成交单价（元/平方米）</v>
      </c>
      <c r="Q47" s="3514"/>
      <c r="R47" s="3513">
        <f>E47</f>
        <v>0</v>
      </c>
      <c r="S47" s="3513"/>
      <c r="T47" s="3513">
        <f>G47</f>
        <v>0</v>
      </c>
      <c r="U47" s="3513"/>
      <c r="V47" s="3513">
        <f>I47</f>
        <v>0</v>
      </c>
      <c r="W47" s="3513"/>
      <c r="X47" s="1061"/>
      <c r="Y47" s="1134"/>
      <c r="Z47" s="1061"/>
      <c r="AA47" s="1061"/>
      <c r="AB47" s="1061"/>
      <c r="AC47" s="1061"/>
    </row>
    <row r="48" spans="1:29" ht="15">
      <c r="A48" s="1012" t="s">
        <v>2270</v>
      </c>
      <c r="B48" s="1330"/>
      <c r="C48" s="1331" t="e">
        <f>R49</f>
        <v>#DIV/0!</v>
      </c>
      <c r="D48" s="1015" t="s">
        <v>2271</v>
      </c>
      <c r="E48" s="1332" t="e">
        <f>R48</f>
        <v>#DIV/0!</v>
      </c>
      <c r="F48" s="1016"/>
      <c r="G48" s="1331" t="e">
        <f>T48</f>
        <v>#DIV/0!</v>
      </c>
      <c r="H48" s="1016"/>
      <c r="I48" s="1332" t="e">
        <f>V48</f>
        <v>#DIV/0!</v>
      </c>
      <c r="J48" s="1016"/>
      <c r="K48" s="1098">
        <f>F48+H48+J48</f>
        <v>0</v>
      </c>
      <c r="L48" s="1097"/>
      <c r="M48" s="1021"/>
      <c r="N48" s="1073"/>
      <c r="O48" s="1021"/>
      <c r="P48" s="3514" t="str">
        <f>A48</f>
        <v>比较价值（元/平方米）</v>
      </c>
      <c r="Q48" s="3514"/>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1061"/>
      <c r="Y48" s="1061"/>
      <c r="Z48" s="1061"/>
      <c r="AA48" s="1061"/>
      <c r="AB48" s="1061"/>
      <c r="AC48" s="1061"/>
    </row>
    <row r="49" spans="1:29" ht="15">
      <c r="A49" s="1018" t="s">
        <v>2272</v>
      </c>
      <c r="B49" s="1019"/>
      <c r="C49" s="1333" t="e">
        <f>R49</f>
        <v>#DIV/0!</v>
      </c>
      <c r="D49" s="1333"/>
      <c r="E49" s="1333"/>
      <c r="F49" s="1333"/>
      <c r="G49" s="1333"/>
      <c r="H49" s="1333"/>
      <c r="I49" s="1333"/>
      <c r="J49" s="1333"/>
      <c r="K49" s="1099"/>
      <c r="L49" s="1097"/>
      <c r="M49" s="1021"/>
      <c r="N49" s="1073"/>
      <c r="O49" s="1021"/>
      <c r="P49" s="3516" t="str">
        <f>A49</f>
        <v>估价对象XX用房的比较价值（楼面单价，元/平方米）</v>
      </c>
      <c r="Q49" s="3517"/>
      <c r="R49" s="3518" t="e">
        <f>IF(F1="售价",ROUND(IF(D48="简单平均",AVERAGE(R48:V48),R48*F48+T48*H48+V48*J48),0),ROUND(IF(D48="简单平均",AVERAGE(R48:V48),R48*F48+T48*H48+V48*J48),1))</f>
        <v>#DIV/0!</v>
      </c>
      <c r="S49" s="3518"/>
      <c r="T49" s="3518"/>
      <c r="U49" s="3518"/>
      <c r="V49" s="3518"/>
      <c r="W49" s="3518"/>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2273</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2274</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2275</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2276</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2235</v>
      </c>
      <c r="B58" s="1336"/>
      <c r="C58" s="1337" t="str">
        <f>YEAR(C7)&amp;"-"&amp;MONTH(C7)</f>
        <v>2022-7</v>
      </c>
      <c r="D58" s="1338">
        <f>EDATE(C58,-1)</f>
        <v>44713</v>
      </c>
      <c r="E58" s="1338">
        <f t="shared" ref="E58:O58" si="16">EDATE(D58,-1)</f>
        <v>44682</v>
      </c>
      <c r="F58" s="1338">
        <f t="shared" si="16"/>
        <v>44652</v>
      </c>
      <c r="G58" s="1338">
        <f t="shared" si="16"/>
        <v>44621</v>
      </c>
      <c r="H58" s="1338">
        <f t="shared" si="16"/>
        <v>44593</v>
      </c>
      <c r="I58" s="1338">
        <f t="shared" si="16"/>
        <v>44562</v>
      </c>
      <c r="J58" s="1338">
        <f t="shared" si="16"/>
        <v>44531</v>
      </c>
      <c r="K58" s="1338">
        <f t="shared" si="16"/>
        <v>44501</v>
      </c>
      <c r="L58" s="1338">
        <f t="shared" si="16"/>
        <v>44470</v>
      </c>
      <c r="M58" s="1338">
        <f t="shared" si="16"/>
        <v>44440</v>
      </c>
      <c r="N58" s="1338">
        <f t="shared" si="16"/>
        <v>44409</v>
      </c>
      <c r="O58" s="1338">
        <f t="shared" si="16"/>
        <v>44378</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2277</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2238</v>
      </c>
      <c r="B61" s="1146"/>
      <c r="C61" s="1147" t="s">
        <v>2239</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2278</v>
      </c>
      <c r="B63" s="1152" t="s">
        <v>2242</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2245</v>
      </c>
      <c r="C65" s="1157" t="s">
        <v>2279</v>
      </c>
      <c r="D65" s="1157" t="s">
        <v>2280</v>
      </c>
      <c r="E65" s="1157" t="s">
        <v>2281</v>
      </c>
      <c r="F65" s="1157" t="s">
        <v>2282</v>
      </c>
      <c r="G65" s="1157" t="s">
        <v>2283</v>
      </c>
      <c r="H65" s="1157" t="s">
        <v>2284</v>
      </c>
      <c r="I65" s="1157" t="s">
        <v>2285</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2327</v>
      </c>
      <c r="D66" s="1159" t="s">
        <v>2327</v>
      </c>
      <c r="E66" s="1159" t="s">
        <v>2327</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2246</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2247</v>
      </c>
      <c r="B76" s="1152" t="s">
        <v>2248</v>
      </c>
      <c r="C76" s="1173" t="s">
        <v>2286</v>
      </c>
      <c r="D76" s="1173" t="s">
        <v>2287</v>
      </c>
      <c r="E76" s="1173" t="s">
        <v>2288</v>
      </c>
      <c r="F76" s="1173" t="s">
        <v>2289</v>
      </c>
      <c r="G76" s="1173" t="s">
        <v>2290</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2250</v>
      </c>
      <c r="C78" s="1175" t="s">
        <v>2286</v>
      </c>
      <c r="D78" s="1175" t="s">
        <v>2287</v>
      </c>
      <c r="E78" s="1175" t="s">
        <v>2288</v>
      </c>
      <c r="F78" s="1175" t="s">
        <v>2289</v>
      </c>
      <c r="G78" s="1175" t="s">
        <v>2290</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2251</v>
      </c>
      <c r="C80" s="1175" t="s">
        <v>2286</v>
      </c>
      <c r="D80" s="1175" t="s">
        <v>2287</v>
      </c>
      <c r="E80" s="1175" t="s">
        <v>2288</v>
      </c>
      <c r="F80" s="1175" t="s">
        <v>2289</v>
      </c>
      <c r="G80" s="1175" t="s">
        <v>2290</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2252</v>
      </c>
      <c r="C82" s="1180" t="s">
        <v>2291</v>
      </c>
      <c r="D82" s="1180" t="s">
        <v>2292</v>
      </c>
      <c r="E82" s="1180" t="s">
        <v>2293</v>
      </c>
      <c r="F82" s="1180" t="s">
        <v>2294</v>
      </c>
      <c r="G82" s="1180" t="s">
        <v>2295</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2253</v>
      </c>
      <c r="C84" s="1175" t="s">
        <v>2286</v>
      </c>
      <c r="D84" s="1175" t="s">
        <v>2287</v>
      </c>
      <c r="E84" s="1175" t="s">
        <v>2288</v>
      </c>
      <c r="F84" s="1175" t="s">
        <v>2289</v>
      </c>
      <c r="G84" s="1175" t="s">
        <v>2290</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2318</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2256</v>
      </c>
      <c r="B100" s="1152" t="s">
        <v>2322</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2259</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2260</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2262</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563</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2264</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2323</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2324</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2325</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2328</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2267</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2268</v>
      </c>
      <c r="C124" s="1175" t="s">
        <v>2286</v>
      </c>
      <c r="D124" s="1175" t="s">
        <v>2287</v>
      </c>
      <c r="E124" s="1175" t="s">
        <v>2288</v>
      </c>
      <c r="F124" s="1175" t="s">
        <v>2289</v>
      </c>
      <c r="G124" s="1175" t="s">
        <v>2290</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2216</v>
      </c>
      <c r="B1" s="1419" t="s">
        <v>2329</v>
      </c>
      <c r="C1" s="1286" t="s">
        <v>2218</v>
      </c>
      <c r="D1" s="1287"/>
      <c r="E1" s="1288"/>
      <c r="F1" s="1289"/>
      <c r="G1" s="1290" t="s">
        <v>2220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915</v>
      </c>
      <c r="B2" s="1292" t="e">
        <f ca="1">IF(C2="——",ROUND(C50*D3/10000,0),ROUND(C50*D3/10000,0)-D2)</f>
        <v>#DIV/0!</v>
      </c>
      <c r="C2" s="1293"/>
      <c r="D2" s="1461" t="e">
        <f ca="1">SUMIF(INDIRECT("'"&amp;F2&amp;"'"&amp;"!A:A"),"承租人权益价值",INDIRECT("'"&amp;F2&amp;"'"&amp;"!c:c"))</f>
        <v>#REF!</v>
      </c>
      <c r="E2" s="1294" t="s">
        <v>916</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917</v>
      </c>
      <c r="B3" s="922" t="e">
        <f ca="1">IF(C2="——",C50,ROUND(B2*10000/D3,0))</f>
        <v>#DIV/0!</v>
      </c>
      <c r="C3" s="1296" t="s">
        <v>2221</v>
      </c>
      <c r="D3" s="1297">
        <f>IF(D1="",'数据-汇总表'!E3,SUMIF('数据-汇总表'!$C19:$C33,D1,'数据-汇总表'!$E19:$E33))</f>
        <v>16578.28</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2222</v>
      </c>
      <c r="B4" s="925"/>
      <c r="C4" s="3536" t="s">
        <v>2223</v>
      </c>
      <c r="D4" s="3537"/>
      <c r="E4" s="3538" t="s">
        <v>2224</v>
      </c>
      <c r="F4" s="3539"/>
      <c r="G4" s="3536" t="s">
        <v>2225</v>
      </c>
      <c r="H4" s="3537"/>
      <c r="I4" s="3536" t="s">
        <v>2226</v>
      </c>
      <c r="J4" s="3537"/>
      <c r="K4" s="1071" t="s">
        <v>2227</v>
      </c>
      <c r="L4" s="1072"/>
      <c r="M4" s="1073"/>
      <c r="N4" s="1073"/>
      <c r="O4" s="1073"/>
      <c r="P4" s="3548" t="s">
        <v>2228</v>
      </c>
      <c r="Q4" s="3549"/>
      <c r="R4" s="3552" t="s">
        <v>2224</v>
      </c>
      <c r="S4" s="3553"/>
      <c r="T4" s="3552" t="s">
        <v>2225</v>
      </c>
      <c r="U4" s="3553"/>
      <c r="V4" s="3554" t="s">
        <v>2226</v>
      </c>
      <c r="W4" s="3554"/>
      <c r="X4" s="1472"/>
      <c r="Y4" s="3552" t="s">
        <v>2228</v>
      </c>
      <c r="Z4" s="3553"/>
      <c r="AA4" s="3544" t="s">
        <v>2224</v>
      </c>
      <c r="AB4" s="3544" t="s">
        <v>2225</v>
      </c>
      <c r="AC4" s="3545" t="s">
        <v>2226</v>
      </c>
    </row>
    <row r="5" spans="1:29" ht="15">
      <c r="A5" s="926"/>
      <c r="B5" s="927"/>
      <c r="C5" s="3540" t="s">
        <v>2229</v>
      </c>
      <c r="D5" s="3541"/>
      <c r="E5" s="3542" t="s">
        <v>2230</v>
      </c>
      <c r="F5" s="3543"/>
      <c r="G5" s="3540" t="s">
        <v>2231</v>
      </c>
      <c r="H5" s="3541"/>
      <c r="I5" s="3540" t="s">
        <v>2232</v>
      </c>
      <c r="J5" s="3541"/>
      <c r="K5" s="1071"/>
      <c r="L5" s="1072"/>
      <c r="M5" s="1073"/>
      <c r="N5" s="1073"/>
      <c r="O5" s="1073"/>
      <c r="P5" s="3550"/>
      <c r="Q5" s="3504"/>
      <c r="R5" s="3509"/>
      <c r="S5" s="3510"/>
      <c r="T5" s="3509"/>
      <c r="U5" s="3510"/>
      <c r="V5" s="3513"/>
      <c r="W5" s="3513"/>
      <c r="X5" s="1115"/>
      <c r="Y5" s="3509"/>
      <c r="Z5" s="3510"/>
      <c r="AA5" s="3499"/>
      <c r="AB5" s="3499"/>
      <c r="AC5" s="3546"/>
    </row>
    <row r="6" spans="1:29" ht="15">
      <c r="A6" s="928"/>
      <c r="B6" s="929"/>
      <c r="C6" s="3531" t="s">
        <v>2233</v>
      </c>
      <c r="D6" s="3532"/>
      <c r="E6" s="3533" t="s">
        <v>2233</v>
      </c>
      <c r="F6" s="3534"/>
      <c r="G6" s="3531" t="s">
        <v>2233</v>
      </c>
      <c r="H6" s="3532"/>
      <c r="I6" s="3531" t="s">
        <v>2233</v>
      </c>
      <c r="J6" s="3532"/>
      <c r="K6" s="1071" t="s">
        <v>2234</v>
      </c>
      <c r="L6" s="1072"/>
      <c r="M6" s="1073"/>
      <c r="N6" s="1073"/>
      <c r="O6" s="1073"/>
      <c r="P6" s="3551"/>
      <c r="Q6" s="3506"/>
      <c r="R6" s="3509"/>
      <c r="S6" s="3510"/>
      <c r="T6" s="3511"/>
      <c r="U6" s="3512"/>
      <c r="V6" s="3513"/>
      <c r="W6" s="3513"/>
      <c r="X6" s="1115"/>
      <c r="Y6" s="3511"/>
      <c r="Z6" s="3512"/>
      <c r="AA6" s="3500"/>
      <c r="AB6" s="3500"/>
      <c r="AC6" s="3547"/>
    </row>
    <row r="7" spans="1:29" s="905" customFormat="1" ht="15">
      <c r="A7" s="930" t="s">
        <v>2235</v>
      </c>
      <c r="B7" s="931"/>
      <c r="C7" s="932">
        <f>'数据-取费表'!B2</f>
        <v>44755</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58" t="s">
        <v>2236</v>
      </c>
      <c r="Q7" s="3535"/>
      <c r="R7" s="1116" t="s">
        <v>2237</v>
      </c>
      <c r="S7" s="1117">
        <f t="shared" ref="S7:S15" si="0">F7</f>
        <v>0</v>
      </c>
      <c r="T7" s="1116" t="s">
        <v>2237</v>
      </c>
      <c r="U7" s="1117">
        <f t="shared" ref="U7:U15" si="1">H7</f>
        <v>0</v>
      </c>
      <c r="V7" s="1116" t="s">
        <v>2237</v>
      </c>
      <c r="W7" s="1117">
        <f t="shared" ref="W7:W15" si="2">J7</f>
        <v>0</v>
      </c>
      <c r="X7" s="1118"/>
      <c r="Y7" s="3519" t="s">
        <v>2236</v>
      </c>
      <c r="Z7" s="3520"/>
      <c r="AA7" s="1130" t="e">
        <f>D7/F7</f>
        <v>#DIV/0!</v>
      </c>
      <c r="AB7" s="1130" t="e">
        <f>D7/H7</f>
        <v>#DIV/0!</v>
      </c>
      <c r="AC7" s="1474" t="e">
        <f>D7/J7</f>
        <v>#DIV/0!</v>
      </c>
    </row>
    <row r="8" spans="1:29" s="905" customFormat="1" ht="15">
      <c r="A8" s="930" t="s">
        <v>2238</v>
      </c>
      <c r="B8" s="931"/>
      <c r="C8" s="937" t="s">
        <v>2239</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58" t="s">
        <v>2240</v>
      </c>
      <c r="Q8" s="3520"/>
      <c r="R8" s="1116" t="s">
        <v>2237</v>
      </c>
      <c r="S8" s="1117">
        <f t="shared" si="0"/>
        <v>0</v>
      </c>
      <c r="T8" s="1116" t="s">
        <v>2237</v>
      </c>
      <c r="U8" s="1117">
        <f t="shared" si="1"/>
        <v>0</v>
      </c>
      <c r="V8" s="1116" t="s">
        <v>2237</v>
      </c>
      <c r="W8" s="1117">
        <f t="shared" si="2"/>
        <v>0</v>
      </c>
      <c r="X8" s="1118"/>
      <c r="Y8" s="3519" t="s">
        <v>2240</v>
      </c>
      <c r="Z8" s="3520"/>
      <c r="AA8" s="1130" t="e">
        <f t="shared" ref="AA8:AA47" si="3">D8/F8</f>
        <v>#DIV/0!</v>
      </c>
      <c r="AB8" s="1130" t="e">
        <f t="shared" ref="AB8:AB47" si="4">D8/H8</f>
        <v>#DIV/0!</v>
      </c>
      <c r="AC8" s="1474" t="e">
        <f t="shared" ref="AC8:AC47" si="5">D8/J8</f>
        <v>#DIV/0!</v>
      </c>
    </row>
    <row r="9" spans="1:29" s="905" customFormat="1">
      <c r="A9" s="938" t="s">
        <v>2241</v>
      </c>
      <c r="B9" s="939" t="s">
        <v>2242</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521" t="s">
        <v>2243</v>
      </c>
      <c r="Q9" s="1120" t="str">
        <f t="shared" ref="Q9:Q15" si="6">B9</f>
        <v>用途</v>
      </c>
      <c r="R9" s="1116" t="s">
        <v>2237</v>
      </c>
      <c r="S9" s="1117">
        <f t="shared" si="0"/>
        <v>100</v>
      </c>
      <c r="T9" s="1116" t="s">
        <v>2237</v>
      </c>
      <c r="U9" s="1117">
        <f t="shared" si="1"/>
        <v>100</v>
      </c>
      <c r="V9" s="1116" t="s">
        <v>2237</v>
      </c>
      <c r="W9" s="1117">
        <f t="shared" si="2"/>
        <v>100</v>
      </c>
      <c r="X9" s="1118"/>
      <c r="Y9" s="3380" t="s">
        <v>2244</v>
      </c>
      <c r="Z9" s="1131" t="str">
        <f t="shared" ref="Z9:Z15" si="7">Q9</f>
        <v>用途</v>
      </c>
      <c r="AA9" s="1130">
        <f t="shared" si="3"/>
        <v>1</v>
      </c>
      <c r="AB9" s="1130">
        <f t="shared" si="4"/>
        <v>1</v>
      </c>
      <c r="AC9" s="1474">
        <f t="shared" si="5"/>
        <v>1</v>
      </c>
    </row>
    <row r="10" spans="1:29" s="906" customFormat="1" ht="27">
      <c r="A10" s="942"/>
      <c r="B10" s="943" t="s">
        <v>2245</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521"/>
      <c r="Q10" s="1120" t="str">
        <f t="shared" si="6"/>
        <v>土地使用年限（年）</v>
      </c>
      <c r="R10" s="1116" t="s">
        <v>2237</v>
      </c>
      <c r="S10" s="1117">
        <f t="shared" si="0"/>
        <v>100</v>
      </c>
      <c r="T10" s="1116" t="s">
        <v>2237</v>
      </c>
      <c r="U10" s="1117">
        <f t="shared" si="1"/>
        <v>100</v>
      </c>
      <c r="V10" s="1116" t="s">
        <v>2237</v>
      </c>
      <c r="W10" s="1117">
        <f t="shared" si="2"/>
        <v>100</v>
      </c>
      <c r="X10" s="1118"/>
      <c r="Y10" s="3380"/>
      <c r="Z10" s="1131" t="str">
        <f t="shared" si="7"/>
        <v>土地使用年限（年）</v>
      </c>
      <c r="AA10" s="1130">
        <f t="shared" si="3"/>
        <v>1</v>
      </c>
      <c r="AB10" s="1130">
        <f t="shared" si="4"/>
        <v>1</v>
      </c>
      <c r="AC10" s="1474">
        <f t="shared" si="5"/>
        <v>1</v>
      </c>
    </row>
    <row r="11" spans="1:29" ht="15">
      <c r="A11" s="946"/>
      <c r="B11" s="943" t="s">
        <v>2246</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521"/>
      <c r="Q11" s="1120" t="str">
        <f t="shared" si="6"/>
        <v>容积率</v>
      </c>
      <c r="R11" s="1116" t="s">
        <v>2237</v>
      </c>
      <c r="S11" s="1117" t="e">
        <f t="shared" si="0"/>
        <v>#N/A</v>
      </c>
      <c r="T11" s="1116" t="s">
        <v>2237</v>
      </c>
      <c r="U11" s="1117" t="e">
        <f t="shared" si="1"/>
        <v>#N/A</v>
      </c>
      <c r="V11" s="1116" t="s">
        <v>2237</v>
      </c>
      <c r="W11" s="1117" t="e">
        <f t="shared" si="2"/>
        <v>#N/A</v>
      </c>
      <c r="X11" s="1118"/>
      <c r="Y11" s="3380"/>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521"/>
      <c r="Q12" s="1120">
        <f t="shared" si="6"/>
        <v>111</v>
      </c>
      <c r="R12" s="1116" t="s">
        <v>2237</v>
      </c>
      <c r="S12" s="1117">
        <f t="shared" si="0"/>
        <v>100</v>
      </c>
      <c r="T12" s="1116" t="s">
        <v>2237</v>
      </c>
      <c r="U12" s="1117">
        <f t="shared" si="1"/>
        <v>100</v>
      </c>
      <c r="V12" s="1116" t="s">
        <v>2237</v>
      </c>
      <c r="W12" s="1117">
        <f t="shared" si="2"/>
        <v>100</v>
      </c>
      <c r="X12" s="1118"/>
      <c r="Y12" s="3380"/>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521"/>
      <c r="Q13" s="1120">
        <f t="shared" si="6"/>
        <v>111</v>
      </c>
      <c r="R13" s="1116" t="s">
        <v>2237</v>
      </c>
      <c r="S13" s="1117">
        <f t="shared" si="0"/>
        <v>100</v>
      </c>
      <c r="T13" s="1116" t="s">
        <v>2237</v>
      </c>
      <c r="U13" s="1117">
        <f t="shared" si="1"/>
        <v>100</v>
      </c>
      <c r="V13" s="1116" t="s">
        <v>2237</v>
      </c>
      <c r="W13" s="1117">
        <f t="shared" si="2"/>
        <v>100</v>
      </c>
      <c r="X13" s="1118"/>
      <c r="Y13" s="3380"/>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521"/>
      <c r="Q14" s="1120">
        <f t="shared" si="6"/>
        <v>111</v>
      </c>
      <c r="R14" s="1116" t="s">
        <v>2237</v>
      </c>
      <c r="S14" s="1117">
        <f t="shared" si="0"/>
        <v>100</v>
      </c>
      <c r="T14" s="1116" t="s">
        <v>2237</v>
      </c>
      <c r="U14" s="1117">
        <f t="shared" si="1"/>
        <v>100</v>
      </c>
      <c r="V14" s="1116" t="s">
        <v>2237</v>
      </c>
      <c r="W14" s="1117">
        <f t="shared" si="2"/>
        <v>100</v>
      </c>
      <c r="X14" s="1118"/>
      <c r="Y14" s="3380"/>
      <c r="Z14" s="1131">
        <f t="shared" si="7"/>
        <v>111</v>
      </c>
      <c r="AA14" s="1130">
        <f t="shared" si="3"/>
        <v>1</v>
      </c>
      <c r="AB14" s="1130">
        <f t="shared" si="4"/>
        <v>1</v>
      </c>
      <c r="AC14" s="1474">
        <f t="shared" si="5"/>
        <v>1</v>
      </c>
    </row>
    <row r="15" spans="1:29" ht="71.25">
      <c r="A15" s="960" t="s">
        <v>2247</v>
      </c>
      <c r="B15" s="961" t="s">
        <v>2330</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522" t="s">
        <v>2249</v>
      </c>
      <c r="Q15" s="681" t="str">
        <f t="shared" si="6"/>
        <v>办公集聚程度</v>
      </c>
      <c r="R15" s="1121" t="s">
        <v>2237</v>
      </c>
      <c r="S15" s="1122">
        <f t="shared" si="0"/>
        <v>100</v>
      </c>
      <c r="T15" s="1121" t="s">
        <v>2237</v>
      </c>
      <c r="U15" s="1122">
        <f t="shared" si="1"/>
        <v>100</v>
      </c>
      <c r="V15" s="1121" t="s">
        <v>2237</v>
      </c>
      <c r="W15" s="1122">
        <f t="shared" si="2"/>
        <v>100</v>
      </c>
      <c r="X15" s="1115"/>
      <c r="Y15" s="3527" t="s">
        <v>2249</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523"/>
      <c r="Q16" s="681"/>
      <c r="R16" s="1121"/>
      <c r="S16" s="1122"/>
      <c r="T16" s="1121"/>
      <c r="U16" s="1122"/>
      <c r="V16" s="1121"/>
      <c r="W16" s="1122"/>
      <c r="X16" s="1115"/>
      <c r="Y16" s="3528"/>
      <c r="Z16" s="1105"/>
      <c r="AA16" s="1132">
        <v>1</v>
      </c>
      <c r="AB16" s="1132">
        <v>1</v>
      </c>
      <c r="AC16" s="1475">
        <v>1</v>
      </c>
    </row>
    <row r="17" spans="1:29" ht="71.25">
      <c r="A17" s="946"/>
      <c r="B17" s="970" t="s">
        <v>2250</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523"/>
      <c r="Q17" s="681" t="str">
        <f>B17</f>
        <v>交通便捷度</v>
      </c>
      <c r="R17" s="1121" t="s">
        <v>2237</v>
      </c>
      <c r="S17" s="1122">
        <f>F17</f>
        <v>100</v>
      </c>
      <c r="T17" s="1121" t="s">
        <v>2237</v>
      </c>
      <c r="U17" s="1122">
        <f>H17</f>
        <v>100</v>
      </c>
      <c r="V17" s="1121" t="s">
        <v>2237</v>
      </c>
      <c r="W17" s="1122">
        <f>J17</f>
        <v>100</v>
      </c>
      <c r="X17" s="1115"/>
      <c r="Y17" s="3528"/>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523"/>
      <c r="Q18" s="681"/>
      <c r="R18" s="1121"/>
      <c r="S18" s="1122"/>
      <c r="T18" s="1121"/>
      <c r="U18" s="1122"/>
      <c r="V18" s="1121"/>
      <c r="W18" s="1122"/>
      <c r="X18" s="1115"/>
      <c r="Y18" s="3528"/>
      <c r="Z18" s="1105"/>
      <c r="AA18" s="1132">
        <v>1</v>
      </c>
      <c r="AB18" s="1132">
        <v>1</v>
      </c>
      <c r="AC18" s="1475">
        <v>1</v>
      </c>
    </row>
    <row r="19" spans="1:29" ht="42.75">
      <c r="A19" s="946"/>
      <c r="B19" s="970" t="s">
        <v>2251</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523"/>
      <c r="Q19" s="681" t="str">
        <f>B19</f>
        <v>公共配套设施</v>
      </c>
      <c r="R19" s="1121" t="s">
        <v>2237</v>
      </c>
      <c r="S19" s="1122">
        <f>F19</f>
        <v>100</v>
      </c>
      <c r="T19" s="1121" t="s">
        <v>2237</v>
      </c>
      <c r="U19" s="1122">
        <f>H19</f>
        <v>100</v>
      </c>
      <c r="V19" s="1121" t="s">
        <v>2237</v>
      </c>
      <c r="W19" s="1122">
        <f>J19</f>
        <v>100</v>
      </c>
      <c r="X19" s="1115"/>
      <c r="Y19" s="3528"/>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523"/>
      <c r="Q20" s="681"/>
      <c r="R20" s="1121"/>
      <c r="S20" s="1122"/>
      <c r="T20" s="1121"/>
      <c r="U20" s="1122"/>
      <c r="V20" s="1121"/>
      <c r="W20" s="1122"/>
      <c r="X20" s="1115"/>
      <c r="Y20" s="3528"/>
      <c r="Z20" s="1105"/>
      <c r="AA20" s="1132">
        <v>1</v>
      </c>
      <c r="AB20" s="1132">
        <v>1</v>
      </c>
      <c r="AC20" s="1475">
        <v>1</v>
      </c>
    </row>
    <row r="21" spans="1:29" ht="28.5">
      <c r="A21" s="946"/>
      <c r="B21" s="977" t="s">
        <v>2252</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523"/>
      <c r="Q21" s="681" t="str">
        <f>B21</f>
        <v>基础设施水平</v>
      </c>
      <c r="R21" s="1121" t="s">
        <v>2237</v>
      </c>
      <c r="S21" s="1122">
        <f>F21</f>
        <v>100</v>
      </c>
      <c r="T21" s="1121" t="s">
        <v>2237</v>
      </c>
      <c r="U21" s="1122">
        <f>H21</f>
        <v>100</v>
      </c>
      <c r="V21" s="1121" t="s">
        <v>2237</v>
      </c>
      <c r="W21" s="1122">
        <f>J21</f>
        <v>100</v>
      </c>
      <c r="X21" s="1115"/>
      <c r="Y21" s="3528"/>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523"/>
      <c r="Q22" s="681"/>
      <c r="R22" s="1121"/>
      <c r="S22" s="1122"/>
      <c r="T22" s="1121"/>
      <c r="U22" s="1122"/>
      <c r="V22" s="1121"/>
      <c r="W22" s="1122"/>
      <c r="X22" s="1115"/>
      <c r="Y22" s="3528"/>
      <c r="Z22" s="1105"/>
      <c r="AA22" s="1132">
        <v>1</v>
      </c>
      <c r="AB22" s="1132">
        <v>1</v>
      </c>
      <c r="AC22" s="1475">
        <v>1</v>
      </c>
    </row>
    <row r="23" spans="1:29" ht="42.75">
      <c r="A23" s="946"/>
      <c r="B23" s="970" t="s">
        <v>2331</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523"/>
      <c r="Q23" s="681" t="str">
        <f>B23</f>
        <v>环境质量</v>
      </c>
      <c r="R23" s="1121" t="s">
        <v>2237</v>
      </c>
      <c r="S23" s="1122">
        <f>F23</f>
        <v>100</v>
      </c>
      <c r="T23" s="1121" t="s">
        <v>2237</v>
      </c>
      <c r="U23" s="1122">
        <f>H23</f>
        <v>100</v>
      </c>
      <c r="V23" s="1121" t="s">
        <v>2237</v>
      </c>
      <c r="W23" s="1122">
        <f>J23</f>
        <v>100</v>
      </c>
      <c r="X23" s="1115"/>
      <c r="Y23" s="3528"/>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523"/>
      <c r="Q24" s="681"/>
      <c r="R24" s="1121"/>
      <c r="S24" s="1122"/>
      <c r="T24" s="1121"/>
      <c r="U24" s="1122"/>
      <c r="V24" s="1121"/>
      <c r="W24" s="1122"/>
      <c r="X24" s="1115"/>
      <c r="Y24" s="3528"/>
      <c r="Z24" s="1105"/>
      <c r="AA24" s="1132">
        <v>1</v>
      </c>
      <c r="AB24" s="1132">
        <v>1</v>
      </c>
      <c r="AC24" s="1475">
        <v>1</v>
      </c>
    </row>
    <row r="25" spans="1:29" ht="27">
      <c r="A25" s="926"/>
      <c r="B25" s="970" t="s">
        <v>2332</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523"/>
      <c r="Q25" s="681" t="str">
        <f>B25</f>
        <v>毗邻道路的类型与等级</v>
      </c>
      <c r="R25" s="1121" t="s">
        <v>2237</v>
      </c>
      <c r="S25" s="1122">
        <f>F25</f>
        <v>100</v>
      </c>
      <c r="T25" s="1121" t="s">
        <v>2237</v>
      </c>
      <c r="U25" s="1122">
        <f>H25</f>
        <v>100</v>
      </c>
      <c r="V25" s="1121" t="s">
        <v>2237</v>
      </c>
      <c r="W25" s="1122">
        <f>J25</f>
        <v>100</v>
      </c>
      <c r="X25" s="1115"/>
      <c r="Y25" s="3528"/>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523"/>
      <c r="Q26" s="681"/>
      <c r="R26" s="1121"/>
      <c r="S26" s="1122"/>
      <c r="T26" s="1121"/>
      <c r="U26" s="1122"/>
      <c r="V26" s="1121"/>
      <c r="W26" s="1122"/>
      <c r="X26" s="1115"/>
      <c r="Y26" s="3528"/>
      <c r="Z26" s="1105"/>
      <c r="AA26" s="1132">
        <v>1</v>
      </c>
      <c r="AB26" s="1132">
        <v>1</v>
      </c>
      <c r="AC26" s="1475">
        <v>1</v>
      </c>
    </row>
    <row r="27" spans="1:29" ht="15">
      <c r="A27" s="946"/>
      <c r="B27" s="974" t="s">
        <v>2321</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523"/>
      <c r="Q27" s="681" t="str">
        <f t="shared" ref="Q27:Q47" si="11">B27</f>
        <v>楼层</v>
      </c>
      <c r="R27" s="1121" t="s">
        <v>2237</v>
      </c>
      <c r="S27" s="1122">
        <f>F27</f>
        <v>100</v>
      </c>
      <c r="T27" s="1121" t="s">
        <v>2237</v>
      </c>
      <c r="U27" s="1122">
        <f>H27</f>
        <v>100</v>
      </c>
      <c r="V27" s="1121" t="s">
        <v>2237</v>
      </c>
      <c r="W27" s="1122">
        <f>J27</f>
        <v>100</v>
      </c>
      <c r="X27" s="1115"/>
      <c r="Y27" s="3528"/>
      <c r="Z27" s="1105" t="str">
        <f>Q27</f>
        <v>楼层</v>
      </c>
      <c r="AA27" s="1132">
        <f t="shared" si="3"/>
        <v>1</v>
      </c>
      <c r="AB27" s="1132">
        <f t="shared" si="4"/>
        <v>1</v>
      </c>
      <c r="AC27" s="1475">
        <f t="shared" si="5"/>
        <v>1</v>
      </c>
    </row>
    <row r="28" spans="1:29" s="905" customFormat="1" ht="15">
      <c r="A28" s="949"/>
      <c r="B28" s="970" t="s">
        <v>2255</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523"/>
      <c r="Q28" s="1120" t="str">
        <f t="shared" si="11"/>
        <v>朝向</v>
      </c>
      <c r="R28" s="1116" t="s">
        <v>2237</v>
      </c>
      <c r="S28" s="1117">
        <f>F28</f>
        <v>100</v>
      </c>
      <c r="T28" s="1116" t="s">
        <v>2237</v>
      </c>
      <c r="U28" s="1117">
        <f>H28</f>
        <v>100</v>
      </c>
      <c r="V28" s="1116" t="s">
        <v>2237</v>
      </c>
      <c r="W28" s="1117">
        <f>J28</f>
        <v>100</v>
      </c>
      <c r="X28" s="1118"/>
      <c r="Y28" s="3528"/>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523"/>
      <c r="Q29" s="681">
        <f t="shared" si="11"/>
        <v>111</v>
      </c>
      <c r="R29" s="1121" t="s">
        <v>2237</v>
      </c>
      <c r="S29" s="1122">
        <f t="shared" ref="S29:S47" si="12">F29</f>
        <v>100</v>
      </c>
      <c r="T29" s="1121" t="s">
        <v>2237</v>
      </c>
      <c r="U29" s="1122">
        <f t="shared" ref="U29:U47" si="13">H29</f>
        <v>100</v>
      </c>
      <c r="V29" s="1121" t="s">
        <v>2237</v>
      </c>
      <c r="W29" s="1122">
        <f t="shared" ref="W29:W47" si="14">J29</f>
        <v>100</v>
      </c>
      <c r="X29" s="1115"/>
      <c r="Y29" s="3528"/>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523"/>
      <c r="Q30" s="681">
        <f t="shared" si="11"/>
        <v>111</v>
      </c>
      <c r="R30" s="1121" t="s">
        <v>2237</v>
      </c>
      <c r="S30" s="1122">
        <f t="shared" si="12"/>
        <v>100</v>
      </c>
      <c r="T30" s="1121" t="s">
        <v>2237</v>
      </c>
      <c r="U30" s="1122">
        <f t="shared" si="13"/>
        <v>100</v>
      </c>
      <c r="V30" s="1121" t="s">
        <v>2237</v>
      </c>
      <c r="W30" s="1122">
        <f t="shared" si="14"/>
        <v>100</v>
      </c>
      <c r="X30" s="1115"/>
      <c r="Y30" s="3528"/>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523"/>
      <c r="Q31" s="681">
        <f t="shared" si="11"/>
        <v>111</v>
      </c>
      <c r="R31" s="1121" t="s">
        <v>2237</v>
      </c>
      <c r="S31" s="1122">
        <f t="shared" si="12"/>
        <v>100</v>
      </c>
      <c r="T31" s="1121" t="s">
        <v>2237</v>
      </c>
      <c r="U31" s="1122">
        <f t="shared" si="13"/>
        <v>100</v>
      </c>
      <c r="V31" s="1121" t="s">
        <v>2237</v>
      </c>
      <c r="W31" s="1122">
        <f t="shared" si="14"/>
        <v>100</v>
      </c>
      <c r="X31" s="1115"/>
      <c r="Y31" s="3528"/>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523"/>
      <c r="Q32" s="681">
        <f t="shared" si="11"/>
        <v>111</v>
      </c>
      <c r="R32" s="1121" t="s">
        <v>2237</v>
      </c>
      <c r="S32" s="1122">
        <f t="shared" si="12"/>
        <v>100</v>
      </c>
      <c r="T32" s="1121" t="s">
        <v>2237</v>
      </c>
      <c r="U32" s="1122">
        <f t="shared" si="13"/>
        <v>100</v>
      </c>
      <c r="V32" s="1121" t="s">
        <v>2237</v>
      </c>
      <c r="W32" s="1122">
        <f t="shared" si="14"/>
        <v>100</v>
      </c>
      <c r="X32" s="1115"/>
      <c r="Y32" s="3528"/>
      <c r="Z32" s="1105">
        <f t="shared" si="15"/>
        <v>111</v>
      </c>
      <c r="AA32" s="1132">
        <f t="shared" si="3"/>
        <v>1</v>
      </c>
      <c r="AB32" s="1132">
        <f t="shared" si="4"/>
        <v>1</v>
      </c>
      <c r="AC32" s="1475">
        <f t="shared" si="5"/>
        <v>1</v>
      </c>
    </row>
    <row r="33" spans="1:29" ht="15">
      <c r="A33" s="960" t="s">
        <v>2256</v>
      </c>
      <c r="B33" s="939" t="s">
        <v>2257</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524" t="s">
        <v>2258</v>
      </c>
      <c r="Q33" s="681" t="str">
        <f t="shared" si="11"/>
        <v>建筑类型</v>
      </c>
      <c r="R33" s="1121" t="s">
        <v>2237</v>
      </c>
      <c r="S33" s="1122">
        <f t="shared" si="12"/>
        <v>100</v>
      </c>
      <c r="T33" s="1121" t="s">
        <v>2237</v>
      </c>
      <c r="U33" s="1122">
        <f t="shared" si="13"/>
        <v>100</v>
      </c>
      <c r="V33" s="1121" t="s">
        <v>2237</v>
      </c>
      <c r="W33" s="1122">
        <f t="shared" si="14"/>
        <v>100</v>
      </c>
      <c r="X33" s="1115"/>
      <c r="Y33" s="3529" t="s">
        <v>2258</v>
      </c>
      <c r="Z33" s="1105" t="str">
        <f t="shared" si="15"/>
        <v>建筑类型</v>
      </c>
      <c r="AA33" s="1132">
        <f t="shared" si="3"/>
        <v>1</v>
      </c>
      <c r="AB33" s="1132">
        <f t="shared" si="4"/>
        <v>1</v>
      </c>
      <c r="AC33" s="1475">
        <f t="shared" si="5"/>
        <v>1</v>
      </c>
    </row>
    <row r="34" spans="1:29" s="907" customFormat="1" ht="15">
      <c r="A34" s="1002"/>
      <c r="B34" s="943" t="s">
        <v>2259</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525"/>
      <c r="Q34" s="1348" t="str">
        <f t="shared" si="11"/>
        <v>项目建筑规模</v>
      </c>
      <c r="R34" s="1123" t="s">
        <v>2237</v>
      </c>
      <c r="S34" s="1124" t="e">
        <f t="shared" si="12"/>
        <v>#N/A</v>
      </c>
      <c r="T34" s="1123" t="s">
        <v>2237</v>
      </c>
      <c r="U34" s="1124" t="e">
        <f t="shared" si="13"/>
        <v>#N/A</v>
      </c>
      <c r="V34" s="1123" t="s">
        <v>2237</v>
      </c>
      <c r="W34" s="1124" t="e">
        <f t="shared" si="14"/>
        <v>#N/A</v>
      </c>
      <c r="X34" s="1125"/>
      <c r="Y34" s="3529"/>
      <c r="Z34" s="1133" t="str">
        <f t="shared" si="15"/>
        <v>项目建筑规模</v>
      </c>
      <c r="AA34" s="1132" t="e">
        <f t="shared" si="3"/>
        <v>#N/A</v>
      </c>
      <c r="AB34" s="1132" t="e">
        <f t="shared" si="4"/>
        <v>#N/A</v>
      </c>
      <c r="AC34" s="1475" t="e">
        <f t="shared" si="5"/>
        <v>#N/A</v>
      </c>
    </row>
    <row r="35" spans="1:29" ht="15">
      <c r="A35" s="997"/>
      <c r="B35" s="943" t="s">
        <v>2260</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525"/>
      <c r="Q35" s="681" t="str">
        <f t="shared" si="11"/>
        <v>建筑结构</v>
      </c>
      <c r="R35" s="1121" t="s">
        <v>2237</v>
      </c>
      <c r="S35" s="1122">
        <f t="shared" si="12"/>
        <v>100</v>
      </c>
      <c r="T35" s="1121" t="s">
        <v>2237</v>
      </c>
      <c r="U35" s="1122">
        <f t="shared" si="13"/>
        <v>100</v>
      </c>
      <c r="V35" s="1121" t="s">
        <v>2237</v>
      </c>
      <c r="W35" s="1122">
        <f t="shared" si="14"/>
        <v>100</v>
      </c>
      <c r="X35" s="1115"/>
      <c r="Y35" s="3529"/>
      <c r="Z35" s="1105" t="str">
        <f t="shared" si="15"/>
        <v>建筑结构</v>
      </c>
      <c r="AA35" s="1132">
        <f t="shared" si="3"/>
        <v>1</v>
      </c>
      <c r="AB35" s="1132">
        <f t="shared" si="4"/>
        <v>1</v>
      </c>
      <c r="AC35" s="1475">
        <f t="shared" si="5"/>
        <v>1</v>
      </c>
    </row>
    <row r="36" spans="1:29" ht="15">
      <c r="A36" s="997"/>
      <c r="B36" s="943" t="s">
        <v>2262</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525"/>
      <c r="Q36" s="681" t="str">
        <f t="shared" si="11"/>
        <v>公共部分装修</v>
      </c>
      <c r="R36" s="1121" t="s">
        <v>2237</v>
      </c>
      <c r="S36" s="1122">
        <f t="shared" si="12"/>
        <v>100</v>
      </c>
      <c r="T36" s="1121" t="s">
        <v>2237</v>
      </c>
      <c r="U36" s="1122">
        <f t="shared" si="13"/>
        <v>100</v>
      </c>
      <c r="V36" s="1121" t="s">
        <v>2237</v>
      </c>
      <c r="W36" s="1122">
        <f t="shared" si="14"/>
        <v>100</v>
      </c>
      <c r="X36" s="1115"/>
      <c r="Y36" s="3529"/>
      <c r="Z36" s="1105" t="str">
        <f t="shared" si="15"/>
        <v>公共部分装修</v>
      </c>
      <c r="AA36" s="1132">
        <f t="shared" si="3"/>
        <v>1</v>
      </c>
      <c r="AB36" s="1132">
        <f t="shared" si="4"/>
        <v>1</v>
      </c>
      <c r="AC36" s="1475">
        <f t="shared" si="5"/>
        <v>1</v>
      </c>
    </row>
    <row r="37" spans="1:29" ht="15">
      <c r="A37" s="997"/>
      <c r="B37" s="943" t="s">
        <v>563</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525"/>
      <c r="Q37" s="681" t="str">
        <f t="shared" si="11"/>
        <v>成新度</v>
      </c>
      <c r="R37" s="1121" t="s">
        <v>2237</v>
      </c>
      <c r="S37" s="1122" t="e">
        <f t="shared" si="12"/>
        <v>#N/A</v>
      </c>
      <c r="T37" s="1121" t="s">
        <v>2237</v>
      </c>
      <c r="U37" s="1122" t="e">
        <f t="shared" si="13"/>
        <v>#N/A</v>
      </c>
      <c r="V37" s="1121" t="s">
        <v>2237</v>
      </c>
      <c r="W37" s="1122" t="e">
        <f t="shared" si="14"/>
        <v>#N/A</v>
      </c>
      <c r="X37" s="1115"/>
      <c r="Y37" s="3529"/>
      <c r="Z37" s="1105" t="str">
        <f t="shared" si="15"/>
        <v>成新度</v>
      </c>
      <c r="AA37" s="1132" t="e">
        <f t="shared" si="3"/>
        <v>#N/A</v>
      </c>
      <c r="AB37" s="1132" t="e">
        <f t="shared" si="4"/>
        <v>#N/A</v>
      </c>
      <c r="AC37" s="1475" t="e">
        <f t="shared" si="5"/>
        <v>#N/A</v>
      </c>
    </row>
    <row r="38" spans="1:29" s="905" customFormat="1" ht="15">
      <c r="A38" s="999"/>
      <c r="B38" s="943" t="s">
        <v>2333</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525"/>
      <c r="Q38" s="1120" t="str">
        <f t="shared" si="11"/>
        <v>写字楼等级</v>
      </c>
      <c r="R38" s="1116" t="s">
        <v>2237</v>
      </c>
      <c r="S38" s="1117">
        <f t="shared" si="12"/>
        <v>100</v>
      </c>
      <c r="T38" s="1116" t="s">
        <v>2237</v>
      </c>
      <c r="U38" s="1117">
        <f t="shared" si="13"/>
        <v>100</v>
      </c>
      <c r="V38" s="1116" t="s">
        <v>2237</v>
      </c>
      <c r="W38" s="1117">
        <f t="shared" si="14"/>
        <v>100</v>
      </c>
      <c r="X38" s="1118"/>
      <c r="Y38" s="3529"/>
      <c r="Z38" s="1131" t="str">
        <f t="shared" si="15"/>
        <v>写字楼等级</v>
      </c>
      <c r="AA38" s="1130">
        <f t="shared" si="3"/>
        <v>1</v>
      </c>
      <c r="AB38" s="1130">
        <f t="shared" si="4"/>
        <v>1</v>
      </c>
      <c r="AC38" s="1474">
        <f t="shared" si="5"/>
        <v>1</v>
      </c>
    </row>
    <row r="39" spans="1:29" ht="15">
      <c r="A39" s="997"/>
      <c r="B39" s="943" t="s">
        <v>2263</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525" t="s">
        <v>2258</v>
      </c>
      <c r="Q39" s="681" t="str">
        <f t="shared" si="11"/>
        <v>物业管理</v>
      </c>
      <c r="R39" s="1121" t="s">
        <v>2237</v>
      </c>
      <c r="S39" s="1122">
        <f t="shared" si="12"/>
        <v>100</v>
      </c>
      <c r="T39" s="1121" t="s">
        <v>2237</v>
      </c>
      <c r="U39" s="1122">
        <f t="shared" si="13"/>
        <v>100</v>
      </c>
      <c r="V39" s="1121" t="s">
        <v>2237</v>
      </c>
      <c r="W39" s="1122">
        <f t="shared" si="14"/>
        <v>100</v>
      </c>
      <c r="X39" s="1115"/>
      <c r="Y39" s="3529" t="s">
        <v>2258</v>
      </c>
      <c r="Z39" s="1105" t="str">
        <f t="shared" si="15"/>
        <v>物业管理</v>
      </c>
      <c r="AA39" s="1132">
        <f t="shared" si="3"/>
        <v>1</v>
      </c>
      <c r="AB39" s="1132">
        <f t="shared" si="4"/>
        <v>1</v>
      </c>
      <c r="AC39" s="1475">
        <f t="shared" si="5"/>
        <v>1</v>
      </c>
    </row>
    <row r="40" spans="1:29" ht="15">
      <c r="A40" s="997"/>
      <c r="B40" s="943" t="s">
        <v>2264</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525"/>
      <c r="Q40" s="681" t="str">
        <f t="shared" si="11"/>
        <v>市政基础设施</v>
      </c>
      <c r="R40" s="1121" t="s">
        <v>2237</v>
      </c>
      <c r="S40" s="1122">
        <f t="shared" si="12"/>
        <v>100</v>
      </c>
      <c r="T40" s="1121" t="s">
        <v>2237</v>
      </c>
      <c r="U40" s="1122">
        <f t="shared" si="13"/>
        <v>100</v>
      </c>
      <c r="V40" s="1121" t="s">
        <v>2237</v>
      </c>
      <c r="W40" s="1122">
        <f t="shared" si="14"/>
        <v>100</v>
      </c>
      <c r="X40" s="1115"/>
      <c r="Y40" s="3529"/>
      <c r="Z40" s="1105" t="str">
        <f t="shared" si="15"/>
        <v>市政基础设施</v>
      </c>
      <c r="AA40" s="1132">
        <f t="shared" si="3"/>
        <v>1</v>
      </c>
      <c r="AB40" s="1132">
        <f t="shared" si="4"/>
        <v>1</v>
      </c>
      <c r="AC40" s="1475">
        <f t="shared" si="5"/>
        <v>1</v>
      </c>
    </row>
    <row r="41" spans="1:29" ht="15">
      <c r="A41" s="997"/>
      <c r="B41" s="943" t="s">
        <v>2324</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525"/>
      <c r="Q41" s="681" t="str">
        <f t="shared" si="11"/>
        <v>层高</v>
      </c>
      <c r="R41" s="1121" t="s">
        <v>2237</v>
      </c>
      <c r="S41" s="1122">
        <f t="shared" si="12"/>
        <v>100</v>
      </c>
      <c r="T41" s="1121" t="s">
        <v>2237</v>
      </c>
      <c r="U41" s="1122">
        <f t="shared" si="13"/>
        <v>100</v>
      </c>
      <c r="V41" s="1121" t="s">
        <v>2237</v>
      </c>
      <c r="W41" s="1122">
        <f t="shared" si="14"/>
        <v>100</v>
      </c>
      <c r="X41" s="1115"/>
      <c r="Y41" s="3529"/>
      <c r="Z41" s="1105" t="str">
        <f t="shared" si="15"/>
        <v>层高</v>
      </c>
      <c r="AA41" s="1132">
        <f t="shared" si="3"/>
        <v>1</v>
      </c>
      <c r="AB41" s="1132">
        <f t="shared" si="4"/>
        <v>1</v>
      </c>
      <c r="AC41" s="1475">
        <f t="shared" si="5"/>
        <v>1</v>
      </c>
    </row>
    <row r="42" spans="1:29" s="907" customFormat="1" ht="15">
      <c r="A42" s="1002"/>
      <c r="B42" s="1100" t="s">
        <v>2334</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525"/>
      <c r="Q42" s="1348" t="str">
        <f t="shared" si="11"/>
        <v>单套建筑面积</v>
      </c>
      <c r="R42" s="1123" t="s">
        <v>2237</v>
      </c>
      <c r="S42" s="1124">
        <f t="shared" si="12"/>
        <v>100</v>
      </c>
      <c r="T42" s="1123" t="s">
        <v>2237</v>
      </c>
      <c r="U42" s="1124">
        <f t="shared" si="13"/>
        <v>100</v>
      </c>
      <c r="V42" s="1123" t="s">
        <v>2237</v>
      </c>
      <c r="W42" s="1124">
        <f t="shared" si="14"/>
        <v>100</v>
      </c>
      <c r="X42" s="1125"/>
      <c r="Y42" s="3529"/>
      <c r="Z42" s="1133" t="str">
        <f t="shared" si="15"/>
        <v>单套建筑面积</v>
      </c>
      <c r="AA42" s="1132">
        <f t="shared" si="3"/>
        <v>1</v>
      </c>
      <c r="AB42" s="1132">
        <f t="shared" si="4"/>
        <v>1</v>
      </c>
      <c r="AC42" s="1475">
        <f t="shared" si="5"/>
        <v>1</v>
      </c>
    </row>
    <row r="43" spans="1:29" ht="15">
      <c r="A43" s="997"/>
      <c r="B43" s="943" t="s">
        <v>2267</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525"/>
      <c r="Q43" s="681" t="str">
        <f t="shared" si="11"/>
        <v>内部装修</v>
      </c>
      <c r="R43" s="1121" t="s">
        <v>2237</v>
      </c>
      <c r="S43" s="1122">
        <f t="shared" si="12"/>
        <v>100</v>
      </c>
      <c r="T43" s="1121" t="s">
        <v>2237</v>
      </c>
      <c r="U43" s="1122">
        <f t="shared" si="13"/>
        <v>100</v>
      </c>
      <c r="V43" s="1121" t="s">
        <v>2237</v>
      </c>
      <c r="W43" s="1122">
        <f t="shared" si="14"/>
        <v>100</v>
      </c>
      <c r="X43" s="1115"/>
      <c r="Y43" s="3529"/>
      <c r="Z43" s="1105" t="str">
        <f t="shared" si="15"/>
        <v>内部装修</v>
      </c>
      <c r="AA43" s="1132">
        <f t="shared" si="3"/>
        <v>1</v>
      </c>
      <c r="AB43" s="1132">
        <f t="shared" si="4"/>
        <v>1</v>
      </c>
      <c r="AC43" s="1475">
        <f t="shared" si="5"/>
        <v>1</v>
      </c>
    </row>
    <row r="44" spans="1:29" ht="15">
      <c r="A44" s="997"/>
      <c r="B44" s="943" t="s">
        <v>2268</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525"/>
      <c r="Q44" s="681" t="str">
        <f t="shared" si="11"/>
        <v>内部装修维护情况</v>
      </c>
      <c r="R44" s="1121" t="s">
        <v>2237</v>
      </c>
      <c r="S44" s="1122">
        <f t="shared" si="12"/>
        <v>100</v>
      </c>
      <c r="T44" s="1121" t="s">
        <v>2237</v>
      </c>
      <c r="U44" s="1122">
        <f t="shared" si="13"/>
        <v>100</v>
      </c>
      <c r="V44" s="1121" t="s">
        <v>2237</v>
      </c>
      <c r="W44" s="1122">
        <f t="shared" si="14"/>
        <v>100</v>
      </c>
      <c r="X44" s="1115"/>
      <c r="Y44" s="3529"/>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525"/>
      <c r="Q45" s="1120">
        <f t="shared" si="11"/>
        <v>111</v>
      </c>
      <c r="R45" s="1116" t="s">
        <v>2237</v>
      </c>
      <c r="S45" s="1117">
        <f t="shared" si="12"/>
        <v>100</v>
      </c>
      <c r="T45" s="1116" t="s">
        <v>2237</v>
      </c>
      <c r="U45" s="1117">
        <f t="shared" si="13"/>
        <v>100</v>
      </c>
      <c r="V45" s="1116" t="s">
        <v>2237</v>
      </c>
      <c r="W45" s="1117">
        <f t="shared" si="14"/>
        <v>100</v>
      </c>
      <c r="X45" s="1118"/>
      <c r="Y45" s="3529"/>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525"/>
      <c r="Q46" s="681">
        <f t="shared" si="11"/>
        <v>111</v>
      </c>
      <c r="R46" s="1121" t="s">
        <v>2237</v>
      </c>
      <c r="S46" s="1122">
        <f t="shared" si="12"/>
        <v>100</v>
      </c>
      <c r="T46" s="1121" t="s">
        <v>2237</v>
      </c>
      <c r="U46" s="1122">
        <f t="shared" si="13"/>
        <v>100</v>
      </c>
      <c r="V46" s="1121" t="s">
        <v>2237</v>
      </c>
      <c r="W46" s="1122">
        <f t="shared" si="14"/>
        <v>100</v>
      </c>
      <c r="X46" s="1115"/>
      <c r="Y46" s="3529"/>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526"/>
      <c r="Q47" s="681">
        <f t="shared" si="11"/>
        <v>111</v>
      </c>
      <c r="R47" s="1121" t="s">
        <v>2237</v>
      </c>
      <c r="S47" s="1122">
        <f t="shared" si="12"/>
        <v>100</v>
      </c>
      <c r="T47" s="1121" t="s">
        <v>2237</v>
      </c>
      <c r="U47" s="1122">
        <f t="shared" si="13"/>
        <v>100</v>
      </c>
      <c r="V47" s="1121" t="s">
        <v>2237</v>
      </c>
      <c r="W47" s="1122">
        <f t="shared" si="14"/>
        <v>100</v>
      </c>
      <c r="X47" s="1115"/>
      <c r="Y47" s="3530"/>
      <c r="Z47" s="1105">
        <f t="shared" si="15"/>
        <v>111</v>
      </c>
      <c r="AA47" s="1132">
        <f t="shared" si="3"/>
        <v>1</v>
      </c>
      <c r="AB47" s="1132">
        <f t="shared" si="4"/>
        <v>1</v>
      </c>
      <c r="AC47" s="1475">
        <f t="shared" si="5"/>
        <v>1</v>
      </c>
    </row>
    <row r="48" spans="1:29" ht="15">
      <c r="A48" s="1004" t="s">
        <v>2269</v>
      </c>
      <c r="B48" s="1323"/>
      <c r="C48" s="1324" t="s">
        <v>124</v>
      </c>
      <c r="D48" s="1325"/>
      <c r="E48" s="1326"/>
      <c r="F48" s="1327"/>
      <c r="G48" s="1328"/>
      <c r="H48" s="1329"/>
      <c r="I48" s="1326"/>
      <c r="J48" s="1011"/>
      <c r="K48" s="1096"/>
      <c r="L48" s="1097"/>
      <c r="M48" s="1073"/>
      <c r="N48" s="1073"/>
      <c r="O48" s="1073"/>
      <c r="P48" s="3521" t="str">
        <f>A48</f>
        <v>成交单价（元/平方米）</v>
      </c>
      <c r="Q48" s="3514"/>
      <c r="R48" s="3515">
        <f>E48</f>
        <v>0</v>
      </c>
      <c r="S48" s="3515"/>
      <c r="T48" s="3515">
        <f>G48</f>
        <v>0</v>
      </c>
      <c r="U48" s="3515"/>
      <c r="V48" s="3515">
        <f>I48</f>
        <v>0</v>
      </c>
      <c r="W48" s="3515"/>
      <c r="X48" s="1255"/>
      <c r="Y48" s="1134"/>
      <c r="Z48" s="1255"/>
      <c r="AA48" s="1255"/>
      <c r="AB48" s="1255"/>
      <c r="AC48" s="965"/>
    </row>
    <row r="49" spans="1:29" ht="15">
      <c r="A49" s="1012" t="s">
        <v>2270</v>
      </c>
      <c r="B49" s="1330"/>
      <c r="C49" s="1331" t="e">
        <f>R50</f>
        <v>#DIV/0!</v>
      </c>
      <c r="D49" s="1015" t="s">
        <v>2271</v>
      </c>
      <c r="E49" s="1332" t="e">
        <f>R49</f>
        <v>#DIV/0!</v>
      </c>
      <c r="F49" s="1016"/>
      <c r="G49" s="1331" t="e">
        <f>T49</f>
        <v>#DIV/0!</v>
      </c>
      <c r="H49" s="1016"/>
      <c r="I49" s="1332" t="e">
        <f>V49</f>
        <v>#DIV/0!</v>
      </c>
      <c r="J49" s="1016"/>
      <c r="K49" s="1098">
        <f>F49+H49+J49</f>
        <v>0</v>
      </c>
      <c r="L49" s="1097"/>
      <c r="M49" s="1073"/>
      <c r="N49" s="1073"/>
      <c r="O49" s="1073"/>
      <c r="P49" s="3521" t="str">
        <f>A49</f>
        <v>比较价值（元/平方米）</v>
      </c>
      <c r="Q49" s="3514"/>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1255"/>
      <c r="Y49" s="1255"/>
      <c r="Z49" s="1255"/>
      <c r="AA49" s="1255"/>
      <c r="AB49" s="1255"/>
      <c r="AC49" s="965"/>
    </row>
    <row r="50" spans="1:29" ht="15">
      <c r="A50" s="1018" t="s">
        <v>2272</v>
      </c>
      <c r="B50" s="1019"/>
      <c r="C50" s="1333" t="e">
        <f>R50</f>
        <v>#DIV/0!</v>
      </c>
      <c r="D50" s="1333"/>
      <c r="E50" s="1333"/>
      <c r="F50" s="1333"/>
      <c r="G50" s="1333"/>
      <c r="H50" s="1333"/>
      <c r="I50" s="1333"/>
      <c r="J50" s="1020"/>
      <c r="K50" s="1099"/>
      <c r="L50" s="1097"/>
      <c r="M50" s="1073"/>
      <c r="N50" s="1073"/>
      <c r="O50" s="1073"/>
      <c r="P50" s="3555" t="str">
        <f>A50</f>
        <v>估价对象XX用房的比较价值（楼面单价，元/平方米）</v>
      </c>
      <c r="Q50" s="3556"/>
      <c r="R50" s="3557" t="e">
        <f>IF(F1="售价",ROUND(IF(D49="简单平均",AVERAGE(R49:V49),R49*F49+T49*H49+V49*J49),0),ROUND(IF(D49="简单平均",AVERAGE(R49:V49),R49*F49+T49*H49+V49*J49),1))</f>
        <v>#DIV/0!</v>
      </c>
      <c r="S50" s="3557"/>
      <c r="T50" s="3557"/>
      <c r="U50" s="3557"/>
      <c r="V50" s="3557"/>
      <c r="W50" s="3557"/>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2273</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2274</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2275</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2276</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2235</v>
      </c>
      <c r="B59" s="1336"/>
      <c r="C59" s="1337" t="str">
        <f>YEAR(C7)&amp;"-"&amp;MONTH(C7)</f>
        <v>2022-7</v>
      </c>
      <c r="D59" s="1338">
        <f>EDATE(C59,-1)</f>
        <v>44713</v>
      </c>
      <c r="E59" s="1338">
        <f>EDATE(D59,-1)</f>
        <v>44682</v>
      </c>
      <c r="F59" s="1338">
        <f t="shared" ref="F59:O59" si="16">EDATE(E59,-1)</f>
        <v>44652</v>
      </c>
      <c r="G59" s="1338">
        <f t="shared" si="16"/>
        <v>44621</v>
      </c>
      <c r="H59" s="1338">
        <f t="shared" si="16"/>
        <v>44593</v>
      </c>
      <c r="I59" s="1338">
        <f t="shared" si="16"/>
        <v>44562</v>
      </c>
      <c r="J59" s="1338">
        <f t="shared" si="16"/>
        <v>44531</v>
      </c>
      <c r="K59" s="1338">
        <f t="shared" si="16"/>
        <v>44501</v>
      </c>
      <c r="L59" s="1338">
        <f t="shared" si="16"/>
        <v>44470</v>
      </c>
      <c r="M59" s="1338">
        <f t="shared" si="16"/>
        <v>44440</v>
      </c>
      <c r="N59" s="1338">
        <f t="shared" si="16"/>
        <v>44409</v>
      </c>
      <c r="O59" s="1338">
        <f t="shared" si="16"/>
        <v>44378</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2277</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2238</v>
      </c>
      <c r="B62" s="1146"/>
      <c r="C62" s="1147" t="s">
        <v>2239</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2278</v>
      </c>
      <c r="B64" s="1152" t="s">
        <v>2242</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2245</v>
      </c>
      <c r="C66" s="1157" t="s">
        <v>2279</v>
      </c>
      <c r="D66" s="1157" t="s">
        <v>2280</v>
      </c>
      <c r="E66" s="1157" t="s">
        <v>2281</v>
      </c>
      <c r="F66" s="1157" t="s">
        <v>2282</v>
      </c>
      <c r="G66" s="1157" t="s">
        <v>2283</v>
      </c>
      <c r="H66" s="1157" t="s">
        <v>2284</v>
      </c>
      <c r="I66" s="1157" t="s">
        <v>2285</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2327</v>
      </c>
      <c r="D67" s="1159" t="s">
        <v>2327</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2246</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2247</v>
      </c>
      <c r="B77" s="1152" t="s">
        <v>2330</v>
      </c>
      <c r="C77" s="1173" t="s">
        <v>2286</v>
      </c>
      <c r="D77" s="1173" t="s">
        <v>2287</v>
      </c>
      <c r="E77" s="1173" t="s">
        <v>2288</v>
      </c>
      <c r="F77" s="1173" t="s">
        <v>2289</v>
      </c>
      <c r="G77" s="1173" t="s">
        <v>2290</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2250</v>
      </c>
      <c r="C79" s="1175" t="s">
        <v>2286</v>
      </c>
      <c r="D79" s="1175" t="s">
        <v>2287</v>
      </c>
      <c r="E79" s="1175" t="s">
        <v>2288</v>
      </c>
      <c r="F79" s="1175" t="s">
        <v>2289</v>
      </c>
      <c r="G79" s="1175" t="s">
        <v>2290</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2251</v>
      </c>
      <c r="C81" s="1175" t="s">
        <v>2286</v>
      </c>
      <c r="D81" s="1175" t="s">
        <v>2287</v>
      </c>
      <c r="E81" s="1175" t="s">
        <v>2288</v>
      </c>
      <c r="F81" s="1175" t="s">
        <v>2289</v>
      </c>
      <c r="G81" s="1175" t="s">
        <v>2290</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2252</v>
      </c>
      <c r="C83" s="1180" t="s">
        <v>2291</v>
      </c>
      <c r="D83" s="1180" t="s">
        <v>2292</v>
      </c>
      <c r="E83" s="1180" t="s">
        <v>2293</v>
      </c>
      <c r="F83" s="1180" t="s">
        <v>2294</v>
      </c>
      <c r="G83" s="1180" t="s">
        <v>2295</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2331</v>
      </c>
      <c r="C85" s="1175" t="s">
        <v>2286</v>
      </c>
      <c r="D85" s="1175" t="s">
        <v>2287</v>
      </c>
      <c r="E85" s="1175" t="s">
        <v>2288</v>
      </c>
      <c r="F85" s="1175" t="s">
        <v>2289</v>
      </c>
      <c r="G85" s="1175" t="s">
        <v>2290</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2332</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2256</v>
      </c>
      <c r="B101" s="1152" t="s">
        <v>2257</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2259</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2260</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2262</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563</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2333</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2263</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2264</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2335</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2325</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2267</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2268</v>
      </c>
      <c r="C125" s="1175" t="s">
        <v>2286</v>
      </c>
      <c r="D125" s="1175" t="s">
        <v>2287</v>
      </c>
      <c r="E125" s="1175" t="s">
        <v>2288</v>
      </c>
      <c r="F125" s="1175" t="s">
        <v>2289</v>
      </c>
      <c r="G125" s="1175" t="s">
        <v>2290</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3" customWidth="1"/>
    <col min="2" max="16384" width="9" style="493"/>
  </cols>
  <sheetData>
    <row r="1" spans="1:1" ht="23.25">
      <c r="A1" s="3239" t="s">
        <v>82</v>
      </c>
    </row>
    <row r="2" spans="1:1">
      <c r="A2" s="3240"/>
    </row>
    <row r="3" spans="1:1" ht="18">
      <c r="A3" s="3241" t="str">
        <f>项目基本情况!B5&amp;"："</f>
        <v>：</v>
      </c>
    </row>
    <row r="4" spans="1:1" ht="18">
      <c r="A4" s="3242" t="str">
        <f>"受贵公司委托，我公司对"&amp;项目基本情况!S1&amp;"进行了预评估。"</f>
        <v>受贵公司委托，我公司对北京市房地产抵押价值进行了预评估。</v>
      </c>
    </row>
    <row r="5" spans="1:1" ht="18.75">
      <c r="A5" s="3243" t="s">
        <v>83</v>
      </c>
    </row>
    <row r="6" spans="1:1" ht="18.75">
      <c r="A6" s="3244" t="s">
        <v>84</v>
      </c>
    </row>
    <row r="7" spans="1:1" ht="54">
      <c r="A7" s="32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估价对象为北京市房地产，为所有。根据《国有土地使用证》[]，估价对象（分摊）出让国有建设用地使用权面积为5788.26平方米，建筑面积为16578.28平方米。</v>
      </c>
    </row>
    <row r="8" spans="1:1" ht="57.75">
      <c r="A8" s="3245" t="s">
        <v>85</v>
      </c>
    </row>
    <row r="9" spans="1:1" ht="18.75">
      <c r="A9" s="3244" t="s">
        <v>86</v>
      </c>
    </row>
    <row r="10" spans="1:1" ht="54">
      <c r="A10" s="32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估价对象为北京市房地产,属开发建设的，该项目尚在开发建设中。根据《国有土地使用证》[]，估价对象（分摊）出让国有建设用地使用权面积为5788.26平方米，规划建筑面积为16578.28平方米。</v>
      </c>
    </row>
    <row r="11" spans="1:1" ht="76.5">
      <c r="A11" s="3245" t="s">
        <v>87</v>
      </c>
    </row>
    <row r="12" spans="1:1" ht="18.75">
      <c r="A12" s="3243" t="s">
        <v>88</v>
      </c>
    </row>
    <row r="13" spans="1:1" ht="38.25" customHeight="1">
      <c r="A13" s="32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47" t="s">
        <v>89</v>
      </c>
    </row>
    <row r="15" spans="1:1" ht="18">
      <c r="A15" s="3248" t="str">
        <f>TEXT(项目基本情况!D3,"yyyy年m月d日;;")&amp;IF(项目基本情况!D3=项目基本情况!B3,"（评估专业人员实地查勘之日）","")</f>
        <v>2022年7月13日</v>
      </c>
    </row>
    <row r="16" spans="1:1" ht="18.75">
      <c r="A16" s="3247" t="s">
        <v>90</v>
      </c>
    </row>
    <row r="17" spans="1:1" ht="75">
      <c r="A17" s="3242" t="s">
        <v>91</v>
      </c>
    </row>
    <row r="18" spans="1:1" ht="54">
      <c r="A18" s="32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13日，估价对象规划用途为，土地取得方式为出让，出让国有建设用地使用权剩余土地使用年限为，假定未设立法定优先受偿款下的房地产市场价值。</v>
      </c>
    </row>
    <row r="19" spans="1:1" ht="157.5" customHeight="1">
      <c r="A19" s="32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47" t="s">
        <v>92</v>
      </c>
    </row>
    <row r="24" spans="1:1" ht="18">
      <c r="A24" s="3214" t="str">
        <f>"本次评估采用的主估价方法为"&amp;结果表!K4&amp;"和"&amp;结果表!L4&amp;"。"</f>
        <v>本次评估采用的主估价方法为收益法和成本法。</v>
      </c>
    </row>
    <row r="25" spans="1:1" ht="18">
      <c r="A25" s="3214"/>
    </row>
    <row r="26" spans="1:1" ht="18.75">
      <c r="A26" s="3249"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2216</v>
      </c>
      <c r="B1" s="1419" t="s">
        <v>2336</v>
      </c>
      <c r="C1" s="1286" t="s">
        <v>2218</v>
      </c>
      <c r="D1" s="1287"/>
      <c r="E1" s="1288"/>
      <c r="F1" s="1289"/>
      <c r="G1" s="1290" t="s">
        <v>2220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915</v>
      </c>
      <c r="B2" s="1292" t="e">
        <f ca="1">IF(C2="——",ROUND(C43*D3/10000,0),ROUND(C43*D3/10000,0)-D2)</f>
        <v>#DIV/0!</v>
      </c>
      <c r="C2" s="1293"/>
      <c r="D2" s="1250" t="e">
        <f ca="1">SUMIF(INDIRECT("'"&amp;F2&amp;"'"&amp;"!A:A"),"承租人权益价值",INDIRECT("'"&amp;F2&amp;"'"&amp;"!c:c"))</f>
        <v>#REF!</v>
      </c>
      <c r="E2" s="1294" t="s">
        <v>916</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917</v>
      </c>
      <c r="B3" s="922" t="e">
        <f ca="1">IF(C2="——",C43,ROUND(B2*10000/D3,0))</f>
        <v>#DIV/0!</v>
      </c>
      <c r="C3" s="1296" t="s">
        <v>2221</v>
      </c>
      <c r="D3" s="1297">
        <f>IF(D1="",'数据-汇总表'!E3,SUMIF('数据-汇总表'!$C19:$C33,D1,'数据-汇总表'!$E19:$E33))</f>
        <v>16578.28</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2222</v>
      </c>
      <c r="B4" s="925"/>
      <c r="C4" s="3536" t="s">
        <v>2223</v>
      </c>
      <c r="D4" s="3537"/>
      <c r="E4" s="3538" t="s">
        <v>2224</v>
      </c>
      <c r="F4" s="3539"/>
      <c r="G4" s="3536" t="s">
        <v>2225</v>
      </c>
      <c r="H4" s="3537"/>
      <c r="I4" s="3536" t="s">
        <v>2226</v>
      </c>
      <c r="J4" s="3537"/>
      <c r="K4" s="1071" t="s">
        <v>2227</v>
      </c>
      <c r="L4" s="1425"/>
      <c r="M4" s="1426"/>
      <c r="N4" s="1426"/>
      <c r="O4" s="1426"/>
      <c r="P4" s="3501" t="s">
        <v>2228</v>
      </c>
      <c r="Q4" s="3502"/>
      <c r="R4" s="3507" t="s">
        <v>2224</v>
      </c>
      <c r="S4" s="3508"/>
      <c r="T4" s="3507" t="s">
        <v>2225</v>
      </c>
      <c r="U4" s="3508"/>
      <c r="V4" s="3513" t="s">
        <v>2226</v>
      </c>
      <c r="W4" s="3513"/>
      <c r="X4" s="1115"/>
      <c r="Y4" s="3507" t="s">
        <v>2228</v>
      </c>
      <c r="Z4" s="3508"/>
      <c r="AA4" s="3498" t="s">
        <v>2224</v>
      </c>
      <c r="AB4" s="3499" t="s">
        <v>2225</v>
      </c>
      <c r="AC4" s="3498" t="s">
        <v>2226</v>
      </c>
    </row>
    <row r="5" spans="1:29" ht="15">
      <c r="A5" s="926"/>
      <c r="B5" s="927"/>
      <c r="C5" s="3540" t="s">
        <v>2229</v>
      </c>
      <c r="D5" s="3541"/>
      <c r="E5" s="3542" t="s">
        <v>2230</v>
      </c>
      <c r="F5" s="3543"/>
      <c r="G5" s="3540" t="s">
        <v>2231</v>
      </c>
      <c r="H5" s="3541"/>
      <c r="I5" s="3540" t="s">
        <v>2232</v>
      </c>
      <c r="J5" s="3541"/>
      <c r="K5" s="1071"/>
      <c r="L5" s="1425"/>
      <c r="M5" s="1426"/>
      <c r="N5" s="1426"/>
      <c r="O5" s="1426"/>
      <c r="P5" s="3503"/>
      <c r="Q5" s="3504"/>
      <c r="R5" s="3509"/>
      <c r="S5" s="3510"/>
      <c r="T5" s="3509"/>
      <c r="U5" s="3510"/>
      <c r="V5" s="3513"/>
      <c r="W5" s="3513"/>
      <c r="X5" s="1115"/>
      <c r="Y5" s="3509"/>
      <c r="Z5" s="3510"/>
      <c r="AA5" s="3499"/>
      <c r="AB5" s="3499"/>
      <c r="AC5" s="3499"/>
    </row>
    <row r="6" spans="1:29" ht="15">
      <c r="A6" s="928"/>
      <c r="B6" s="929"/>
      <c r="C6" s="3531" t="s">
        <v>2233</v>
      </c>
      <c r="D6" s="3532"/>
      <c r="E6" s="3533" t="s">
        <v>2233</v>
      </c>
      <c r="F6" s="3534"/>
      <c r="G6" s="3531" t="s">
        <v>2233</v>
      </c>
      <c r="H6" s="3532"/>
      <c r="I6" s="3531" t="s">
        <v>2233</v>
      </c>
      <c r="J6" s="3532"/>
      <c r="K6" s="1071" t="s">
        <v>2234</v>
      </c>
      <c r="L6" s="1425"/>
      <c r="M6" s="1426"/>
      <c r="N6" s="1426"/>
      <c r="O6" s="1426"/>
      <c r="P6" s="3505"/>
      <c r="Q6" s="3506"/>
      <c r="R6" s="3509"/>
      <c r="S6" s="3510"/>
      <c r="T6" s="3511"/>
      <c r="U6" s="3512"/>
      <c r="V6" s="3513"/>
      <c r="W6" s="3513"/>
      <c r="X6" s="1115"/>
      <c r="Y6" s="3511"/>
      <c r="Z6" s="3512"/>
      <c r="AA6" s="3500"/>
      <c r="AB6" s="3500"/>
      <c r="AC6" s="3500"/>
    </row>
    <row r="7" spans="1:29" s="905" customFormat="1" ht="15">
      <c r="A7" s="930" t="s">
        <v>2235</v>
      </c>
      <c r="B7" s="931"/>
      <c r="C7" s="932">
        <f>'数据-取费表'!B2</f>
        <v>44755</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519" t="s">
        <v>2236</v>
      </c>
      <c r="Q7" s="3535"/>
      <c r="R7" s="1116" t="s">
        <v>2237</v>
      </c>
      <c r="S7" s="1117">
        <f t="shared" ref="S7:S15" si="0">F7</f>
        <v>0</v>
      </c>
      <c r="T7" s="1116" t="s">
        <v>2237</v>
      </c>
      <c r="U7" s="1117">
        <f t="shared" ref="U7:U15" si="1">H7</f>
        <v>0</v>
      </c>
      <c r="V7" s="1116" t="s">
        <v>2237</v>
      </c>
      <c r="W7" s="1117">
        <f t="shared" ref="W7:W15" si="2">J7</f>
        <v>0</v>
      </c>
      <c r="X7" s="1118"/>
      <c r="Y7" s="3519" t="s">
        <v>2236</v>
      </c>
      <c r="Z7" s="3520"/>
      <c r="AA7" s="1130" t="e">
        <f>D7/F7</f>
        <v>#DIV/0!</v>
      </c>
      <c r="AB7" s="1130" t="e">
        <f>D7/H7</f>
        <v>#DIV/0!</v>
      </c>
      <c r="AC7" s="1130" t="e">
        <f>D7/J7</f>
        <v>#DIV/0!</v>
      </c>
    </row>
    <row r="8" spans="1:29" s="905" customFormat="1" ht="15">
      <c r="A8" s="930" t="s">
        <v>2238</v>
      </c>
      <c r="B8" s="931"/>
      <c r="C8" s="937" t="s">
        <v>2239</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519" t="s">
        <v>2240</v>
      </c>
      <c r="Q8" s="3520"/>
      <c r="R8" s="1116" t="s">
        <v>2237</v>
      </c>
      <c r="S8" s="1117">
        <f t="shared" si="0"/>
        <v>0</v>
      </c>
      <c r="T8" s="1116" t="s">
        <v>2237</v>
      </c>
      <c r="U8" s="1117">
        <f t="shared" si="1"/>
        <v>0</v>
      </c>
      <c r="V8" s="1116" t="s">
        <v>2237</v>
      </c>
      <c r="W8" s="1117">
        <f t="shared" si="2"/>
        <v>0</v>
      </c>
      <c r="X8" s="1118"/>
      <c r="Y8" s="3519" t="s">
        <v>2240</v>
      </c>
      <c r="Z8" s="3520"/>
      <c r="AA8" s="1130" t="e">
        <f t="shared" ref="AA8:AA40" si="3">D8/F8</f>
        <v>#DIV/0!</v>
      </c>
      <c r="AB8" s="1130" t="e">
        <f t="shared" ref="AB8:AB40" si="4">D8/H8</f>
        <v>#DIV/0!</v>
      </c>
      <c r="AC8" s="1130" t="e">
        <f t="shared" ref="AC8:AC40" si="5">D8/J8</f>
        <v>#DIV/0!</v>
      </c>
    </row>
    <row r="9" spans="1:29" s="905" customFormat="1">
      <c r="A9" s="938" t="s">
        <v>2241</v>
      </c>
      <c r="B9" s="939" t="s">
        <v>2242</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514" t="s">
        <v>2243</v>
      </c>
      <c r="Q9" s="1120" t="str">
        <f t="shared" ref="Q9:Q15" si="6">B9</f>
        <v>用途</v>
      </c>
      <c r="R9" s="1116" t="s">
        <v>2237</v>
      </c>
      <c r="S9" s="1117">
        <f t="shared" si="0"/>
        <v>100</v>
      </c>
      <c r="T9" s="1116" t="s">
        <v>2237</v>
      </c>
      <c r="U9" s="1117">
        <f t="shared" si="1"/>
        <v>100</v>
      </c>
      <c r="V9" s="1116" t="s">
        <v>2237</v>
      </c>
      <c r="W9" s="1117">
        <f t="shared" si="2"/>
        <v>100</v>
      </c>
      <c r="X9" s="1118"/>
      <c r="Y9" s="3380" t="s">
        <v>2244</v>
      </c>
      <c r="Z9" s="1131" t="str">
        <f t="shared" ref="Z9:Z15" si="7">Q9</f>
        <v>用途</v>
      </c>
      <c r="AA9" s="1130">
        <f t="shared" si="3"/>
        <v>1</v>
      </c>
      <c r="AB9" s="1130">
        <f t="shared" si="4"/>
        <v>1</v>
      </c>
      <c r="AC9" s="1130">
        <f t="shared" si="5"/>
        <v>1</v>
      </c>
    </row>
    <row r="10" spans="1:29" s="906" customFormat="1" ht="27">
      <c r="A10" s="942"/>
      <c r="B10" s="943" t="s">
        <v>2245</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514"/>
      <c r="Q10" s="1120" t="str">
        <f t="shared" si="6"/>
        <v>土地使用年限（年）</v>
      </c>
      <c r="R10" s="1116" t="s">
        <v>2237</v>
      </c>
      <c r="S10" s="1117">
        <f t="shared" si="0"/>
        <v>100</v>
      </c>
      <c r="T10" s="1116" t="s">
        <v>2237</v>
      </c>
      <c r="U10" s="1117">
        <f t="shared" si="1"/>
        <v>100</v>
      </c>
      <c r="V10" s="1116" t="s">
        <v>2237</v>
      </c>
      <c r="W10" s="1117">
        <f t="shared" si="2"/>
        <v>100</v>
      </c>
      <c r="X10" s="1118"/>
      <c r="Y10" s="3380"/>
      <c r="Z10" s="1131" t="str">
        <f t="shared" si="7"/>
        <v>土地使用年限（年）</v>
      </c>
      <c r="AA10" s="1130">
        <f t="shared" si="3"/>
        <v>1</v>
      </c>
      <c r="AB10" s="1130">
        <f t="shared" si="4"/>
        <v>1</v>
      </c>
      <c r="AC10" s="1130">
        <f t="shared" si="5"/>
        <v>1</v>
      </c>
    </row>
    <row r="11" spans="1:29" ht="15">
      <c r="A11" s="946"/>
      <c r="B11" s="943" t="s">
        <v>2246</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514"/>
      <c r="Q11" s="1120" t="str">
        <f t="shared" si="6"/>
        <v>容积率</v>
      </c>
      <c r="R11" s="1116" t="s">
        <v>2237</v>
      </c>
      <c r="S11" s="1117" t="e">
        <f t="shared" si="0"/>
        <v>#N/A</v>
      </c>
      <c r="T11" s="1116" t="s">
        <v>2237</v>
      </c>
      <c r="U11" s="1117" t="e">
        <f t="shared" si="1"/>
        <v>#N/A</v>
      </c>
      <c r="V11" s="1116" t="s">
        <v>2237</v>
      </c>
      <c r="W11" s="1117" t="e">
        <f t="shared" si="2"/>
        <v>#N/A</v>
      </c>
      <c r="X11" s="1118"/>
      <c r="Y11" s="338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514"/>
      <c r="Q12" s="1120">
        <f t="shared" si="6"/>
        <v>111</v>
      </c>
      <c r="R12" s="1116" t="s">
        <v>2237</v>
      </c>
      <c r="S12" s="1117">
        <f t="shared" si="0"/>
        <v>100</v>
      </c>
      <c r="T12" s="1116" t="s">
        <v>2237</v>
      </c>
      <c r="U12" s="1117">
        <f t="shared" si="1"/>
        <v>100</v>
      </c>
      <c r="V12" s="1116" t="s">
        <v>2237</v>
      </c>
      <c r="W12" s="1117">
        <f t="shared" si="2"/>
        <v>100</v>
      </c>
      <c r="X12" s="1118"/>
      <c r="Y12" s="3380"/>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514"/>
      <c r="Q13" s="1120">
        <f t="shared" si="6"/>
        <v>111</v>
      </c>
      <c r="R13" s="1116" t="s">
        <v>2237</v>
      </c>
      <c r="S13" s="1117">
        <f t="shared" si="0"/>
        <v>100</v>
      </c>
      <c r="T13" s="1116" t="s">
        <v>2237</v>
      </c>
      <c r="U13" s="1117">
        <f t="shared" si="1"/>
        <v>100</v>
      </c>
      <c r="V13" s="1116" t="s">
        <v>2237</v>
      </c>
      <c r="W13" s="1117">
        <f t="shared" si="2"/>
        <v>100</v>
      </c>
      <c r="X13" s="1118"/>
      <c r="Y13" s="3380"/>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514"/>
      <c r="Q14" s="1120">
        <f t="shared" si="6"/>
        <v>111</v>
      </c>
      <c r="R14" s="1116" t="s">
        <v>2237</v>
      </c>
      <c r="S14" s="1117">
        <f t="shared" si="0"/>
        <v>100</v>
      </c>
      <c r="T14" s="1116" t="s">
        <v>2237</v>
      </c>
      <c r="U14" s="1117">
        <f t="shared" si="1"/>
        <v>100</v>
      </c>
      <c r="V14" s="1116" t="s">
        <v>2237</v>
      </c>
      <c r="W14" s="1117">
        <f t="shared" si="2"/>
        <v>100</v>
      </c>
      <c r="X14" s="1118"/>
      <c r="Y14" s="3380"/>
      <c r="Z14" s="1131">
        <f t="shared" si="7"/>
        <v>111</v>
      </c>
      <c r="AA14" s="1130">
        <f t="shared" si="3"/>
        <v>1</v>
      </c>
      <c r="AB14" s="1130">
        <f t="shared" si="4"/>
        <v>1</v>
      </c>
      <c r="AC14" s="1130">
        <f t="shared" si="5"/>
        <v>1</v>
      </c>
    </row>
    <row r="15" spans="1:29" ht="57">
      <c r="A15" s="960" t="s">
        <v>2247</v>
      </c>
      <c r="B15" s="1253" t="s">
        <v>2337</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527" t="s">
        <v>2249</v>
      </c>
      <c r="Q15" s="681" t="str">
        <f t="shared" si="6"/>
        <v>产业集聚程度</v>
      </c>
      <c r="R15" s="1121" t="s">
        <v>2237</v>
      </c>
      <c r="S15" s="1122">
        <f t="shared" si="0"/>
        <v>100</v>
      </c>
      <c r="T15" s="1121" t="s">
        <v>2237</v>
      </c>
      <c r="U15" s="1122">
        <f t="shared" si="1"/>
        <v>100</v>
      </c>
      <c r="V15" s="1121" t="s">
        <v>2237</v>
      </c>
      <c r="W15" s="1122">
        <f t="shared" si="2"/>
        <v>100</v>
      </c>
      <c r="X15" s="1115"/>
      <c r="Y15" s="3527" t="s">
        <v>2249</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528"/>
      <c r="Q16" s="681"/>
      <c r="R16" s="1121"/>
      <c r="S16" s="1122"/>
      <c r="T16" s="1121"/>
      <c r="U16" s="1122"/>
      <c r="V16" s="1121"/>
      <c r="W16" s="1122"/>
      <c r="X16" s="1115"/>
      <c r="Y16" s="3528"/>
      <c r="Z16" s="1105"/>
      <c r="AA16" s="1132">
        <v>1</v>
      </c>
      <c r="AB16" s="1132">
        <v>1</v>
      </c>
      <c r="AC16" s="1132">
        <v>1</v>
      </c>
    </row>
    <row r="17" spans="1:29" ht="85.5">
      <c r="A17" s="946"/>
      <c r="B17" s="1256" t="s">
        <v>2250</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528"/>
      <c r="Q17" s="681" t="str">
        <f>B17</f>
        <v>交通便捷度</v>
      </c>
      <c r="R17" s="1121" t="s">
        <v>2237</v>
      </c>
      <c r="S17" s="1122">
        <f>F17</f>
        <v>100</v>
      </c>
      <c r="T17" s="1121" t="s">
        <v>2237</v>
      </c>
      <c r="U17" s="1122">
        <f>H17</f>
        <v>100</v>
      </c>
      <c r="V17" s="1121" t="s">
        <v>2237</v>
      </c>
      <c r="W17" s="1122">
        <f>J17</f>
        <v>100</v>
      </c>
      <c r="X17" s="1115"/>
      <c r="Y17" s="3528"/>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528"/>
      <c r="Q18" s="681"/>
      <c r="R18" s="1121"/>
      <c r="S18" s="1122"/>
      <c r="T18" s="1121"/>
      <c r="U18" s="1122"/>
      <c r="V18" s="1121"/>
      <c r="W18" s="1122"/>
      <c r="X18" s="1115"/>
      <c r="Y18" s="3528"/>
      <c r="Z18" s="1105"/>
      <c r="AA18" s="1132">
        <v>1</v>
      </c>
      <c r="AB18" s="1132">
        <v>1</v>
      </c>
      <c r="AC18" s="1132">
        <v>1</v>
      </c>
    </row>
    <row r="19" spans="1:29" ht="42.75">
      <c r="A19" s="946"/>
      <c r="B19" s="1256" t="s">
        <v>2251</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528"/>
      <c r="Q19" s="681" t="str">
        <f>B19</f>
        <v>公共配套设施</v>
      </c>
      <c r="R19" s="1121" t="s">
        <v>2237</v>
      </c>
      <c r="S19" s="1122">
        <f>F19</f>
        <v>100</v>
      </c>
      <c r="T19" s="1121" t="s">
        <v>2237</v>
      </c>
      <c r="U19" s="1122">
        <f>H19</f>
        <v>100</v>
      </c>
      <c r="V19" s="1121" t="s">
        <v>2237</v>
      </c>
      <c r="W19" s="1122">
        <f>J19</f>
        <v>100</v>
      </c>
      <c r="X19" s="1115"/>
      <c r="Y19" s="3528"/>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528"/>
      <c r="Q20" s="681"/>
      <c r="R20" s="1121"/>
      <c r="S20" s="1122"/>
      <c r="T20" s="1121"/>
      <c r="U20" s="1122"/>
      <c r="V20" s="1121"/>
      <c r="W20" s="1122"/>
      <c r="X20" s="1115"/>
      <c r="Y20" s="3528"/>
      <c r="Z20" s="1105"/>
      <c r="AA20" s="1132">
        <v>1</v>
      </c>
      <c r="AB20" s="1132">
        <v>1</v>
      </c>
      <c r="AC20" s="1132">
        <v>1</v>
      </c>
    </row>
    <row r="21" spans="1:29" ht="28.5">
      <c r="A21" s="946"/>
      <c r="B21" s="1260" t="s">
        <v>2252</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528"/>
      <c r="Q21" s="681" t="str">
        <f>B21</f>
        <v>基础设施水平</v>
      </c>
      <c r="R21" s="1121" t="s">
        <v>2237</v>
      </c>
      <c r="S21" s="1122">
        <f>F21</f>
        <v>100</v>
      </c>
      <c r="T21" s="1121" t="s">
        <v>2237</v>
      </c>
      <c r="U21" s="1122">
        <f>H21</f>
        <v>100</v>
      </c>
      <c r="V21" s="1121" t="s">
        <v>2237</v>
      </c>
      <c r="W21" s="1122">
        <f>J21</f>
        <v>100</v>
      </c>
      <c r="X21" s="1115"/>
      <c r="Y21" s="352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528"/>
      <c r="Q22" s="681"/>
      <c r="R22" s="1121"/>
      <c r="S22" s="1122"/>
      <c r="T22" s="1121"/>
      <c r="U22" s="1122"/>
      <c r="V22" s="1121"/>
      <c r="W22" s="1122"/>
      <c r="X22" s="1115"/>
      <c r="Y22" s="3528"/>
      <c r="Z22" s="1105"/>
      <c r="AA22" s="1132">
        <v>1</v>
      </c>
      <c r="AB22" s="1132">
        <v>1</v>
      </c>
      <c r="AC22" s="1132">
        <v>1</v>
      </c>
    </row>
    <row r="23" spans="1:29" ht="71.25">
      <c r="A23" s="946"/>
      <c r="B23" s="1256" t="s">
        <v>2331</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528"/>
      <c r="Q23" s="681" t="str">
        <f>B23</f>
        <v>环境质量</v>
      </c>
      <c r="R23" s="1121" t="s">
        <v>2237</v>
      </c>
      <c r="S23" s="1122">
        <f>F23</f>
        <v>100</v>
      </c>
      <c r="T23" s="1121" t="s">
        <v>2237</v>
      </c>
      <c r="U23" s="1122">
        <f>H23</f>
        <v>100</v>
      </c>
      <c r="V23" s="1121" t="s">
        <v>2237</v>
      </c>
      <c r="W23" s="1122">
        <f>J23</f>
        <v>100</v>
      </c>
      <c r="X23" s="1115"/>
      <c r="Y23" s="3528"/>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528"/>
      <c r="Q24" s="681"/>
      <c r="R24" s="1121"/>
      <c r="S24" s="1122"/>
      <c r="T24" s="1121"/>
      <c r="U24" s="1122"/>
      <c r="V24" s="1121"/>
      <c r="W24" s="1122"/>
      <c r="X24" s="1115"/>
      <c r="Y24" s="3528"/>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528"/>
      <c r="Q25" s="681">
        <f>B25</f>
        <v>111</v>
      </c>
      <c r="R25" s="1121" t="s">
        <v>2237</v>
      </c>
      <c r="S25" s="1122">
        <f>F25</f>
        <v>100</v>
      </c>
      <c r="T25" s="1121" t="s">
        <v>2237</v>
      </c>
      <c r="U25" s="1122">
        <f>H25</f>
        <v>100</v>
      </c>
      <c r="V25" s="1121" t="s">
        <v>2237</v>
      </c>
      <c r="W25" s="1122">
        <f>J25</f>
        <v>100</v>
      </c>
      <c r="X25" s="1115"/>
      <c r="Y25" s="3528"/>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528"/>
      <c r="Q26" s="681">
        <f t="shared" ref="Q26:Q40" si="11">B26</f>
        <v>111</v>
      </c>
      <c r="R26" s="1121" t="s">
        <v>2237</v>
      </c>
      <c r="S26" s="1122">
        <f>F26</f>
        <v>100</v>
      </c>
      <c r="T26" s="1121" t="s">
        <v>2237</v>
      </c>
      <c r="U26" s="1122">
        <f>H26</f>
        <v>100</v>
      </c>
      <c r="V26" s="1121" t="s">
        <v>2237</v>
      </c>
      <c r="W26" s="1122">
        <f>J26</f>
        <v>100</v>
      </c>
      <c r="X26" s="1115"/>
      <c r="Y26" s="3528"/>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528"/>
      <c r="Q27" s="1120">
        <f t="shared" si="11"/>
        <v>111</v>
      </c>
      <c r="R27" s="1116" t="s">
        <v>2237</v>
      </c>
      <c r="S27" s="1117">
        <f>F27</f>
        <v>100</v>
      </c>
      <c r="T27" s="1116" t="s">
        <v>2237</v>
      </c>
      <c r="U27" s="1117">
        <f>H27</f>
        <v>100</v>
      </c>
      <c r="V27" s="1116" t="s">
        <v>2237</v>
      </c>
      <c r="W27" s="1117">
        <f>J27</f>
        <v>100</v>
      </c>
      <c r="X27" s="1118"/>
      <c r="Y27" s="3528"/>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528"/>
      <c r="Q28" s="681">
        <f t="shared" si="11"/>
        <v>111</v>
      </c>
      <c r="R28" s="1121" t="s">
        <v>2237</v>
      </c>
      <c r="S28" s="1122">
        <f t="shared" ref="S28:S40" si="12">F28</f>
        <v>100</v>
      </c>
      <c r="T28" s="1121" t="s">
        <v>2237</v>
      </c>
      <c r="U28" s="1122">
        <f t="shared" ref="U28:U40" si="13">H28</f>
        <v>100</v>
      </c>
      <c r="V28" s="1121" t="s">
        <v>2237</v>
      </c>
      <c r="W28" s="1122">
        <f t="shared" ref="W28:W40" si="14">J28</f>
        <v>100</v>
      </c>
      <c r="X28" s="1115"/>
      <c r="Y28" s="3528"/>
      <c r="Z28" s="1105">
        <f t="shared" ref="Z28:Z40" si="15">Q28</f>
        <v>111</v>
      </c>
      <c r="AA28" s="1132">
        <f t="shared" si="3"/>
        <v>1</v>
      </c>
      <c r="AB28" s="1132">
        <f t="shared" si="4"/>
        <v>1</v>
      </c>
      <c r="AC28" s="1132">
        <f t="shared" si="5"/>
        <v>1</v>
      </c>
    </row>
    <row r="29" spans="1:29" ht="28.5">
      <c r="A29" s="1313" t="s">
        <v>2256</v>
      </c>
      <c r="B29" s="939" t="s">
        <v>2257</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59" t="s">
        <v>2258</v>
      </c>
      <c r="Q29" s="681" t="str">
        <f t="shared" si="11"/>
        <v>建筑类型</v>
      </c>
      <c r="R29" s="1121" t="s">
        <v>2237</v>
      </c>
      <c r="S29" s="1122">
        <f t="shared" si="12"/>
        <v>100</v>
      </c>
      <c r="T29" s="1121" t="s">
        <v>2237</v>
      </c>
      <c r="U29" s="1122">
        <f t="shared" si="13"/>
        <v>100</v>
      </c>
      <c r="V29" s="1121" t="s">
        <v>2237</v>
      </c>
      <c r="W29" s="1122">
        <f t="shared" si="14"/>
        <v>100</v>
      </c>
      <c r="X29" s="1115"/>
      <c r="Y29" s="3529" t="s">
        <v>2258</v>
      </c>
      <c r="Z29" s="1105" t="str">
        <f t="shared" si="15"/>
        <v>建筑类型</v>
      </c>
      <c r="AA29" s="1132">
        <f t="shared" si="3"/>
        <v>1</v>
      </c>
      <c r="AB29" s="1132">
        <f t="shared" si="4"/>
        <v>1</v>
      </c>
      <c r="AC29" s="1132">
        <f t="shared" si="5"/>
        <v>1</v>
      </c>
    </row>
    <row r="30" spans="1:29" s="907" customFormat="1" ht="15">
      <c r="A30" s="1002"/>
      <c r="B30" s="943" t="s">
        <v>2259</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529"/>
      <c r="Q30" s="1348" t="str">
        <f t="shared" si="11"/>
        <v>项目建筑规模</v>
      </c>
      <c r="R30" s="1123" t="s">
        <v>2237</v>
      </c>
      <c r="S30" s="1124" t="e">
        <f t="shared" si="12"/>
        <v>#N/A</v>
      </c>
      <c r="T30" s="1123" t="s">
        <v>2237</v>
      </c>
      <c r="U30" s="1124" t="e">
        <f t="shared" si="13"/>
        <v>#N/A</v>
      </c>
      <c r="V30" s="1123" t="s">
        <v>2237</v>
      </c>
      <c r="W30" s="1124" t="e">
        <f t="shared" si="14"/>
        <v>#N/A</v>
      </c>
      <c r="X30" s="1125"/>
      <c r="Y30" s="3529"/>
      <c r="Z30" s="1133" t="str">
        <f t="shared" si="15"/>
        <v>项目建筑规模</v>
      </c>
      <c r="AA30" s="1132" t="e">
        <f t="shared" si="3"/>
        <v>#N/A</v>
      </c>
      <c r="AB30" s="1132" t="e">
        <f t="shared" si="4"/>
        <v>#N/A</v>
      </c>
      <c r="AC30" s="1132" t="e">
        <f t="shared" si="5"/>
        <v>#N/A</v>
      </c>
    </row>
    <row r="31" spans="1:29" ht="15">
      <c r="A31" s="997"/>
      <c r="B31" s="943" t="s">
        <v>2260</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529"/>
      <c r="Q31" s="681" t="str">
        <f t="shared" si="11"/>
        <v>建筑结构</v>
      </c>
      <c r="R31" s="1121" t="s">
        <v>2237</v>
      </c>
      <c r="S31" s="1122">
        <f t="shared" si="12"/>
        <v>100</v>
      </c>
      <c r="T31" s="1121" t="s">
        <v>2237</v>
      </c>
      <c r="U31" s="1122">
        <f t="shared" si="13"/>
        <v>100</v>
      </c>
      <c r="V31" s="1121" t="s">
        <v>2237</v>
      </c>
      <c r="W31" s="1122">
        <f t="shared" si="14"/>
        <v>100</v>
      </c>
      <c r="X31" s="1115"/>
      <c r="Y31" s="3529"/>
      <c r="Z31" s="1105" t="str">
        <f t="shared" si="15"/>
        <v>建筑结构</v>
      </c>
      <c r="AA31" s="1132">
        <f t="shared" si="3"/>
        <v>1</v>
      </c>
      <c r="AB31" s="1132">
        <f t="shared" si="4"/>
        <v>1</v>
      </c>
      <c r="AC31" s="1132">
        <f t="shared" si="5"/>
        <v>1</v>
      </c>
    </row>
    <row r="32" spans="1:29" ht="15">
      <c r="A32" s="997"/>
      <c r="B32" s="943" t="s">
        <v>2262</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529"/>
      <c r="Q32" s="681" t="str">
        <f t="shared" si="11"/>
        <v>公共部分装修</v>
      </c>
      <c r="R32" s="1121" t="s">
        <v>2237</v>
      </c>
      <c r="S32" s="1122">
        <f t="shared" si="12"/>
        <v>100</v>
      </c>
      <c r="T32" s="1121" t="s">
        <v>2237</v>
      </c>
      <c r="U32" s="1122">
        <f t="shared" si="13"/>
        <v>100</v>
      </c>
      <c r="V32" s="1121" t="s">
        <v>2237</v>
      </c>
      <c r="W32" s="1122">
        <f t="shared" si="14"/>
        <v>100</v>
      </c>
      <c r="X32" s="1115"/>
      <c r="Y32" s="3529"/>
      <c r="Z32" s="1105" t="str">
        <f t="shared" si="15"/>
        <v>公共部分装修</v>
      </c>
      <c r="AA32" s="1132">
        <f t="shared" si="3"/>
        <v>1</v>
      </c>
      <c r="AB32" s="1132">
        <f t="shared" si="4"/>
        <v>1</v>
      </c>
      <c r="AC32" s="1132">
        <f t="shared" si="5"/>
        <v>1</v>
      </c>
    </row>
    <row r="33" spans="1:29" ht="15">
      <c r="A33" s="997"/>
      <c r="B33" s="943" t="s">
        <v>563</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529"/>
      <c r="Q33" s="681" t="str">
        <f t="shared" si="11"/>
        <v>成新度</v>
      </c>
      <c r="R33" s="1121" t="s">
        <v>2237</v>
      </c>
      <c r="S33" s="1122" t="e">
        <f t="shared" si="12"/>
        <v>#N/A</v>
      </c>
      <c r="T33" s="1121" t="s">
        <v>2237</v>
      </c>
      <c r="U33" s="1122" t="e">
        <f t="shared" si="13"/>
        <v>#N/A</v>
      </c>
      <c r="V33" s="1121" t="s">
        <v>2237</v>
      </c>
      <c r="W33" s="1122" t="e">
        <f t="shared" si="14"/>
        <v>#N/A</v>
      </c>
      <c r="X33" s="1115"/>
      <c r="Y33" s="3529"/>
      <c r="Z33" s="1105" t="str">
        <f t="shared" si="15"/>
        <v>成新度</v>
      </c>
      <c r="AA33" s="1132" t="e">
        <f t="shared" si="3"/>
        <v>#N/A</v>
      </c>
      <c r="AB33" s="1132" t="e">
        <f t="shared" si="4"/>
        <v>#N/A</v>
      </c>
      <c r="AC33" s="1132" t="e">
        <f t="shared" si="5"/>
        <v>#N/A</v>
      </c>
    </row>
    <row r="34" spans="1:29" s="905" customFormat="1" ht="15">
      <c r="A34" s="999"/>
      <c r="B34" s="943" t="s">
        <v>2263</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529"/>
      <c r="Q34" s="1120" t="str">
        <f t="shared" si="11"/>
        <v>物业管理</v>
      </c>
      <c r="R34" s="1116" t="s">
        <v>2237</v>
      </c>
      <c r="S34" s="1117">
        <f t="shared" si="12"/>
        <v>100</v>
      </c>
      <c r="T34" s="1116" t="s">
        <v>2237</v>
      </c>
      <c r="U34" s="1117">
        <f t="shared" si="13"/>
        <v>100</v>
      </c>
      <c r="V34" s="1116" t="s">
        <v>2237</v>
      </c>
      <c r="W34" s="1117">
        <f t="shared" si="14"/>
        <v>100</v>
      </c>
      <c r="X34" s="1118"/>
      <c r="Y34" s="3529"/>
      <c r="Z34" s="1131" t="str">
        <f t="shared" si="15"/>
        <v>物业管理</v>
      </c>
      <c r="AA34" s="1130">
        <f t="shared" si="3"/>
        <v>1</v>
      </c>
      <c r="AB34" s="1130">
        <f t="shared" si="4"/>
        <v>1</v>
      </c>
      <c r="AC34" s="1130">
        <f t="shared" si="5"/>
        <v>1</v>
      </c>
    </row>
    <row r="35" spans="1:29" ht="15">
      <c r="A35" s="997"/>
      <c r="B35" s="943" t="s">
        <v>2264</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529" t="s">
        <v>2258</v>
      </c>
      <c r="Q35" s="681" t="str">
        <f t="shared" si="11"/>
        <v>市政基础设施</v>
      </c>
      <c r="R35" s="1121" t="s">
        <v>2237</v>
      </c>
      <c r="S35" s="1122">
        <f t="shared" si="12"/>
        <v>100</v>
      </c>
      <c r="T35" s="1121" t="s">
        <v>2237</v>
      </c>
      <c r="U35" s="1122">
        <f t="shared" si="13"/>
        <v>100</v>
      </c>
      <c r="V35" s="1121" t="s">
        <v>2237</v>
      </c>
      <c r="W35" s="1122">
        <f t="shared" si="14"/>
        <v>100</v>
      </c>
      <c r="X35" s="1115"/>
      <c r="Y35" s="3529" t="s">
        <v>2258</v>
      </c>
      <c r="Z35" s="1105" t="str">
        <f t="shared" si="15"/>
        <v>市政基础设施</v>
      </c>
      <c r="AA35" s="1132">
        <f t="shared" si="3"/>
        <v>1</v>
      </c>
      <c r="AB35" s="1132">
        <f t="shared" si="4"/>
        <v>1</v>
      </c>
      <c r="AC35" s="1132">
        <f t="shared" si="5"/>
        <v>1</v>
      </c>
    </row>
    <row r="36" spans="1:29" ht="15">
      <c r="A36" s="997"/>
      <c r="B36" s="943" t="s">
        <v>2267</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529"/>
      <c r="Q36" s="681" t="str">
        <f t="shared" si="11"/>
        <v>内部装修</v>
      </c>
      <c r="R36" s="1121" t="s">
        <v>2237</v>
      </c>
      <c r="S36" s="1122">
        <f t="shared" si="12"/>
        <v>100</v>
      </c>
      <c r="T36" s="1121" t="s">
        <v>2237</v>
      </c>
      <c r="U36" s="1122">
        <f t="shared" si="13"/>
        <v>100</v>
      </c>
      <c r="V36" s="1121" t="s">
        <v>2237</v>
      </c>
      <c r="W36" s="1122">
        <f t="shared" si="14"/>
        <v>100</v>
      </c>
      <c r="X36" s="1115"/>
      <c r="Y36" s="3529"/>
      <c r="Z36" s="1105" t="str">
        <f t="shared" si="15"/>
        <v>内部装修</v>
      </c>
      <c r="AA36" s="1132">
        <f t="shared" si="3"/>
        <v>1</v>
      </c>
      <c r="AB36" s="1132">
        <f t="shared" si="4"/>
        <v>1</v>
      </c>
      <c r="AC36" s="1132">
        <f t="shared" si="5"/>
        <v>1</v>
      </c>
    </row>
    <row r="37" spans="1:29" ht="15">
      <c r="A37" s="997"/>
      <c r="B37" s="943" t="s">
        <v>2338</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529"/>
      <c r="Q37" s="681" t="str">
        <f t="shared" si="11"/>
        <v>内部装修状况</v>
      </c>
      <c r="R37" s="1121" t="s">
        <v>2237</v>
      </c>
      <c r="S37" s="1122">
        <f t="shared" si="12"/>
        <v>100</v>
      </c>
      <c r="T37" s="1121" t="s">
        <v>2237</v>
      </c>
      <c r="U37" s="1122">
        <f t="shared" si="13"/>
        <v>100</v>
      </c>
      <c r="V37" s="1121" t="s">
        <v>2237</v>
      </c>
      <c r="W37" s="1122">
        <f t="shared" si="14"/>
        <v>100</v>
      </c>
      <c r="X37" s="1115"/>
      <c r="Y37" s="3529"/>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529"/>
      <c r="Q38" s="1348">
        <f t="shared" si="11"/>
        <v>111</v>
      </c>
      <c r="R38" s="1123" t="s">
        <v>2237</v>
      </c>
      <c r="S38" s="1124">
        <f t="shared" si="12"/>
        <v>100</v>
      </c>
      <c r="T38" s="1123" t="s">
        <v>2237</v>
      </c>
      <c r="U38" s="1124">
        <f t="shared" si="13"/>
        <v>100</v>
      </c>
      <c r="V38" s="1123" t="s">
        <v>2237</v>
      </c>
      <c r="W38" s="1124">
        <f t="shared" si="14"/>
        <v>100</v>
      </c>
      <c r="X38" s="1125"/>
      <c r="Y38" s="3529"/>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529"/>
      <c r="Q39" s="681">
        <f t="shared" si="11"/>
        <v>111</v>
      </c>
      <c r="R39" s="1121" t="s">
        <v>2237</v>
      </c>
      <c r="S39" s="1122">
        <f t="shared" si="12"/>
        <v>100</v>
      </c>
      <c r="T39" s="1121" t="s">
        <v>2237</v>
      </c>
      <c r="U39" s="1122">
        <f t="shared" si="13"/>
        <v>100</v>
      </c>
      <c r="V39" s="1121" t="s">
        <v>2237</v>
      </c>
      <c r="W39" s="1122">
        <f t="shared" si="14"/>
        <v>100</v>
      </c>
      <c r="X39" s="1115"/>
      <c r="Y39" s="3529"/>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530"/>
      <c r="Q40" s="681">
        <f t="shared" si="11"/>
        <v>111</v>
      </c>
      <c r="R40" s="1121" t="s">
        <v>2237</v>
      </c>
      <c r="S40" s="1122">
        <f t="shared" si="12"/>
        <v>100</v>
      </c>
      <c r="T40" s="1121" t="s">
        <v>2237</v>
      </c>
      <c r="U40" s="1122">
        <f t="shared" si="13"/>
        <v>100</v>
      </c>
      <c r="V40" s="1121" t="s">
        <v>2237</v>
      </c>
      <c r="W40" s="1122">
        <f t="shared" si="14"/>
        <v>100</v>
      </c>
      <c r="X40" s="1115"/>
      <c r="Y40" s="3530"/>
      <c r="Z40" s="1105">
        <f t="shared" si="15"/>
        <v>111</v>
      </c>
      <c r="AA40" s="1132">
        <f t="shared" si="3"/>
        <v>1</v>
      </c>
      <c r="AB40" s="1132">
        <f t="shared" si="4"/>
        <v>1</v>
      </c>
      <c r="AC40" s="1132">
        <f t="shared" si="5"/>
        <v>1</v>
      </c>
    </row>
    <row r="41" spans="1:29" ht="15">
      <c r="A41" s="1004" t="s">
        <v>2269</v>
      </c>
      <c r="B41" s="1323"/>
      <c r="C41" s="1324" t="s">
        <v>124</v>
      </c>
      <c r="D41" s="1325"/>
      <c r="E41" s="1326"/>
      <c r="F41" s="1327"/>
      <c r="G41" s="1328"/>
      <c r="H41" s="1329"/>
      <c r="I41" s="1326"/>
      <c r="J41" s="1329"/>
      <c r="K41" s="1096"/>
      <c r="L41" s="1438"/>
      <c r="M41" s="1056"/>
      <c r="N41" s="1426"/>
      <c r="O41" s="1056"/>
      <c r="P41" s="3514" t="str">
        <f>A41</f>
        <v>成交单价（元/平方米）</v>
      </c>
      <c r="Q41" s="3514"/>
      <c r="R41" s="3515">
        <f>E41</f>
        <v>0</v>
      </c>
      <c r="S41" s="3515"/>
      <c r="T41" s="3515">
        <f>G41</f>
        <v>0</v>
      </c>
      <c r="U41" s="3515"/>
      <c r="V41" s="3515">
        <f>I41</f>
        <v>0</v>
      </c>
      <c r="W41" s="3515"/>
      <c r="X41" s="1061"/>
      <c r="Y41" s="1134"/>
      <c r="Z41" s="1061"/>
      <c r="AA41" s="1061"/>
      <c r="AB41" s="1061"/>
      <c r="AC41" s="1061"/>
    </row>
    <row r="42" spans="1:29" ht="15">
      <c r="A42" s="1012" t="s">
        <v>2270</v>
      </c>
      <c r="B42" s="1330"/>
      <c r="C42" s="1331" t="e">
        <f>R43</f>
        <v>#DIV/0!</v>
      </c>
      <c r="D42" s="1015" t="s">
        <v>2271</v>
      </c>
      <c r="E42" s="1332" t="e">
        <f>R42</f>
        <v>#DIV/0!</v>
      </c>
      <c r="F42" s="1016"/>
      <c r="G42" s="1331" t="e">
        <f>T42</f>
        <v>#DIV/0!</v>
      </c>
      <c r="H42" s="1016"/>
      <c r="I42" s="1332" t="e">
        <f>V42</f>
        <v>#DIV/0!</v>
      </c>
      <c r="J42" s="1016"/>
      <c r="K42" s="1098">
        <f>F42+H42+J42</f>
        <v>0</v>
      </c>
      <c r="L42" s="1438"/>
      <c r="M42" s="1056"/>
      <c r="N42" s="1426"/>
      <c r="O42" s="1056"/>
      <c r="P42" s="3514" t="str">
        <f>A42</f>
        <v>比较价值（元/平方米）</v>
      </c>
      <c r="Q42" s="3514"/>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1061"/>
      <c r="Y42" s="1061"/>
      <c r="Z42" s="1061"/>
      <c r="AA42" s="1061"/>
      <c r="AB42" s="1061"/>
      <c r="AC42" s="1061"/>
    </row>
    <row r="43" spans="1:29" ht="15">
      <c r="A43" s="1018" t="s">
        <v>2272</v>
      </c>
      <c r="B43" s="1019"/>
      <c r="C43" s="1333" t="e">
        <f>R43</f>
        <v>#DIV/0!</v>
      </c>
      <c r="D43" s="1333"/>
      <c r="E43" s="1333"/>
      <c r="F43" s="1333"/>
      <c r="G43" s="1333"/>
      <c r="H43" s="1333"/>
      <c r="I43" s="1333"/>
      <c r="J43" s="1333"/>
      <c r="K43" s="1099"/>
      <c r="L43" s="1438"/>
      <c r="M43" s="1056"/>
      <c r="N43" s="1056"/>
      <c r="O43" s="1056"/>
      <c r="P43" s="3516" t="str">
        <f>A43</f>
        <v>估价对象XX用房的比较价值（楼面单价，元/平方米）</v>
      </c>
      <c r="Q43" s="3517"/>
      <c r="R43" s="3518" t="e">
        <f>IF(F1="售价",ROUND(IF(D42="简单平均",AVERAGE(R42:V42),R42*F42+T42*H42+V42*J42),0),ROUND(IF(D42="简单平均",AVERAGE(R42:V42),R42*F42+T42*H42+V42*J42),1))</f>
        <v>#DIV/0!</v>
      </c>
      <c r="S43" s="3518"/>
      <c r="T43" s="3518"/>
      <c r="U43" s="3518"/>
      <c r="V43" s="3518"/>
      <c r="W43" s="3518"/>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2273</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2274</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2275</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2276</v>
      </c>
      <c r="B51" s="1061"/>
      <c r="C51" s="1062"/>
      <c r="D51" s="1062"/>
      <c r="E51" s="1062"/>
      <c r="F51" s="1063"/>
      <c r="G51" s="1063"/>
      <c r="H51" s="1062"/>
      <c r="I51" s="1062"/>
      <c r="J51" s="1062"/>
      <c r="K51" s="1279"/>
      <c r="L51" s="1280"/>
      <c r="M51" s="1113"/>
      <c r="N51" s="1113"/>
      <c r="O51" s="1113"/>
      <c r="P51" s="1441"/>
      <c r="Q51" s="1443"/>
    </row>
    <row r="52" spans="1:17" s="910" customFormat="1" ht="15">
      <c r="A52" s="1335" t="s">
        <v>2235</v>
      </c>
      <c r="B52" s="1336"/>
      <c r="C52" s="1337" t="str">
        <f>YEAR(C7)&amp;"-"&amp;MONTH(C7)</f>
        <v>2022-7</v>
      </c>
      <c r="D52" s="1338">
        <f>EDATE(C52,-1)</f>
        <v>44713</v>
      </c>
      <c r="E52" s="1338">
        <f t="shared" ref="E52:O52" si="16">EDATE(D52,-1)</f>
        <v>44682</v>
      </c>
      <c r="F52" s="1338">
        <f t="shared" si="16"/>
        <v>44652</v>
      </c>
      <c r="G52" s="1338">
        <f t="shared" si="16"/>
        <v>44621</v>
      </c>
      <c r="H52" s="1338">
        <f t="shared" si="16"/>
        <v>44593</v>
      </c>
      <c r="I52" s="1338">
        <f t="shared" si="16"/>
        <v>44562</v>
      </c>
      <c r="J52" s="1338">
        <f t="shared" si="16"/>
        <v>44531</v>
      </c>
      <c r="K52" s="1338">
        <f t="shared" si="16"/>
        <v>44501</v>
      </c>
      <c r="L52" s="1338">
        <f t="shared" si="16"/>
        <v>44470</v>
      </c>
      <c r="M52" s="1338">
        <f t="shared" si="16"/>
        <v>44440</v>
      </c>
      <c r="N52" s="1338">
        <f t="shared" si="16"/>
        <v>44409</v>
      </c>
      <c r="O52" s="1338">
        <f t="shared" si="16"/>
        <v>44378</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2277</v>
      </c>
      <c r="B54" s="1142"/>
      <c r="C54" s="1143"/>
      <c r="D54" s="1144"/>
      <c r="E54" s="1144"/>
      <c r="F54" s="1144"/>
      <c r="G54" s="1144"/>
      <c r="H54" s="1144"/>
      <c r="I54" s="1144"/>
      <c r="J54" s="1144"/>
      <c r="K54" s="1144"/>
      <c r="L54" s="1144"/>
      <c r="M54" s="1192"/>
      <c r="N54" s="1444"/>
      <c r="O54" s="1445"/>
      <c r="P54" s="1443"/>
      <c r="Q54" s="1443"/>
    </row>
    <row r="55" spans="1:17" s="905" customFormat="1" ht="15">
      <c r="A55" s="1145" t="s">
        <v>2238</v>
      </c>
      <c r="B55" s="1146"/>
      <c r="C55" s="1147" t="s">
        <v>2239</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2278</v>
      </c>
      <c r="B57" s="1152" t="s">
        <v>2242</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2245</v>
      </c>
      <c r="C59" s="1157" t="s">
        <v>2279</v>
      </c>
      <c r="D59" s="1157" t="s">
        <v>2280</v>
      </c>
      <c r="E59" s="1157" t="s">
        <v>2281</v>
      </c>
      <c r="F59" s="1157" t="s">
        <v>2282</v>
      </c>
      <c r="G59" s="1157" t="s">
        <v>2283</v>
      </c>
      <c r="H59" s="1157" t="s">
        <v>2284</v>
      </c>
      <c r="I59" s="1157" t="s">
        <v>2285</v>
      </c>
      <c r="J59" s="1157"/>
      <c r="K59" s="1206"/>
      <c r="L59" s="1207"/>
      <c r="M59" s="1208"/>
      <c r="N59" s="1448"/>
      <c r="O59" s="1448"/>
      <c r="P59" s="1449"/>
      <c r="Q59" s="1443"/>
    </row>
    <row r="60" spans="1:17" ht="15">
      <c r="A60" s="1153"/>
      <c r="B60" s="1158"/>
      <c r="C60" s="1159" t="s">
        <v>2327</v>
      </c>
      <c r="D60" s="1159" t="s">
        <v>2327</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2246</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2247</v>
      </c>
      <c r="B70" s="1152" t="s">
        <v>2337</v>
      </c>
      <c r="C70" s="1173" t="s">
        <v>2286</v>
      </c>
      <c r="D70" s="1173" t="s">
        <v>2287</v>
      </c>
      <c r="E70" s="1173" t="s">
        <v>2288</v>
      </c>
      <c r="F70" s="1173" t="s">
        <v>2289</v>
      </c>
      <c r="G70" s="1173" t="s">
        <v>2290</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2250</v>
      </c>
      <c r="C72" s="1175" t="s">
        <v>2286</v>
      </c>
      <c r="D72" s="1175" t="s">
        <v>2287</v>
      </c>
      <c r="E72" s="1175" t="s">
        <v>2288</v>
      </c>
      <c r="F72" s="1175" t="s">
        <v>2289</v>
      </c>
      <c r="G72" s="1175" t="s">
        <v>2290</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2251</v>
      </c>
      <c r="C74" s="1175" t="s">
        <v>2286</v>
      </c>
      <c r="D74" s="1175" t="s">
        <v>2287</v>
      </c>
      <c r="E74" s="1175" t="s">
        <v>2288</v>
      </c>
      <c r="F74" s="1175" t="s">
        <v>2289</v>
      </c>
      <c r="G74" s="1175" t="s">
        <v>2290</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2252</v>
      </c>
      <c r="C76" s="1180" t="s">
        <v>2291</v>
      </c>
      <c r="D76" s="1180" t="s">
        <v>2292</v>
      </c>
      <c r="E76" s="1180" t="s">
        <v>2293</v>
      </c>
      <c r="F76" s="1180" t="s">
        <v>2294</v>
      </c>
      <c r="G76" s="1180" t="s">
        <v>2295</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2331</v>
      </c>
      <c r="C78" s="1175" t="s">
        <v>2286</v>
      </c>
      <c r="D78" s="1175" t="s">
        <v>2287</v>
      </c>
      <c r="E78" s="1175" t="s">
        <v>2288</v>
      </c>
      <c r="F78" s="1175" t="s">
        <v>2289</v>
      </c>
      <c r="G78" s="1175" t="s">
        <v>2290</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2256</v>
      </c>
      <c r="B88" s="1152" t="s">
        <v>2257</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2259</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2260</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2262</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563</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2263</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2264</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2267</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2339</v>
      </c>
      <c r="C106" s="1175" t="s">
        <v>2286</v>
      </c>
      <c r="D106" s="1175" t="s">
        <v>2287</v>
      </c>
      <c r="E106" s="1175" t="s">
        <v>2288</v>
      </c>
      <c r="F106" s="1175" t="s">
        <v>2289</v>
      </c>
      <c r="G106" s="1175" t="s">
        <v>2290</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2340</v>
      </c>
      <c r="B1" s="1285"/>
      <c r="C1" s="1286" t="s">
        <v>2218</v>
      </c>
      <c r="D1" s="1287"/>
      <c r="E1" s="1363"/>
      <c r="F1" s="1289"/>
      <c r="G1" s="1364" t="s">
        <v>2220</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915</v>
      </c>
      <c r="B2" s="1292" t="e">
        <f ca="1">IF(C2="——",IF(B37="元/平方米",ROUND(C39*D3/10000,0),ROUND(F3*C39/10000,0)),IF(B37="元/平方米",ROUND(C39*D3/10000,0),ROUND(F3*C39/10000,0))-D2)</f>
        <v>#DIV/0!</v>
      </c>
      <c r="C2" s="1293"/>
      <c r="D2" s="1250" t="e">
        <f ca="1">SUMIF(INDIRECT("'"&amp;F2&amp;"'"&amp;"!A:A"),"承租人权益价值",INDIRECT("'"&amp;F2&amp;"'"&amp;"!c:c"))</f>
        <v>#REF!</v>
      </c>
      <c r="E2" s="1294" t="s">
        <v>916</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917</v>
      </c>
      <c r="B3" s="922" t="e">
        <f ca="1">IF(AND(C2="——",B37="元/平方米"),C39,ROUND(B2*10000/D3,0))</f>
        <v>#DIV/0!</v>
      </c>
      <c r="C3" s="1296" t="s">
        <v>2221</v>
      </c>
      <c r="D3" s="1297">
        <f>SUMIF('数据-汇总表'!$C19:$C33,D1,'数据-汇总表'!$E19:$E33)</f>
        <v>0</v>
      </c>
      <c r="E3" s="1296" t="s">
        <v>2341</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2222</v>
      </c>
      <c r="B4" s="925"/>
      <c r="C4" s="3536" t="s">
        <v>2223</v>
      </c>
      <c r="D4" s="3537"/>
      <c r="E4" s="3538" t="s">
        <v>2224</v>
      </c>
      <c r="F4" s="3539"/>
      <c r="G4" s="3536" t="s">
        <v>2225</v>
      </c>
      <c r="H4" s="3537"/>
      <c r="I4" s="3536" t="s">
        <v>2226</v>
      </c>
      <c r="J4" s="3537"/>
      <c r="K4" s="1071" t="s">
        <v>2227</v>
      </c>
      <c r="L4" s="1072"/>
      <c r="M4" s="1073"/>
      <c r="N4" s="1073"/>
      <c r="O4" s="1073"/>
      <c r="P4" s="3501" t="s">
        <v>2228</v>
      </c>
      <c r="Q4" s="3502"/>
      <c r="R4" s="3507" t="s">
        <v>2224</v>
      </c>
      <c r="S4" s="3508"/>
      <c r="T4" s="3507" t="s">
        <v>2225</v>
      </c>
      <c r="U4" s="3508"/>
      <c r="V4" s="3513" t="s">
        <v>2226</v>
      </c>
      <c r="W4" s="3513"/>
      <c r="X4" s="1115"/>
      <c r="Y4" s="3507" t="s">
        <v>2228</v>
      </c>
      <c r="Z4" s="3508"/>
      <c r="AA4" s="3498" t="s">
        <v>2224</v>
      </c>
      <c r="AB4" s="3499" t="s">
        <v>2225</v>
      </c>
      <c r="AC4" s="3498" t="s">
        <v>2226</v>
      </c>
    </row>
    <row r="5" spans="1:29" ht="15">
      <c r="A5" s="926"/>
      <c r="B5" s="927"/>
      <c r="C5" s="3540" t="s">
        <v>2229</v>
      </c>
      <c r="D5" s="3541"/>
      <c r="E5" s="3542" t="s">
        <v>2230</v>
      </c>
      <c r="F5" s="3543"/>
      <c r="G5" s="3540" t="s">
        <v>2231</v>
      </c>
      <c r="H5" s="3541"/>
      <c r="I5" s="3540" t="s">
        <v>2232</v>
      </c>
      <c r="J5" s="3541"/>
      <c r="K5" s="1071"/>
      <c r="L5" s="1072"/>
      <c r="M5" s="1073"/>
      <c r="N5" s="1073"/>
      <c r="O5" s="1073"/>
      <c r="P5" s="3503"/>
      <c r="Q5" s="3504"/>
      <c r="R5" s="3509"/>
      <c r="S5" s="3510"/>
      <c r="T5" s="3509"/>
      <c r="U5" s="3510"/>
      <c r="V5" s="3513"/>
      <c r="W5" s="3513"/>
      <c r="X5" s="1115"/>
      <c r="Y5" s="3509"/>
      <c r="Z5" s="3510"/>
      <c r="AA5" s="3499"/>
      <c r="AB5" s="3499"/>
      <c r="AC5" s="3499"/>
    </row>
    <row r="6" spans="1:29" ht="15">
      <c r="A6" s="928"/>
      <c r="B6" s="929"/>
      <c r="C6" s="3531" t="s">
        <v>2233</v>
      </c>
      <c r="D6" s="3532"/>
      <c r="E6" s="3533" t="s">
        <v>2233</v>
      </c>
      <c r="F6" s="3534"/>
      <c r="G6" s="3531" t="s">
        <v>2233</v>
      </c>
      <c r="H6" s="3532"/>
      <c r="I6" s="3531" t="s">
        <v>2233</v>
      </c>
      <c r="J6" s="3532"/>
      <c r="K6" s="1071" t="s">
        <v>2234</v>
      </c>
      <c r="L6" s="1072"/>
      <c r="M6" s="1073"/>
      <c r="N6" s="1073"/>
      <c r="O6" s="1073"/>
      <c r="P6" s="3505"/>
      <c r="Q6" s="3506"/>
      <c r="R6" s="3509"/>
      <c r="S6" s="3510"/>
      <c r="T6" s="3511"/>
      <c r="U6" s="3512"/>
      <c r="V6" s="3513"/>
      <c r="W6" s="3513"/>
      <c r="X6" s="1115"/>
      <c r="Y6" s="3511"/>
      <c r="Z6" s="3512"/>
      <c r="AA6" s="3500"/>
      <c r="AB6" s="3500"/>
      <c r="AC6" s="3500"/>
    </row>
    <row r="7" spans="1:29" s="905" customFormat="1" ht="15">
      <c r="A7" s="930" t="s">
        <v>2235</v>
      </c>
      <c r="B7" s="931"/>
      <c r="C7" s="932">
        <f>'数据-取费表'!B2</f>
        <v>44755</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519" t="s">
        <v>2236</v>
      </c>
      <c r="Q7" s="3535"/>
      <c r="R7" s="1116" t="s">
        <v>2237</v>
      </c>
      <c r="S7" s="1117">
        <f t="shared" ref="S7:S14" si="0">F7</f>
        <v>0</v>
      </c>
      <c r="T7" s="1116" t="s">
        <v>2237</v>
      </c>
      <c r="U7" s="1117">
        <f t="shared" ref="U7:U14" si="1">H7</f>
        <v>0</v>
      </c>
      <c r="V7" s="1116" t="s">
        <v>2237</v>
      </c>
      <c r="W7" s="1117">
        <f t="shared" ref="W7:W14" si="2">J7</f>
        <v>0</v>
      </c>
      <c r="X7" s="1118"/>
      <c r="Y7" s="3519" t="s">
        <v>2236</v>
      </c>
      <c r="Z7" s="3520"/>
      <c r="AA7" s="1130" t="e">
        <f>D7/F7</f>
        <v>#DIV/0!</v>
      </c>
      <c r="AB7" s="1130" t="e">
        <f>D7/H7</f>
        <v>#DIV/0!</v>
      </c>
      <c r="AC7" s="1130" t="e">
        <f>D7/J7</f>
        <v>#DIV/0!</v>
      </c>
    </row>
    <row r="8" spans="1:29" s="905" customFormat="1" ht="15">
      <c r="A8" s="930" t="s">
        <v>2238</v>
      </c>
      <c r="B8" s="931"/>
      <c r="C8" s="937" t="s">
        <v>2239</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519" t="s">
        <v>2240</v>
      </c>
      <c r="Q8" s="3520"/>
      <c r="R8" s="1116" t="s">
        <v>2237</v>
      </c>
      <c r="S8" s="1117">
        <f t="shared" si="0"/>
        <v>0</v>
      </c>
      <c r="T8" s="1116" t="s">
        <v>2237</v>
      </c>
      <c r="U8" s="1117">
        <f t="shared" si="1"/>
        <v>0</v>
      </c>
      <c r="V8" s="1116" t="s">
        <v>2237</v>
      </c>
      <c r="W8" s="1117">
        <f t="shared" si="2"/>
        <v>0</v>
      </c>
      <c r="X8" s="1118"/>
      <c r="Y8" s="3519" t="s">
        <v>2240</v>
      </c>
      <c r="Z8" s="3520"/>
      <c r="AA8" s="1130" t="e">
        <f t="shared" ref="AA8:AA36" si="3">D8/F8</f>
        <v>#DIV/0!</v>
      </c>
      <c r="AB8" s="1130" t="e">
        <f t="shared" ref="AB8:AB36" si="4">D8/H8</f>
        <v>#DIV/0!</v>
      </c>
      <c r="AC8" s="1130" t="e">
        <f t="shared" ref="AC8:AC36" si="5">D8/J8</f>
        <v>#DIV/0!</v>
      </c>
    </row>
    <row r="9" spans="1:29" s="905" customFormat="1">
      <c r="A9" s="1365" t="s">
        <v>2241</v>
      </c>
      <c r="B9" s="1366" t="s">
        <v>2242</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514" t="s">
        <v>2243</v>
      </c>
      <c r="Q9" s="1120" t="str">
        <f t="shared" ref="Q9:Q14" si="6">B9</f>
        <v>用途</v>
      </c>
      <c r="R9" s="1116" t="s">
        <v>2237</v>
      </c>
      <c r="S9" s="1117">
        <f t="shared" si="0"/>
        <v>100</v>
      </c>
      <c r="T9" s="1116" t="s">
        <v>2237</v>
      </c>
      <c r="U9" s="1117">
        <f t="shared" si="1"/>
        <v>100</v>
      </c>
      <c r="V9" s="1116" t="s">
        <v>2237</v>
      </c>
      <c r="W9" s="1117">
        <f t="shared" si="2"/>
        <v>100</v>
      </c>
      <c r="X9" s="1118"/>
      <c r="Y9" s="3380" t="s">
        <v>2244</v>
      </c>
      <c r="Z9" s="1131" t="str">
        <f t="shared" ref="Z9:Z14" si="7">Q9</f>
        <v>用途</v>
      </c>
      <c r="AA9" s="1130">
        <f t="shared" si="3"/>
        <v>1</v>
      </c>
      <c r="AB9" s="1130">
        <f t="shared" si="4"/>
        <v>1</v>
      </c>
      <c r="AC9" s="1130">
        <f t="shared" si="5"/>
        <v>1</v>
      </c>
    </row>
    <row r="10" spans="1:29" s="906" customFormat="1" ht="27">
      <c r="A10" s="1368"/>
      <c r="B10" s="1369" t="s">
        <v>2245</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514"/>
      <c r="Q10" s="1120" t="str">
        <f t="shared" si="6"/>
        <v>土地使用年限（年）</v>
      </c>
      <c r="R10" s="1116" t="s">
        <v>2237</v>
      </c>
      <c r="S10" s="1117">
        <f t="shared" si="0"/>
        <v>100</v>
      </c>
      <c r="T10" s="1116" t="s">
        <v>2237</v>
      </c>
      <c r="U10" s="1117">
        <f t="shared" si="1"/>
        <v>100</v>
      </c>
      <c r="V10" s="1116" t="s">
        <v>2237</v>
      </c>
      <c r="W10" s="1117">
        <f t="shared" si="2"/>
        <v>100</v>
      </c>
      <c r="X10" s="1118"/>
      <c r="Y10" s="3380"/>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514"/>
      <c r="Q11" s="1120">
        <f t="shared" si="6"/>
        <v>111</v>
      </c>
      <c r="R11" s="1116" t="s">
        <v>2237</v>
      </c>
      <c r="S11" s="1117">
        <f t="shared" si="0"/>
        <v>100</v>
      </c>
      <c r="T11" s="1116" t="s">
        <v>2237</v>
      </c>
      <c r="U11" s="1117">
        <f t="shared" si="1"/>
        <v>100</v>
      </c>
      <c r="V11" s="1116" t="s">
        <v>2237</v>
      </c>
      <c r="W11" s="1117">
        <f t="shared" si="2"/>
        <v>100</v>
      </c>
      <c r="X11" s="1118"/>
      <c r="Y11" s="3380"/>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514"/>
      <c r="Q12" s="1120">
        <f t="shared" si="6"/>
        <v>111</v>
      </c>
      <c r="R12" s="1116" t="s">
        <v>2237</v>
      </c>
      <c r="S12" s="1117">
        <f t="shared" si="0"/>
        <v>100</v>
      </c>
      <c r="T12" s="1116" t="s">
        <v>2237</v>
      </c>
      <c r="U12" s="1117">
        <f t="shared" si="1"/>
        <v>100</v>
      </c>
      <c r="V12" s="1116" t="s">
        <v>2237</v>
      </c>
      <c r="W12" s="1117">
        <f t="shared" si="2"/>
        <v>100</v>
      </c>
      <c r="X12" s="1118"/>
      <c r="Y12" s="3380"/>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514"/>
      <c r="Q13" s="1120">
        <f t="shared" si="6"/>
        <v>111</v>
      </c>
      <c r="R13" s="1116" t="s">
        <v>2237</v>
      </c>
      <c r="S13" s="1117">
        <f t="shared" si="0"/>
        <v>100</v>
      </c>
      <c r="T13" s="1116" t="s">
        <v>2237</v>
      </c>
      <c r="U13" s="1117">
        <f t="shared" si="1"/>
        <v>100</v>
      </c>
      <c r="V13" s="1116" t="s">
        <v>2237</v>
      </c>
      <c r="W13" s="1117">
        <f t="shared" si="2"/>
        <v>100</v>
      </c>
      <c r="X13" s="1118"/>
      <c r="Y13" s="3380"/>
      <c r="Z13" s="1131">
        <f t="shared" si="7"/>
        <v>111</v>
      </c>
      <c r="AA13" s="1130">
        <f t="shared" si="3"/>
        <v>1</v>
      </c>
      <c r="AB13" s="1130">
        <f t="shared" si="4"/>
        <v>1</v>
      </c>
      <c r="AC13" s="1130">
        <f t="shared" si="5"/>
        <v>1</v>
      </c>
    </row>
    <row r="14" spans="1:29" ht="85.5">
      <c r="A14" s="924" t="s">
        <v>2247</v>
      </c>
      <c r="B14" s="961" t="s">
        <v>2250</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527" t="s">
        <v>2249</v>
      </c>
      <c r="Q14" s="681" t="str">
        <f t="shared" si="6"/>
        <v>交通便捷度</v>
      </c>
      <c r="R14" s="1121" t="s">
        <v>2237</v>
      </c>
      <c r="S14" s="1122">
        <f t="shared" si="0"/>
        <v>100</v>
      </c>
      <c r="T14" s="1121" t="s">
        <v>2237</v>
      </c>
      <c r="U14" s="1122">
        <f t="shared" si="1"/>
        <v>100</v>
      </c>
      <c r="V14" s="1121" t="s">
        <v>2237</v>
      </c>
      <c r="W14" s="1122">
        <f t="shared" si="2"/>
        <v>100</v>
      </c>
      <c r="X14" s="1115"/>
      <c r="Y14" s="3527" t="s">
        <v>2249</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528"/>
      <c r="Q15" s="681"/>
      <c r="R15" s="1121"/>
      <c r="S15" s="1122"/>
      <c r="T15" s="1121"/>
      <c r="U15" s="1122"/>
      <c r="V15" s="1121"/>
      <c r="W15" s="1122"/>
      <c r="X15" s="1115"/>
      <c r="Y15" s="3528"/>
      <c r="Z15" s="1105"/>
      <c r="AA15" s="1132">
        <v>1</v>
      </c>
      <c r="AB15" s="1132">
        <v>1</v>
      </c>
      <c r="AC15" s="1132">
        <v>1</v>
      </c>
    </row>
    <row r="16" spans="1:29" ht="42.75">
      <c r="A16" s="926"/>
      <c r="B16" s="970" t="s">
        <v>2251</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528"/>
      <c r="Q16" s="681" t="str">
        <f>B16</f>
        <v>公共配套设施</v>
      </c>
      <c r="R16" s="1121" t="s">
        <v>2237</v>
      </c>
      <c r="S16" s="1122">
        <f>F16</f>
        <v>100</v>
      </c>
      <c r="T16" s="1121" t="s">
        <v>2237</v>
      </c>
      <c r="U16" s="1122">
        <f>H16</f>
        <v>100</v>
      </c>
      <c r="V16" s="1121" t="s">
        <v>2237</v>
      </c>
      <c r="W16" s="1122">
        <f>J16</f>
        <v>100</v>
      </c>
      <c r="X16" s="1115"/>
      <c r="Y16" s="3528"/>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528"/>
      <c r="Q17" s="681"/>
      <c r="R17" s="1121"/>
      <c r="S17" s="1122"/>
      <c r="T17" s="1121"/>
      <c r="U17" s="1122"/>
      <c r="V17" s="1121"/>
      <c r="W17" s="1122"/>
      <c r="X17" s="1115"/>
      <c r="Y17" s="3528"/>
      <c r="Z17" s="1105"/>
      <c r="AA17" s="1132">
        <v>1</v>
      </c>
      <c r="AB17" s="1132">
        <v>1</v>
      </c>
      <c r="AC17" s="1132">
        <v>1</v>
      </c>
    </row>
    <row r="18" spans="1:29" ht="28.5">
      <c r="A18" s="926"/>
      <c r="B18" s="977" t="s">
        <v>2252</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528"/>
      <c r="Q18" s="681" t="str">
        <f>B18</f>
        <v>基础设施水平</v>
      </c>
      <c r="R18" s="1121" t="s">
        <v>2237</v>
      </c>
      <c r="S18" s="1122">
        <f>F18</f>
        <v>100</v>
      </c>
      <c r="T18" s="1121" t="s">
        <v>2237</v>
      </c>
      <c r="U18" s="1122">
        <f>H18</f>
        <v>100</v>
      </c>
      <c r="V18" s="1121" t="s">
        <v>2237</v>
      </c>
      <c r="W18" s="1122">
        <f>J18</f>
        <v>100</v>
      </c>
      <c r="X18" s="1115"/>
      <c r="Y18" s="3528"/>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528"/>
      <c r="Q19" s="681"/>
      <c r="R19" s="1121"/>
      <c r="S19" s="1122"/>
      <c r="T19" s="1121"/>
      <c r="U19" s="1122"/>
      <c r="V19" s="1121"/>
      <c r="W19" s="1122"/>
      <c r="X19" s="1115"/>
      <c r="Y19" s="3528"/>
      <c r="Z19" s="1105"/>
      <c r="AA19" s="1132">
        <v>1</v>
      </c>
      <c r="AB19" s="1132">
        <v>1</v>
      </c>
      <c r="AC19" s="1132">
        <v>1</v>
      </c>
    </row>
    <row r="20" spans="1:29" ht="57">
      <c r="A20" s="926"/>
      <c r="B20" s="970" t="s">
        <v>2253</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528"/>
      <c r="Q20" s="681" t="str">
        <f>B20</f>
        <v>自然及人文环境</v>
      </c>
      <c r="R20" s="1121" t="s">
        <v>2237</v>
      </c>
      <c r="S20" s="1122">
        <f>F20</f>
        <v>100</v>
      </c>
      <c r="T20" s="1121" t="s">
        <v>2237</v>
      </c>
      <c r="U20" s="1122">
        <f>H20</f>
        <v>100</v>
      </c>
      <c r="V20" s="1121" t="s">
        <v>2237</v>
      </c>
      <c r="W20" s="1122">
        <f>J20</f>
        <v>100</v>
      </c>
      <c r="X20" s="1115"/>
      <c r="Y20" s="3528"/>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528"/>
      <c r="Q21" s="681"/>
      <c r="R21" s="1121"/>
      <c r="S21" s="1122"/>
      <c r="T21" s="1121"/>
      <c r="U21" s="1122"/>
      <c r="V21" s="1121"/>
      <c r="W21" s="1122"/>
      <c r="X21" s="1115"/>
      <c r="Y21" s="3528"/>
      <c r="Z21" s="1105"/>
      <c r="AA21" s="1132">
        <v>1</v>
      </c>
      <c r="AB21" s="1132">
        <v>1</v>
      </c>
      <c r="AC21" s="1132">
        <v>1</v>
      </c>
    </row>
    <row r="22" spans="1:29" ht="15">
      <c r="A22" s="926"/>
      <c r="B22" s="970" t="s">
        <v>2321</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528"/>
      <c r="Q22" s="681" t="str">
        <f>B22</f>
        <v>楼层</v>
      </c>
      <c r="R22" s="1121" t="s">
        <v>2237</v>
      </c>
      <c r="S22" s="1122">
        <f>F22</f>
        <v>100</v>
      </c>
      <c r="T22" s="1121" t="s">
        <v>2237</v>
      </c>
      <c r="U22" s="1122">
        <f>H22</f>
        <v>100</v>
      </c>
      <c r="V22" s="1121" t="s">
        <v>2237</v>
      </c>
      <c r="W22" s="1122">
        <f>J22</f>
        <v>100</v>
      </c>
      <c r="X22" s="1115"/>
      <c r="Y22" s="3528"/>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528"/>
      <c r="Q23" s="681">
        <f>B23</f>
        <v>111</v>
      </c>
      <c r="R23" s="1121" t="s">
        <v>2237</v>
      </c>
      <c r="S23" s="1122">
        <f>F23</f>
        <v>100</v>
      </c>
      <c r="T23" s="1121" t="s">
        <v>2237</v>
      </c>
      <c r="U23" s="1122">
        <f>H23</f>
        <v>100</v>
      </c>
      <c r="V23" s="1121" t="s">
        <v>2237</v>
      </c>
      <c r="W23" s="1122">
        <f>J23</f>
        <v>100</v>
      </c>
      <c r="X23" s="1115"/>
      <c r="Y23" s="3528"/>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528"/>
      <c r="Q24" s="681">
        <f t="shared" ref="Q24:Q36" si="11">B24</f>
        <v>111</v>
      </c>
      <c r="R24" s="1121" t="s">
        <v>2237</v>
      </c>
      <c r="S24" s="1122">
        <f>F24</f>
        <v>100</v>
      </c>
      <c r="T24" s="1121" t="s">
        <v>2237</v>
      </c>
      <c r="U24" s="1122">
        <f>H24</f>
        <v>100</v>
      </c>
      <c r="V24" s="1121" t="s">
        <v>2237</v>
      </c>
      <c r="W24" s="1122">
        <f>J24</f>
        <v>100</v>
      </c>
      <c r="X24" s="1115"/>
      <c r="Y24" s="3528"/>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528"/>
      <c r="Q25" s="1120">
        <f t="shared" si="11"/>
        <v>111</v>
      </c>
      <c r="R25" s="1116" t="s">
        <v>2237</v>
      </c>
      <c r="S25" s="1117">
        <f>F25</f>
        <v>100</v>
      </c>
      <c r="T25" s="1116" t="s">
        <v>2237</v>
      </c>
      <c r="U25" s="1117">
        <f>H25</f>
        <v>100</v>
      </c>
      <c r="V25" s="1116" t="s">
        <v>2237</v>
      </c>
      <c r="W25" s="1117">
        <f>J25</f>
        <v>100</v>
      </c>
      <c r="X25" s="1118"/>
      <c r="Y25" s="3528"/>
      <c r="Z25" s="1131">
        <f>Q25</f>
        <v>111</v>
      </c>
      <c r="AA25" s="1132">
        <f t="shared" si="3"/>
        <v>1</v>
      </c>
      <c r="AB25" s="1132">
        <f t="shared" si="4"/>
        <v>1</v>
      </c>
      <c r="AC25" s="1132">
        <f t="shared" si="5"/>
        <v>1</v>
      </c>
    </row>
    <row r="26" spans="1:29" ht="28.5">
      <c r="A26" s="1381" t="s">
        <v>2256</v>
      </c>
      <c r="B26" s="1382" t="s">
        <v>2342</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59" t="s">
        <v>2258</v>
      </c>
      <c r="Q26" s="681" t="str">
        <f t="shared" si="11"/>
        <v>配套类型</v>
      </c>
      <c r="R26" s="1121" t="s">
        <v>2237</v>
      </c>
      <c r="S26" s="1122">
        <f t="shared" ref="S26:S36" si="12">F26</f>
        <v>100</v>
      </c>
      <c r="T26" s="1121" t="s">
        <v>2237</v>
      </c>
      <c r="U26" s="1122">
        <f t="shared" ref="U26:U36" si="13">H26</f>
        <v>100</v>
      </c>
      <c r="V26" s="1121" t="s">
        <v>2237</v>
      </c>
      <c r="W26" s="1122">
        <f t="shared" ref="W26:W36" si="14">J26</f>
        <v>100</v>
      </c>
      <c r="X26" s="1115"/>
      <c r="Y26" s="3529" t="s">
        <v>2258</v>
      </c>
      <c r="Z26" s="1105" t="str">
        <f t="shared" ref="Z26:Z36" si="15">Q26</f>
        <v>配套类型</v>
      </c>
      <c r="AA26" s="1132">
        <f t="shared" si="3"/>
        <v>1</v>
      </c>
      <c r="AB26" s="1132">
        <f t="shared" si="4"/>
        <v>1</v>
      </c>
      <c r="AC26" s="1132">
        <f t="shared" si="5"/>
        <v>1</v>
      </c>
    </row>
    <row r="27" spans="1:29" s="907" customFormat="1" ht="15">
      <c r="A27" s="1384"/>
      <c r="B27" s="983" t="s">
        <v>2343</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529"/>
      <c r="Q27" s="1348" t="str">
        <f t="shared" si="11"/>
        <v>项目停车位配比</v>
      </c>
      <c r="R27" s="1123" t="s">
        <v>2237</v>
      </c>
      <c r="S27" s="1124">
        <f t="shared" si="12"/>
        <v>100</v>
      </c>
      <c r="T27" s="1123" t="s">
        <v>2237</v>
      </c>
      <c r="U27" s="1124">
        <f t="shared" si="13"/>
        <v>100</v>
      </c>
      <c r="V27" s="1123" t="s">
        <v>2237</v>
      </c>
      <c r="W27" s="1124">
        <f t="shared" si="14"/>
        <v>100</v>
      </c>
      <c r="X27" s="1125"/>
      <c r="Y27" s="3529"/>
      <c r="Z27" s="1133" t="str">
        <f t="shared" si="15"/>
        <v>项目停车位配比</v>
      </c>
      <c r="AA27" s="1132">
        <f t="shared" si="3"/>
        <v>1</v>
      </c>
      <c r="AB27" s="1132">
        <f t="shared" si="4"/>
        <v>1</v>
      </c>
      <c r="AC27" s="1132">
        <f t="shared" si="5"/>
        <v>1</v>
      </c>
    </row>
    <row r="28" spans="1:29" ht="15">
      <c r="A28" s="1386"/>
      <c r="B28" s="983" t="s">
        <v>2262</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529"/>
      <c r="Q28" s="681" t="str">
        <f t="shared" si="11"/>
        <v>公共部分装修</v>
      </c>
      <c r="R28" s="1121" t="s">
        <v>2237</v>
      </c>
      <c r="S28" s="1122">
        <f t="shared" si="12"/>
        <v>100</v>
      </c>
      <c r="T28" s="1121" t="s">
        <v>2237</v>
      </c>
      <c r="U28" s="1122">
        <f t="shared" si="13"/>
        <v>100</v>
      </c>
      <c r="V28" s="1121" t="s">
        <v>2237</v>
      </c>
      <c r="W28" s="1122">
        <f t="shared" si="14"/>
        <v>100</v>
      </c>
      <c r="X28" s="1115"/>
      <c r="Y28" s="3529"/>
      <c r="Z28" s="1105" t="str">
        <f t="shared" si="15"/>
        <v>公共部分装修</v>
      </c>
      <c r="AA28" s="1132">
        <f t="shared" si="3"/>
        <v>1</v>
      </c>
      <c r="AB28" s="1132">
        <f t="shared" si="4"/>
        <v>1</v>
      </c>
      <c r="AC28" s="1132">
        <f t="shared" si="5"/>
        <v>1</v>
      </c>
    </row>
    <row r="29" spans="1:29" ht="15">
      <c r="A29" s="1386"/>
      <c r="B29" s="983" t="s">
        <v>2344</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529"/>
      <c r="Q29" s="681" t="str">
        <f t="shared" si="11"/>
        <v>成新率</v>
      </c>
      <c r="R29" s="1121" t="s">
        <v>2237</v>
      </c>
      <c r="S29" s="1122" t="e">
        <f t="shared" si="12"/>
        <v>#N/A</v>
      </c>
      <c r="T29" s="1121" t="s">
        <v>2237</v>
      </c>
      <c r="U29" s="1122" t="e">
        <f t="shared" si="13"/>
        <v>#N/A</v>
      </c>
      <c r="V29" s="1121" t="s">
        <v>2237</v>
      </c>
      <c r="W29" s="1122" t="e">
        <f t="shared" si="14"/>
        <v>#N/A</v>
      </c>
      <c r="X29" s="1115"/>
      <c r="Y29" s="3529"/>
      <c r="Z29" s="1105" t="str">
        <f t="shared" si="15"/>
        <v>成新率</v>
      </c>
      <c r="AA29" s="1132" t="e">
        <f t="shared" si="3"/>
        <v>#N/A</v>
      </c>
      <c r="AB29" s="1132" t="e">
        <f t="shared" si="4"/>
        <v>#N/A</v>
      </c>
      <c r="AC29" s="1132" t="e">
        <f t="shared" si="5"/>
        <v>#N/A</v>
      </c>
    </row>
    <row r="30" spans="1:29" ht="15">
      <c r="A30" s="1386"/>
      <c r="B30" s="983" t="s">
        <v>2345</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529"/>
      <c r="Q30" s="681" t="str">
        <f t="shared" si="11"/>
        <v>物业等级</v>
      </c>
      <c r="R30" s="1121" t="s">
        <v>2237</v>
      </c>
      <c r="S30" s="1122">
        <f t="shared" si="12"/>
        <v>100</v>
      </c>
      <c r="T30" s="1121" t="s">
        <v>2237</v>
      </c>
      <c r="U30" s="1122">
        <f t="shared" si="13"/>
        <v>100</v>
      </c>
      <c r="V30" s="1121" t="s">
        <v>2237</v>
      </c>
      <c r="W30" s="1122">
        <f t="shared" si="14"/>
        <v>100</v>
      </c>
      <c r="X30" s="1115"/>
      <c r="Y30" s="3529"/>
      <c r="Z30" s="1105" t="str">
        <f t="shared" si="15"/>
        <v>物业等级</v>
      </c>
      <c r="AA30" s="1132">
        <f t="shared" si="3"/>
        <v>1</v>
      </c>
      <c r="AB30" s="1132">
        <f t="shared" si="4"/>
        <v>1</v>
      </c>
      <c r="AC30" s="1132">
        <f t="shared" si="5"/>
        <v>1</v>
      </c>
    </row>
    <row r="31" spans="1:29" s="905" customFormat="1" ht="15">
      <c r="A31" s="1387"/>
      <c r="B31" s="983" t="s">
        <v>2346</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529"/>
      <c r="Q31" s="1120" t="str">
        <f t="shared" si="11"/>
        <v>停车位面积</v>
      </c>
      <c r="R31" s="1116" t="s">
        <v>2237</v>
      </c>
      <c r="S31" s="1117" t="e">
        <f t="shared" si="12"/>
        <v>#N/A</v>
      </c>
      <c r="T31" s="1116" t="s">
        <v>2237</v>
      </c>
      <c r="U31" s="1117" t="e">
        <f t="shared" si="13"/>
        <v>#N/A</v>
      </c>
      <c r="V31" s="1116" t="s">
        <v>2237</v>
      </c>
      <c r="W31" s="1117" t="e">
        <f t="shared" si="14"/>
        <v>#N/A</v>
      </c>
      <c r="X31" s="1118"/>
      <c r="Y31" s="3529"/>
      <c r="Z31" s="1131" t="str">
        <f t="shared" si="15"/>
        <v>停车位面积</v>
      </c>
      <c r="AA31" s="1130" t="e">
        <f t="shared" si="3"/>
        <v>#N/A</v>
      </c>
      <c r="AB31" s="1130" t="e">
        <f t="shared" si="4"/>
        <v>#N/A</v>
      </c>
      <c r="AC31" s="1130" t="e">
        <f t="shared" si="5"/>
        <v>#N/A</v>
      </c>
    </row>
    <row r="32" spans="1:29" ht="15">
      <c r="A32" s="1386"/>
      <c r="B32" s="983" t="s">
        <v>2347</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529" t="s">
        <v>2258</v>
      </c>
      <c r="Q32" s="681" t="str">
        <f t="shared" si="11"/>
        <v>车位类型</v>
      </c>
      <c r="R32" s="1121" t="s">
        <v>2237</v>
      </c>
      <c r="S32" s="1122">
        <f t="shared" si="12"/>
        <v>100</v>
      </c>
      <c r="T32" s="1121" t="s">
        <v>2237</v>
      </c>
      <c r="U32" s="1122">
        <f t="shared" si="13"/>
        <v>100</v>
      </c>
      <c r="V32" s="1121" t="s">
        <v>2237</v>
      </c>
      <c r="W32" s="1122">
        <f t="shared" si="14"/>
        <v>100</v>
      </c>
      <c r="X32" s="1115"/>
      <c r="Y32" s="3529" t="s">
        <v>2258</v>
      </c>
      <c r="Z32" s="1105" t="str">
        <f t="shared" si="15"/>
        <v>车位类型</v>
      </c>
      <c r="AA32" s="1132">
        <f t="shared" si="3"/>
        <v>1</v>
      </c>
      <c r="AB32" s="1132">
        <f t="shared" si="4"/>
        <v>1</v>
      </c>
      <c r="AC32" s="1132">
        <f t="shared" si="5"/>
        <v>1</v>
      </c>
    </row>
    <row r="33" spans="1:29" ht="15">
      <c r="A33" s="1386"/>
      <c r="B33" s="983" t="s">
        <v>2348</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529"/>
      <c r="Q33" s="681" t="str">
        <f t="shared" si="11"/>
        <v>是否直接入户</v>
      </c>
      <c r="R33" s="1121" t="s">
        <v>2237</v>
      </c>
      <c r="S33" s="1122">
        <f t="shared" si="12"/>
        <v>100</v>
      </c>
      <c r="T33" s="1121" t="s">
        <v>2237</v>
      </c>
      <c r="U33" s="1122">
        <f t="shared" si="13"/>
        <v>100</v>
      </c>
      <c r="V33" s="1121" t="s">
        <v>2237</v>
      </c>
      <c r="W33" s="1122">
        <f t="shared" si="14"/>
        <v>100</v>
      </c>
      <c r="X33" s="1115"/>
      <c r="Y33" s="3529"/>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529"/>
      <c r="Q34" s="681">
        <f t="shared" si="11"/>
        <v>111</v>
      </c>
      <c r="R34" s="1121" t="s">
        <v>2237</v>
      </c>
      <c r="S34" s="1122">
        <f t="shared" si="12"/>
        <v>100</v>
      </c>
      <c r="T34" s="1121" t="s">
        <v>2237</v>
      </c>
      <c r="U34" s="1122">
        <f t="shared" si="13"/>
        <v>100</v>
      </c>
      <c r="V34" s="1121" t="s">
        <v>2237</v>
      </c>
      <c r="W34" s="1122">
        <f t="shared" si="14"/>
        <v>100</v>
      </c>
      <c r="X34" s="1115"/>
      <c r="Y34" s="3529"/>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529"/>
      <c r="Q35" s="1348">
        <f t="shared" si="11"/>
        <v>111</v>
      </c>
      <c r="R35" s="1123" t="s">
        <v>2237</v>
      </c>
      <c r="S35" s="1124">
        <f t="shared" si="12"/>
        <v>100</v>
      </c>
      <c r="T35" s="1123" t="s">
        <v>2237</v>
      </c>
      <c r="U35" s="1124">
        <f t="shared" si="13"/>
        <v>100</v>
      </c>
      <c r="V35" s="1123" t="s">
        <v>2237</v>
      </c>
      <c r="W35" s="1124">
        <f t="shared" si="14"/>
        <v>100</v>
      </c>
      <c r="X35" s="1125"/>
      <c r="Y35" s="3529"/>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529"/>
      <c r="Q36" s="681">
        <f t="shared" si="11"/>
        <v>111</v>
      </c>
      <c r="R36" s="1121" t="s">
        <v>2237</v>
      </c>
      <c r="S36" s="1122">
        <f t="shared" si="12"/>
        <v>100</v>
      </c>
      <c r="T36" s="1121" t="s">
        <v>2237</v>
      </c>
      <c r="U36" s="1122">
        <f t="shared" si="13"/>
        <v>100</v>
      </c>
      <c r="V36" s="1121" t="s">
        <v>2237</v>
      </c>
      <c r="W36" s="1122">
        <f t="shared" si="14"/>
        <v>100</v>
      </c>
      <c r="X36" s="1115"/>
      <c r="Y36" s="3529"/>
      <c r="Z36" s="1105">
        <f t="shared" si="15"/>
        <v>111</v>
      </c>
      <c r="AA36" s="1132">
        <f t="shared" si="3"/>
        <v>1</v>
      </c>
      <c r="AB36" s="1132">
        <f t="shared" si="4"/>
        <v>1</v>
      </c>
      <c r="AC36" s="1132">
        <f t="shared" si="5"/>
        <v>1</v>
      </c>
    </row>
    <row r="37" spans="1:29" ht="15">
      <c r="A37" s="1004" t="s">
        <v>2349</v>
      </c>
      <c r="B37" s="1389" t="s">
        <v>2350</v>
      </c>
      <c r="C37" s="1324" t="s">
        <v>124</v>
      </c>
      <c r="D37" s="1325"/>
      <c r="E37" s="1326"/>
      <c r="F37" s="1327"/>
      <c r="G37" s="1328"/>
      <c r="H37" s="1329"/>
      <c r="I37" s="1326"/>
      <c r="J37" s="1329"/>
      <c r="K37" s="1398"/>
      <c r="L37" s="1097"/>
      <c r="M37" s="1021"/>
      <c r="N37" s="1073"/>
      <c r="O37" s="1021"/>
      <c r="P37" s="3514" t="str">
        <f>A37</f>
        <v>成交单价</v>
      </c>
      <c r="Q37" s="3514"/>
      <c r="R37" s="3515">
        <f>E37</f>
        <v>0</v>
      </c>
      <c r="S37" s="3515"/>
      <c r="T37" s="3515">
        <f>G37</f>
        <v>0</v>
      </c>
      <c r="U37" s="3515"/>
      <c r="V37" s="3515">
        <f>I37</f>
        <v>0</v>
      </c>
      <c r="W37" s="3515"/>
      <c r="X37" s="1061"/>
      <c r="Y37" s="1134"/>
      <c r="Z37" s="1061"/>
      <c r="AA37" s="1061"/>
      <c r="AB37" s="1061"/>
      <c r="AC37" s="1061"/>
    </row>
    <row r="38" spans="1:29" ht="15">
      <c r="A38" s="1012" t="s">
        <v>2270</v>
      </c>
      <c r="B38" s="1330" t="str">
        <f>B37</f>
        <v>元/车位</v>
      </c>
      <c r="C38" s="1331" t="e">
        <f>R39</f>
        <v>#DIV/0!</v>
      </c>
      <c r="D38" s="1015" t="s">
        <v>2271</v>
      </c>
      <c r="E38" s="1332" t="e">
        <f>R38</f>
        <v>#DIV/0!</v>
      </c>
      <c r="F38" s="1016"/>
      <c r="G38" s="1331" t="e">
        <f>T38</f>
        <v>#DIV/0!</v>
      </c>
      <c r="H38" s="1016"/>
      <c r="I38" s="1332" t="e">
        <f>V38</f>
        <v>#DIV/0!</v>
      </c>
      <c r="J38" s="1016"/>
      <c r="K38" s="1098">
        <f>F38+H38+J38</f>
        <v>0</v>
      </c>
      <c r="L38" s="1097"/>
      <c r="M38" s="1021"/>
      <c r="N38" s="1021"/>
      <c r="O38" s="1021"/>
      <c r="P38" s="3514" t="str">
        <f>A38</f>
        <v>比较价值（元/平方米）</v>
      </c>
      <c r="Q38" s="3514"/>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1061"/>
      <c r="Y38" s="1061"/>
      <c r="Z38" s="1061"/>
      <c r="AA38" s="1061"/>
      <c r="AB38" s="1061"/>
      <c r="AC38" s="1061"/>
    </row>
    <row r="39" spans="1:29" ht="15">
      <c r="A39" s="1018" t="s">
        <v>2351</v>
      </c>
      <c r="B39" s="1019"/>
      <c r="C39" s="1333" t="e">
        <f>R39</f>
        <v>#DIV/0!</v>
      </c>
      <c r="D39" s="1333"/>
      <c r="E39" s="1333"/>
      <c r="F39" s="1333"/>
      <c r="G39" s="1333"/>
      <c r="H39" s="1333"/>
      <c r="I39" s="1333"/>
      <c r="J39" s="1333"/>
      <c r="K39" s="1399"/>
      <c r="L39" s="1097"/>
      <c r="M39" s="1021"/>
      <c r="N39" s="1021"/>
      <c r="O39" s="1021"/>
      <c r="P39" s="3516" t="str">
        <f>A39</f>
        <v>估价对象XX用房的比较价值（楼面单价，元/平方米）</v>
      </c>
      <c r="Q39" s="3517"/>
      <c r="R39" s="3560" t="e">
        <f>IF(F1="售价",ROUND(IF(D38="简单平均",AVERAGE(R38:W38),R38*F38+T38*H38+V38*J38),0),ROUND(IF(D38="简单平均",AVERAGE(R38:V38),R38*F38+T38*H38+V38*J38),1))</f>
        <v>#DIV/0!</v>
      </c>
      <c r="S39" s="3560"/>
      <c r="T39" s="3560"/>
      <c r="U39" s="3560"/>
      <c r="V39" s="3560"/>
      <c r="W39" s="3560"/>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2273</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2274</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2275</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2276</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2235</v>
      </c>
      <c r="B48" s="1336"/>
      <c r="C48" s="1337" t="str">
        <f>YEAR(C7)&amp;"-"&amp;MONTH(C7)</f>
        <v>2022-7</v>
      </c>
      <c r="D48" s="1338">
        <f>EDATE(C48,-1)</f>
        <v>44713</v>
      </c>
      <c r="E48" s="1338">
        <f t="shared" ref="E48:O48" si="16">EDATE(D48,-1)</f>
        <v>44682</v>
      </c>
      <c r="F48" s="1338">
        <f t="shared" si="16"/>
        <v>44652</v>
      </c>
      <c r="G48" s="1338">
        <f t="shared" si="16"/>
        <v>44621</v>
      </c>
      <c r="H48" s="1338">
        <f t="shared" si="16"/>
        <v>44593</v>
      </c>
      <c r="I48" s="1338">
        <f t="shared" si="16"/>
        <v>44562</v>
      </c>
      <c r="J48" s="1338">
        <f t="shared" si="16"/>
        <v>44531</v>
      </c>
      <c r="K48" s="1338">
        <f t="shared" si="16"/>
        <v>44501</v>
      </c>
      <c r="L48" s="1338">
        <f t="shared" si="16"/>
        <v>44470</v>
      </c>
      <c r="M48" s="1338">
        <f t="shared" si="16"/>
        <v>44440</v>
      </c>
      <c r="N48" s="1338">
        <f t="shared" si="16"/>
        <v>44409</v>
      </c>
      <c r="O48" s="1338">
        <f t="shared" si="16"/>
        <v>44378</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2277</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2238</v>
      </c>
      <c r="B51" s="1146"/>
      <c r="C51" s="1147" t="s">
        <v>2239</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2278</v>
      </c>
      <c r="B53" s="1152" t="s">
        <v>2242</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2245</v>
      </c>
      <c r="C55" s="1157" t="s">
        <v>2279</v>
      </c>
      <c r="D55" s="1157" t="s">
        <v>2280</v>
      </c>
      <c r="E55" s="1157" t="s">
        <v>2281</v>
      </c>
      <c r="F55" s="1157" t="s">
        <v>2282</v>
      </c>
      <c r="G55" s="1157" t="s">
        <v>2283</v>
      </c>
      <c r="H55" s="1157" t="s">
        <v>2284</v>
      </c>
      <c r="I55" s="1157" t="s">
        <v>2285</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2327</v>
      </c>
      <c r="D56" s="1159" t="s">
        <v>2327</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2247</v>
      </c>
      <c r="B63" s="1152" t="s">
        <v>2250</v>
      </c>
      <c r="C63" s="1173" t="s">
        <v>2286</v>
      </c>
      <c r="D63" s="1173" t="s">
        <v>2287</v>
      </c>
      <c r="E63" s="1173" t="s">
        <v>2288</v>
      </c>
      <c r="F63" s="1173" t="s">
        <v>2289</v>
      </c>
      <c r="G63" s="1173" t="s">
        <v>2290</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2251</v>
      </c>
      <c r="C65" s="1175" t="s">
        <v>2286</v>
      </c>
      <c r="D65" s="1175" t="s">
        <v>2287</v>
      </c>
      <c r="E65" s="1175" t="s">
        <v>2288</v>
      </c>
      <c r="F65" s="1175" t="s">
        <v>2289</v>
      </c>
      <c r="G65" s="1175" t="s">
        <v>2290</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2252</v>
      </c>
      <c r="C67" s="1180" t="s">
        <v>2291</v>
      </c>
      <c r="D67" s="1180" t="s">
        <v>2292</v>
      </c>
      <c r="E67" s="1180" t="s">
        <v>2293</v>
      </c>
      <c r="F67" s="1180" t="s">
        <v>2294</v>
      </c>
      <c r="G67" s="1180" t="s">
        <v>2295</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2253</v>
      </c>
      <c r="C69" s="1175" t="s">
        <v>2286</v>
      </c>
      <c r="D69" s="1175" t="s">
        <v>2287</v>
      </c>
      <c r="E69" s="1175" t="s">
        <v>2288</v>
      </c>
      <c r="F69" s="1175" t="s">
        <v>2289</v>
      </c>
      <c r="G69" s="1175" t="s">
        <v>2290</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2321</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2256</v>
      </c>
      <c r="B79" s="1152" t="s">
        <v>2352</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2343</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2262</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2344</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2345</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2346</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2347</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2348</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2340</v>
      </c>
      <c r="B1" s="1285"/>
      <c r="C1" s="1286" t="s">
        <v>2218</v>
      </c>
      <c r="D1" s="1287"/>
      <c r="E1" s="1288"/>
      <c r="F1" s="1289"/>
      <c r="G1" s="1290" t="s">
        <v>2220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915</v>
      </c>
      <c r="B2" s="1292" t="e">
        <f ca="1">IF(C2="——",ROUND(C37*D3/10000,0),ROUND(C37*D3/10000,0)-D2)</f>
        <v>#DIV/0!</v>
      </c>
      <c r="C2" s="1293"/>
      <c r="D2" s="1250" t="e">
        <f ca="1">SUMIF(INDIRECT("'"&amp;F2&amp;"'"&amp;"!A:A"),"承租人权益价值",INDIRECT("'"&amp;F2&amp;"'"&amp;"!c:c"))</f>
        <v>#REF!</v>
      </c>
      <c r="E2" s="1294" t="s">
        <v>916</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917</v>
      </c>
      <c r="B3" s="922" t="e">
        <f ca="1">IF(C2="——",C37,ROUND(B2*10000/D3,0))</f>
        <v>#DIV/0!</v>
      </c>
      <c r="C3" s="1296" t="s">
        <v>2221</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2222</v>
      </c>
      <c r="B4" s="925"/>
      <c r="C4" s="3536" t="s">
        <v>2223</v>
      </c>
      <c r="D4" s="3537"/>
      <c r="E4" s="3538" t="s">
        <v>2224</v>
      </c>
      <c r="F4" s="3539"/>
      <c r="G4" s="3536" t="s">
        <v>2225</v>
      </c>
      <c r="H4" s="3537"/>
      <c r="I4" s="3536" t="s">
        <v>2226</v>
      </c>
      <c r="J4" s="3537"/>
      <c r="K4" s="1071" t="s">
        <v>2227</v>
      </c>
      <c r="L4" s="1072"/>
      <c r="M4" s="1073"/>
      <c r="N4" s="1073"/>
      <c r="O4" s="1073"/>
      <c r="P4" s="3501" t="s">
        <v>2228</v>
      </c>
      <c r="Q4" s="3502"/>
      <c r="R4" s="3507" t="s">
        <v>2224</v>
      </c>
      <c r="S4" s="3508"/>
      <c r="T4" s="3507" t="s">
        <v>2225</v>
      </c>
      <c r="U4" s="3508"/>
      <c r="V4" s="3513" t="s">
        <v>2226</v>
      </c>
      <c r="W4" s="3513"/>
      <c r="X4" s="1115"/>
      <c r="Y4" s="3507" t="s">
        <v>2228</v>
      </c>
      <c r="Z4" s="3508"/>
      <c r="AA4" s="3498" t="s">
        <v>2224</v>
      </c>
      <c r="AB4" s="3499" t="s">
        <v>2225</v>
      </c>
      <c r="AC4" s="3498" t="s">
        <v>2226</v>
      </c>
    </row>
    <row r="5" spans="1:29" ht="15">
      <c r="A5" s="926"/>
      <c r="B5" s="927"/>
      <c r="C5" s="3540" t="s">
        <v>2229</v>
      </c>
      <c r="D5" s="3541"/>
      <c r="E5" s="3542" t="s">
        <v>2230</v>
      </c>
      <c r="F5" s="3543"/>
      <c r="G5" s="3540" t="s">
        <v>2231</v>
      </c>
      <c r="H5" s="3541"/>
      <c r="I5" s="3540" t="s">
        <v>2232</v>
      </c>
      <c r="J5" s="3541"/>
      <c r="K5" s="1071"/>
      <c r="L5" s="1072"/>
      <c r="M5" s="1073"/>
      <c r="N5" s="1073"/>
      <c r="O5" s="1073"/>
      <c r="P5" s="3503"/>
      <c r="Q5" s="3504"/>
      <c r="R5" s="3509"/>
      <c r="S5" s="3510"/>
      <c r="T5" s="3509"/>
      <c r="U5" s="3510"/>
      <c r="V5" s="3513"/>
      <c r="W5" s="3513"/>
      <c r="X5" s="1115"/>
      <c r="Y5" s="3509"/>
      <c r="Z5" s="3510"/>
      <c r="AA5" s="3499"/>
      <c r="AB5" s="3499"/>
      <c r="AC5" s="3499"/>
    </row>
    <row r="6" spans="1:29" ht="15">
      <c r="A6" s="928"/>
      <c r="B6" s="929"/>
      <c r="C6" s="3531" t="s">
        <v>2233</v>
      </c>
      <c r="D6" s="3532"/>
      <c r="E6" s="3533" t="s">
        <v>2233</v>
      </c>
      <c r="F6" s="3534"/>
      <c r="G6" s="3531" t="s">
        <v>2233</v>
      </c>
      <c r="H6" s="3532"/>
      <c r="I6" s="3531" t="s">
        <v>2233</v>
      </c>
      <c r="J6" s="3532"/>
      <c r="K6" s="1071" t="s">
        <v>2234</v>
      </c>
      <c r="L6" s="1072"/>
      <c r="M6" s="1073"/>
      <c r="N6" s="1073"/>
      <c r="O6" s="1073"/>
      <c r="P6" s="3505"/>
      <c r="Q6" s="3506"/>
      <c r="R6" s="3509"/>
      <c r="S6" s="3510"/>
      <c r="T6" s="3511"/>
      <c r="U6" s="3512"/>
      <c r="V6" s="3513"/>
      <c r="W6" s="3513"/>
      <c r="X6" s="1115"/>
      <c r="Y6" s="3511"/>
      <c r="Z6" s="3512"/>
      <c r="AA6" s="3500"/>
      <c r="AB6" s="3500"/>
      <c r="AC6" s="3500"/>
    </row>
    <row r="7" spans="1:29" s="905" customFormat="1" ht="15">
      <c r="A7" s="930" t="s">
        <v>2235</v>
      </c>
      <c r="B7" s="931"/>
      <c r="C7" s="932">
        <f>'数据-取费表'!B2</f>
        <v>44755</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519" t="s">
        <v>2236</v>
      </c>
      <c r="Q7" s="3535"/>
      <c r="R7" s="1116" t="s">
        <v>2237</v>
      </c>
      <c r="S7" s="1117">
        <f t="shared" ref="S7:S14" si="0">F7</f>
        <v>0</v>
      </c>
      <c r="T7" s="1116" t="s">
        <v>2237</v>
      </c>
      <c r="U7" s="1117">
        <f t="shared" ref="U7:U14" si="1">H7</f>
        <v>0</v>
      </c>
      <c r="V7" s="1116" t="s">
        <v>2237</v>
      </c>
      <c r="W7" s="1117">
        <f t="shared" ref="W7:W14" si="2">J7</f>
        <v>0</v>
      </c>
      <c r="X7" s="1118"/>
      <c r="Y7" s="3519" t="s">
        <v>2236</v>
      </c>
      <c r="Z7" s="3520"/>
      <c r="AA7" s="1130" t="e">
        <f>D7/F7</f>
        <v>#DIV/0!</v>
      </c>
      <c r="AB7" s="1130" t="e">
        <f>D7/H7</f>
        <v>#DIV/0!</v>
      </c>
      <c r="AC7" s="1130" t="e">
        <f>D7/J7</f>
        <v>#DIV/0!</v>
      </c>
    </row>
    <row r="8" spans="1:29" s="905" customFormat="1" ht="15">
      <c r="A8" s="930" t="s">
        <v>2238</v>
      </c>
      <c r="B8" s="931"/>
      <c r="C8" s="937" t="s">
        <v>2239</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519" t="s">
        <v>2240</v>
      </c>
      <c r="Q8" s="3520"/>
      <c r="R8" s="1116" t="s">
        <v>2237</v>
      </c>
      <c r="S8" s="1117">
        <f t="shared" si="0"/>
        <v>0</v>
      </c>
      <c r="T8" s="1116" t="s">
        <v>2237</v>
      </c>
      <c r="U8" s="1117">
        <f t="shared" si="1"/>
        <v>0</v>
      </c>
      <c r="V8" s="1116" t="s">
        <v>2237</v>
      </c>
      <c r="W8" s="1117">
        <f t="shared" si="2"/>
        <v>0</v>
      </c>
      <c r="X8" s="1118"/>
      <c r="Y8" s="3519" t="s">
        <v>2240</v>
      </c>
      <c r="Z8" s="3520"/>
      <c r="AA8" s="1130" t="e">
        <f t="shared" ref="AA8:AA34" si="3">D8/F8</f>
        <v>#DIV/0!</v>
      </c>
      <c r="AB8" s="1130" t="e">
        <f t="shared" ref="AB8:AB34" si="4">D8/H8</f>
        <v>#DIV/0!</v>
      </c>
      <c r="AC8" s="1130" t="e">
        <f t="shared" ref="AC8:AC34" si="5">D8/J8</f>
        <v>#DIV/0!</v>
      </c>
    </row>
    <row r="9" spans="1:29" s="905" customFormat="1">
      <c r="A9" s="938" t="s">
        <v>2241</v>
      </c>
      <c r="B9" s="939" t="s">
        <v>2242</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514" t="s">
        <v>2243</v>
      </c>
      <c r="Q9" s="1120" t="str">
        <f t="shared" ref="Q9:Q14" si="6">B9</f>
        <v>用途</v>
      </c>
      <c r="R9" s="1116" t="s">
        <v>2237</v>
      </c>
      <c r="S9" s="1117">
        <f t="shared" si="0"/>
        <v>100</v>
      </c>
      <c r="T9" s="1116" t="s">
        <v>2237</v>
      </c>
      <c r="U9" s="1117">
        <f t="shared" si="1"/>
        <v>100</v>
      </c>
      <c r="V9" s="1116" t="s">
        <v>2237</v>
      </c>
      <c r="W9" s="1117">
        <f t="shared" si="2"/>
        <v>100</v>
      </c>
      <c r="X9" s="1118"/>
      <c r="Y9" s="3380" t="s">
        <v>2244</v>
      </c>
      <c r="Z9" s="1131" t="str">
        <f t="shared" ref="Z9:Z14" si="7">Q9</f>
        <v>用途</v>
      </c>
      <c r="AA9" s="1130">
        <f t="shared" si="3"/>
        <v>1</v>
      </c>
      <c r="AB9" s="1130">
        <f t="shared" si="4"/>
        <v>1</v>
      </c>
      <c r="AC9" s="1130">
        <f t="shared" si="5"/>
        <v>1</v>
      </c>
    </row>
    <row r="10" spans="1:29" s="906" customFormat="1" ht="27">
      <c r="A10" s="942"/>
      <c r="B10" s="943" t="s">
        <v>2245</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514"/>
      <c r="Q10" s="1120" t="str">
        <f t="shared" si="6"/>
        <v>土地使用年限（年）</v>
      </c>
      <c r="R10" s="1116" t="s">
        <v>2237</v>
      </c>
      <c r="S10" s="1117">
        <f t="shared" si="0"/>
        <v>100</v>
      </c>
      <c r="T10" s="1116" t="s">
        <v>2237</v>
      </c>
      <c r="U10" s="1117">
        <f t="shared" si="1"/>
        <v>100</v>
      </c>
      <c r="V10" s="1116" t="s">
        <v>2237</v>
      </c>
      <c r="W10" s="1117">
        <f t="shared" si="2"/>
        <v>100</v>
      </c>
      <c r="X10" s="1118"/>
      <c r="Y10" s="3380"/>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514"/>
      <c r="Q11" s="1120">
        <f t="shared" si="6"/>
        <v>111</v>
      </c>
      <c r="R11" s="1116" t="s">
        <v>2237</v>
      </c>
      <c r="S11" s="1117">
        <f t="shared" si="0"/>
        <v>100</v>
      </c>
      <c r="T11" s="1116" t="s">
        <v>2237</v>
      </c>
      <c r="U11" s="1117">
        <f t="shared" si="1"/>
        <v>100</v>
      </c>
      <c r="V11" s="1116" t="s">
        <v>2237</v>
      </c>
      <c r="W11" s="1117">
        <f t="shared" si="2"/>
        <v>100</v>
      </c>
      <c r="X11" s="1118"/>
      <c r="Y11" s="3380"/>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514"/>
      <c r="Q12" s="1120">
        <f t="shared" si="6"/>
        <v>111</v>
      </c>
      <c r="R12" s="1116" t="s">
        <v>2237</v>
      </c>
      <c r="S12" s="1117">
        <f t="shared" si="0"/>
        <v>100</v>
      </c>
      <c r="T12" s="1116" t="s">
        <v>2237</v>
      </c>
      <c r="U12" s="1117">
        <f t="shared" si="1"/>
        <v>100</v>
      </c>
      <c r="V12" s="1116" t="s">
        <v>2237</v>
      </c>
      <c r="W12" s="1117">
        <f t="shared" si="2"/>
        <v>100</v>
      </c>
      <c r="X12" s="1118"/>
      <c r="Y12" s="3380"/>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514"/>
      <c r="Q13" s="1120">
        <f t="shared" si="6"/>
        <v>111</v>
      </c>
      <c r="R13" s="1116" t="s">
        <v>2237</v>
      </c>
      <c r="S13" s="1117">
        <f t="shared" si="0"/>
        <v>100</v>
      </c>
      <c r="T13" s="1116" t="s">
        <v>2237</v>
      </c>
      <c r="U13" s="1117">
        <f t="shared" si="1"/>
        <v>100</v>
      </c>
      <c r="V13" s="1116" t="s">
        <v>2237</v>
      </c>
      <c r="W13" s="1117">
        <f t="shared" si="2"/>
        <v>100</v>
      </c>
      <c r="X13" s="1118"/>
      <c r="Y13" s="3380"/>
      <c r="Z13" s="1131">
        <f t="shared" si="7"/>
        <v>111</v>
      </c>
      <c r="AA13" s="1130">
        <f t="shared" si="3"/>
        <v>1</v>
      </c>
      <c r="AB13" s="1130">
        <f t="shared" si="4"/>
        <v>1</v>
      </c>
      <c r="AC13" s="1130">
        <f t="shared" si="5"/>
        <v>1</v>
      </c>
    </row>
    <row r="14" spans="1:29" ht="85.5">
      <c r="A14" s="960" t="s">
        <v>2247</v>
      </c>
      <c r="B14" s="1253" t="s">
        <v>2250</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527" t="s">
        <v>2249</v>
      </c>
      <c r="Q14" s="681" t="str">
        <f t="shared" si="6"/>
        <v>交通便捷度</v>
      </c>
      <c r="R14" s="1121" t="s">
        <v>2237</v>
      </c>
      <c r="S14" s="1122">
        <f t="shared" si="0"/>
        <v>100</v>
      </c>
      <c r="T14" s="1121" t="s">
        <v>2237</v>
      </c>
      <c r="U14" s="1122">
        <f t="shared" si="1"/>
        <v>100</v>
      </c>
      <c r="V14" s="1121" t="s">
        <v>2237</v>
      </c>
      <c r="W14" s="1122">
        <f t="shared" si="2"/>
        <v>100</v>
      </c>
      <c r="X14" s="1115"/>
      <c r="Y14" s="3527" t="s">
        <v>2249</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528"/>
      <c r="Q15" s="681"/>
      <c r="R15" s="1121"/>
      <c r="S15" s="1122"/>
      <c r="T15" s="1121"/>
      <c r="U15" s="1122"/>
      <c r="V15" s="1121"/>
      <c r="W15" s="1122"/>
      <c r="X15" s="1115"/>
      <c r="Y15" s="3528"/>
      <c r="Z15" s="1105"/>
      <c r="AA15" s="1132">
        <v>1</v>
      </c>
      <c r="AB15" s="1132">
        <v>1</v>
      </c>
      <c r="AC15" s="1132">
        <v>1</v>
      </c>
    </row>
    <row r="16" spans="1:29" ht="42.75">
      <c r="A16" s="946"/>
      <c r="B16" s="1256" t="s">
        <v>2251</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528"/>
      <c r="Q16" s="681" t="str">
        <f>B16</f>
        <v>公共配套设施</v>
      </c>
      <c r="R16" s="1121" t="s">
        <v>2237</v>
      </c>
      <c r="S16" s="1122">
        <f>F16</f>
        <v>100</v>
      </c>
      <c r="T16" s="1121" t="s">
        <v>2237</v>
      </c>
      <c r="U16" s="1122">
        <f>H16</f>
        <v>100</v>
      </c>
      <c r="V16" s="1121" t="s">
        <v>2237</v>
      </c>
      <c r="W16" s="1122">
        <f>J16</f>
        <v>100</v>
      </c>
      <c r="X16" s="1115"/>
      <c r="Y16" s="3528"/>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528"/>
      <c r="Q17" s="681"/>
      <c r="R17" s="1121"/>
      <c r="S17" s="1122"/>
      <c r="T17" s="1121"/>
      <c r="U17" s="1122"/>
      <c r="V17" s="1121"/>
      <c r="W17" s="1122"/>
      <c r="X17" s="1115"/>
      <c r="Y17" s="3528"/>
      <c r="Z17" s="1105"/>
      <c r="AA17" s="1132">
        <v>1</v>
      </c>
      <c r="AB17" s="1132">
        <v>1</v>
      </c>
      <c r="AC17" s="1132">
        <v>1</v>
      </c>
    </row>
    <row r="18" spans="1:29" ht="28.5">
      <c r="A18" s="946"/>
      <c r="B18" s="1260" t="s">
        <v>2252</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528"/>
      <c r="Q18" s="681" t="str">
        <f>B18</f>
        <v>基础设施水平</v>
      </c>
      <c r="R18" s="1121" t="s">
        <v>2237</v>
      </c>
      <c r="S18" s="1122">
        <f>F18</f>
        <v>100</v>
      </c>
      <c r="T18" s="1121" t="s">
        <v>2237</v>
      </c>
      <c r="U18" s="1122">
        <f>H18</f>
        <v>100</v>
      </c>
      <c r="V18" s="1121" t="s">
        <v>2237</v>
      </c>
      <c r="W18" s="1122">
        <f>J18</f>
        <v>100</v>
      </c>
      <c r="X18" s="1115"/>
      <c r="Y18" s="3528"/>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528"/>
      <c r="Q19" s="681"/>
      <c r="R19" s="1121"/>
      <c r="S19" s="1122"/>
      <c r="T19" s="1121"/>
      <c r="U19" s="1122"/>
      <c r="V19" s="1121"/>
      <c r="W19" s="1122"/>
      <c r="X19" s="1115"/>
      <c r="Y19" s="3528"/>
      <c r="Z19" s="1105"/>
      <c r="AA19" s="1132">
        <v>1</v>
      </c>
      <c r="AB19" s="1132">
        <v>1</v>
      </c>
      <c r="AC19" s="1132">
        <v>1</v>
      </c>
    </row>
    <row r="20" spans="1:29" ht="57">
      <c r="A20" s="946"/>
      <c r="B20" s="1256" t="s">
        <v>2253</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528"/>
      <c r="Q20" s="681" t="str">
        <f>B20</f>
        <v>自然及人文环境</v>
      </c>
      <c r="R20" s="1121" t="s">
        <v>2237</v>
      </c>
      <c r="S20" s="1122">
        <f>F20</f>
        <v>100</v>
      </c>
      <c r="T20" s="1121" t="s">
        <v>2237</v>
      </c>
      <c r="U20" s="1122">
        <f>H20</f>
        <v>100</v>
      </c>
      <c r="V20" s="1121" t="s">
        <v>2237</v>
      </c>
      <c r="W20" s="1122">
        <f>J20</f>
        <v>100</v>
      </c>
      <c r="X20" s="1115"/>
      <c r="Y20" s="3528"/>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528"/>
      <c r="Q21" s="681"/>
      <c r="R21" s="1121"/>
      <c r="S21" s="1122"/>
      <c r="T21" s="1121"/>
      <c r="U21" s="1122"/>
      <c r="V21" s="1121"/>
      <c r="W21" s="1122"/>
      <c r="X21" s="1115"/>
      <c r="Y21" s="3528"/>
      <c r="Z21" s="1105"/>
      <c r="AA21" s="1132">
        <v>1</v>
      </c>
      <c r="AB21" s="1132">
        <v>1</v>
      </c>
      <c r="AC21" s="1132">
        <v>1</v>
      </c>
    </row>
    <row r="22" spans="1:29" ht="15">
      <c r="A22" s="946"/>
      <c r="B22" s="1256" t="s">
        <v>2321</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528"/>
      <c r="Q22" s="681" t="str">
        <f>B22</f>
        <v>楼层</v>
      </c>
      <c r="R22" s="1121" t="s">
        <v>2237</v>
      </c>
      <c r="S22" s="1122">
        <f>F22</f>
        <v>100</v>
      </c>
      <c r="T22" s="1121" t="s">
        <v>2237</v>
      </c>
      <c r="U22" s="1122">
        <f>H22</f>
        <v>100</v>
      </c>
      <c r="V22" s="1121" t="s">
        <v>2237</v>
      </c>
      <c r="W22" s="1122">
        <f>J22</f>
        <v>100</v>
      </c>
      <c r="X22" s="1115"/>
      <c r="Y22" s="3528"/>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528"/>
      <c r="Q23" s="681">
        <f>B23</f>
        <v>111</v>
      </c>
      <c r="R23" s="1121" t="s">
        <v>2237</v>
      </c>
      <c r="S23" s="1122">
        <f>F23</f>
        <v>100</v>
      </c>
      <c r="T23" s="1121" t="s">
        <v>2237</v>
      </c>
      <c r="U23" s="1122">
        <f>H23</f>
        <v>100</v>
      </c>
      <c r="V23" s="1121" t="s">
        <v>2237</v>
      </c>
      <c r="W23" s="1122">
        <f>J23</f>
        <v>100</v>
      </c>
      <c r="X23" s="1115"/>
      <c r="Y23" s="3528"/>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528"/>
      <c r="Q24" s="681">
        <f t="shared" ref="Q24:Q34" si="11">B24</f>
        <v>111</v>
      </c>
      <c r="R24" s="1121" t="s">
        <v>2237</v>
      </c>
      <c r="S24" s="1122">
        <f>F24</f>
        <v>100</v>
      </c>
      <c r="T24" s="1121" t="s">
        <v>2237</v>
      </c>
      <c r="U24" s="1122">
        <f>H24</f>
        <v>100</v>
      </c>
      <c r="V24" s="1121" t="s">
        <v>2237</v>
      </c>
      <c r="W24" s="1122">
        <f>J24</f>
        <v>100</v>
      </c>
      <c r="X24" s="1115"/>
      <c r="Y24" s="3528"/>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528"/>
      <c r="Q25" s="1120">
        <f t="shared" si="11"/>
        <v>111</v>
      </c>
      <c r="R25" s="1116" t="s">
        <v>2237</v>
      </c>
      <c r="S25" s="1117">
        <f>F25</f>
        <v>100</v>
      </c>
      <c r="T25" s="1116" t="s">
        <v>2237</v>
      </c>
      <c r="U25" s="1117">
        <f>H25</f>
        <v>100</v>
      </c>
      <c r="V25" s="1116" t="s">
        <v>2237</v>
      </c>
      <c r="W25" s="1117">
        <f>J25</f>
        <v>100</v>
      </c>
      <c r="X25" s="1118"/>
      <c r="Y25" s="3528"/>
      <c r="Z25" s="1131">
        <f>Q25</f>
        <v>111</v>
      </c>
      <c r="AA25" s="1132">
        <f t="shared" si="3"/>
        <v>1</v>
      </c>
      <c r="AB25" s="1132">
        <f t="shared" si="4"/>
        <v>1</v>
      </c>
      <c r="AC25" s="1132">
        <f t="shared" si="5"/>
        <v>1</v>
      </c>
    </row>
    <row r="26" spans="1:29" ht="28.5">
      <c r="A26" s="1313" t="s">
        <v>2256</v>
      </c>
      <c r="B26" s="939" t="s">
        <v>2262</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59" t="s">
        <v>2258</v>
      </c>
      <c r="Q26" s="681" t="str">
        <f t="shared" si="11"/>
        <v>公共部分装修</v>
      </c>
      <c r="R26" s="1121" t="s">
        <v>2237</v>
      </c>
      <c r="S26" s="1122">
        <f t="shared" ref="S26:S34" si="12">F26</f>
        <v>100</v>
      </c>
      <c r="T26" s="1121" t="s">
        <v>2237</v>
      </c>
      <c r="U26" s="1122">
        <f t="shared" ref="U26:U34" si="13">H26</f>
        <v>100</v>
      </c>
      <c r="V26" s="1121" t="s">
        <v>2237</v>
      </c>
      <c r="W26" s="1122">
        <f t="shared" ref="W26:W34" si="14">J26</f>
        <v>100</v>
      </c>
      <c r="X26" s="1115"/>
      <c r="Y26" s="3529" t="s">
        <v>2258</v>
      </c>
      <c r="Z26" s="1105" t="str">
        <f t="shared" ref="Z26:Z34" si="15">Q26</f>
        <v>公共部分装修</v>
      </c>
      <c r="AA26" s="1132">
        <f t="shared" si="3"/>
        <v>1</v>
      </c>
      <c r="AB26" s="1132">
        <f t="shared" si="4"/>
        <v>1</v>
      </c>
      <c r="AC26" s="1132">
        <f t="shared" si="5"/>
        <v>1</v>
      </c>
    </row>
    <row r="27" spans="1:29" s="907" customFormat="1" ht="15">
      <c r="A27" s="1002"/>
      <c r="B27" s="943" t="s">
        <v>2344</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529"/>
      <c r="Q27" s="1348" t="str">
        <f t="shared" si="11"/>
        <v>成新率</v>
      </c>
      <c r="R27" s="1123" t="s">
        <v>2237</v>
      </c>
      <c r="S27" s="1124" t="e">
        <f t="shared" si="12"/>
        <v>#N/A</v>
      </c>
      <c r="T27" s="1123" t="s">
        <v>2237</v>
      </c>
      <c r="U27" s="1124" t="e">
        <f t="shared" si="13"/>
        <v>#N/A</v>
      </c>
      <c r="V27" s="1123" t="s">
        <v>2237</v>
      </c>
      <c r="W27" s="1124" t="e">
        <f t="shared" si="14"/>
        <v>#N/A</v>
      </c>
      <c r="X27" s="1125"/>
      <c r="Y27" s="3529"/>
      <c r="Z27" s="1133" t="str">
        <f t="shared" si="15"/>
        <v>成新率</v>
      </c>
      <c r="AA27" s="1132" t="e">
        <f t="shared" si="3"/>
        <v>#N/A</v>
      </c>
      <c r="AB27" s="1132" t="e">
        <f t="shared" si="4"/>
        <v>#N/A</v>
      </c>
      <c r="AC27" s="1132" t="e">
        <f t="shared" si="5"/>
        <v>#N/A</v>
      </c>
    </row>
    <row r="28" spans="1:29" ht="15">
      <c r="A28" s="997"/>
      <c r="B28" s="943" t="s">
        <v>2345</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529"/>
      <c r="Q28" s="681" t="str">
        <f t="shared" si="11"/>
        <v>物业等级</v>
      </c>
      <c r="R28" s="1121" t="s">
        <v>2237</v>
      </c>
      <c r="S28" s="1122">
        <f t="shared" si="12"/>
        <v>100</v>
      </c>
      <c r="T28" s="1121" t="s">
        <v>2237</v>
      </c>
      <c r="U28" s="1122">
        <f t="shared" si="13"/>
        <v>100</v>
      </c>
      <c r="V28" s="1121" t="s">
        <v>2237</v>
      </c>
      <c r="W28" s="1122">
        <f t="shared" si="14"/>
        <v>100</v>
      </c>
      <c r="X28" s="1115"/>
      <c r="Y28" s="3529"/>
      <c r="Z28" s="1105" t="str">
        <f t="shared" si="15"/>
        <v>物业等级</v>
      </c>
      <c r="AA28" s="1132">
        <f t="shared" si="3"/>
        <v>1</v>
      </c>
      <c r="AB28" s="1132">
        <f t="shared" si="4"/>
        <v>1</v>
      </c>
      <c r="AC28" s="1132">
        <f t="shared" si="5"/>
        <v>1</v>
      </c>
    </row>
    <row r="29" spans="1:29" ht="15">
      <c r="A29" s="997"/>
      <c r="B29" s="943" t="s">
        <v>2353</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529"/>
      <c r="Q29" s="681" t="str">
        <f t="shared" si="11"/>
        <v>有无电梯</v>
      </c>
      <c r="R29" s="1121" t="s">
        <v>2237</v>
      </c>
      <c r="S29" s="1122">
        <f t="shared" si="12"/>
        <v>100</v>
      </c>
      <c r="T29" s="1121" t="s">
        <v>2237</v>
      </c>
      <c r="U29" s="1122">
        <f t="shared" si="13"/>
        <v>100</v>
      </c>
      <c r="V29" s="1121" t="s">
        <v>2237</v>
      </c>
      <c r="W29" s="1122">
        <f t="shared" si="14"/>
        <v>100</v>
      </c>
      <c r="X29" s="1115"/>
      <c r="Y29" s="3529"/>
      <c r="Z29" s="1105" t="str">
        <f t="shared" si="15"/>
        <v>有无电梯</v>
      </c>
      <c r="AA29" s="1132">
        <f t="shared" si="3"/>
        <v>1</v>
      </c>
      <c r="AB29" s="1132">
        <f t="shared" si="4"/>
        <v>1</v>
      </c>
      <c r="AC29" s="1132">
        <f t="shared" si="5"/>
        <v>1</v>
      </c>
    </row>
    <row r="30" spans="1:29" ht="15">
      <c r="A30" s="997"/>
      <c r="B30" s="943" t="s">
        <v>523</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529"/>
      <c r="Q30" s="681" t="str">
        <f t="shared" si="11"/>
        <v>建筑面积</v>
      </c>
      <c r="R30" s="1121" t="s">
        <v>2237</v>
      </c>
      <c r="S30" s="1122" t="e">
        <f t="shared" si="12"/>
        <v>#N/A</v>
      </c>
      <c r="T30" s="1121" t="s">
        <v>2237</v>
      </c>
      <c r="U30" s="1122" t="e">
        <f t="shared" si="13"/>
        <v>#N/A</v>
      </c>
      <c r="V30" s="1121" t="s">
        <v>2237</v>
      </c>
      <c r="W30" s="1122" t="e">
        <f t="shared" si="14"/>
        <v>#N/A</v>
      </c>
      <c r="X30" s="1115"/>
      <c r="Y30" s="3529"/>
      <c r="Z30" s="1105" t="str">
        <f t="shared" si="15"/>
        <v>建筑面积</v>
      </c>
      <c r="AA30" s="1132" t="e">
        <f t="shared" si="3"/>
        <v>#N/A</v>
      </c>
      <c r="AB30" s="1132" t="e">
        <f t="shared" si="4"/>
        <v>#N/A</v>
      </c>
      <c r="AC30" s="1132" t="e">
        <f t="shared" si="5"/>
        <v>#N/A</v>
      </c>
    </row>
    <row r="31" spans="1:29" s="905" customFormat="1" ht="15">
      <c r="A31" s="999"/>
      <c r="B31" s="943" t="s">
        <v>2354</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529"/>
      <c r="Q31" s="1120" t="str">
        <f t="shared" si="11"/>
        <v>是否封闭</v>
      </c>
      <c r="R31" s="1116" t="s">
        <v>2237</v>
      </c>
      <c r="S31" s="1117">
        <f t="shared" si="12"/>
        <v>100</v>
      </c>
      <c r="T31" s="1116" t="s">
        <v>2237</v>
      </c>
      <c r="U31" s="1117">
        <f t="shared" si="13"/>
        <v>100</v>
      </c>
      <c r="V31" s="1116" t="s">
        <v>2237</v>
      </c>
      <c r="W31" s="1117">
        <f t="shared" si="14"/>
        <v>100</v>
      </c>
      <c r="X31" s="1118"/>
      <c r="Y31" s="3529"/>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529" t="s">
        <v>2258</v>
      </c>
      <c r="Q32" s="681">
        <f t="shared" si="11"/>
        <v>111</v>
      </c>
      <c r="R32" s="1121" t="s">
        <v>2237</v>
      </c>
      <c r="S32" s="1122">
        <f t="shared" si="12"/>
        <v>100</v>
      </c>
      <c r="T32" s="1121" t="s">
        <v>2237</v>
      </c>
      <c r="U32" s="1122">
        <f t="shared" si="13"/>
        <v>100</v>
      </c>
      <c r="V32" s="1121" t="s">
        <v>2237</v>
      </c>
      <c r="W32" s="1122">
        <f t="shared" si="14"/>
        <v>100</v>
      </c>
      <c r="X32" s="1115"/>
      <c r="Y32" s="3529" t="s">
        <v>2258</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529"/>
      <c r="Q33" s="681">
        <f t="shared" si="11"/>
        <v>111</v>
      </c>
      <c r="R33" s="1121" t="s">
        <v>2237</v>
      </c>
      <c r="S33" s="1122">
        <f t="shared" si="12"/>
        <v>100</v>
      </c>
      <c r="T33" s="1121" t="s">
        <v>2237</v>
      </c>
      <c r="U33" s="1122">
        <f t="shared" si="13"/>
        <v>100</v>
      </c>
      <c r="V33" s="1121" t="s">
        <v>2237</v>
      </c>
      <c r="W33" s="1122">
        <f t="shared" si="14"/>
        <v>100</v>
      </c>
      <c r="X33" s="1115"/>
      <c r="Y33" s="3529"/>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529"/>
      <c r="Q34" s="681">
        <f t="shared" si="11"/>
        <v>111</v>
      </c>
      <c r="R34" s="1121" t="s">
        <v>2237</v>
      </c>
      <c r="S34" s="1122">
        <f t="shared" si="12"/>
        <v>100</v>
      </c>
      <c r="T34" s="1121" t="s">
        <v>2237</v>
      </c>
      <c r="U34" s="1122">
        <f t="shared" si="13"/>
        <v>100</v>
      </c>
      <c r="V34" s="1121" t="s">
        <v>2237</v>
      </c>
      <c r="W34" s="1122">
        <f t="shared" si="14"/>
        <v>100</v>
      </c>
      <c r="X34" s="1115"/>
      <c r="Y34" s="3529"/>
      <c r="Z34" s="1105">
        <f t="shared" si="15"/>
        <v>111</v>
      </c>
      <c r="AA34" s="1132">
        <f t="shared" si="3"/>
        <v>1</v>
      </c>
      <c r="AB34" s="1132">
        <f t="shared" si="4"/>
        <v>1</v>
      </c>
      <c r="AC34" s="1132">
        <f t="shared" si="5"/>
        <v>1</v>
      </c>
    </row>
    <row r="35" spans="1:30" ht="15">
      <c r="A35" s="1004" t="s">
        <v>2269</v>
      </c>
      <c r="B35" s="1323"/>
      <c r="C35" s="1324" t="s">
        <v>124</v>
      </c>
      <c r="D35" s="1325"/>
      <c r="E35" s="1326"/>
      <c r="F35" s="1327"/>
      <c r="G35" s="1328"/>
      <c r="H35" s="1329"/>
      <c r="I35" s="1326"/>
      <c r="J35" s="1329"/>
      <c r="K35" s="1096"/>
      <c r="L35" s="1097"/>
      <c r="M35" s="1021"/>
      <c r="N35" s="1073"/>
      <c r="O35" s="1021"/>
      <c r="P35" s="3514" t="str">
        <f>A35</f>
        <v>成交单价（元/平方米）</v>
      </c>
      <c r="Q35" s="3514"/>
      <c r="R35" s="3515">
        <f>E35</f>
        <v>0</v>
      </c>
      <c r="S35" s="3515"/>
      <c r="T35" s="3515">
        <f>G35</f>
        <v>0</v>
      </c>
      <c r="U35" s="3515"/>
      <c r="V35" s="3515">
        <f>I35</f>
        <v>0</v>
      </c>
      <c r="W35" s="3515"/>
      <c r="X35" s="1061"/>
      <c r="Y35" s="1134"/>
      <c r="Z35" s="1061"/>
      <c r="AA35" s="1061"/>
      <c r="AB35" s="1061"/>
      <c r="AC35" s="1061"/>
    </row>
    <row r="36" spans="1:30" ht="15">
      <c r="A36" s="1012" t="s">
        <v>2270</v>
      </c>
      <c r="B36" s="1330"/>
      <c r="C36" s="1331" t="e">
        <f>R37</f>
        <v>#DIV/0!</v>
      </c>
      <c r="D36" s="1015" t="s">
        <v>2271</v>
      </c>
      <c r="E36" s="1332" t="e">
        <f>R36</f>
        <v>#DIV/0!</v>
      </c>
      <c r="F36" s="1016"/>
      <c r="G36" s="1331" t="e">
        <f>T36</f>
        <v>#DIV/0!</v>
      </c>
      <c r="H36" s="1016"/>
      <c r="I36" s="1332" t="e">
        <f>V36</f>
        <v>#DIV/0!</v>
      </c>
      <c r="J36" s="1016"/>
      <c r="K36" s="1098">
        <f>F36+H36+J36</f>
        <v>0</v>
      </c>
      <c r="L36" s="1097"/>
      <c r="M36" s="1021"/>
      <c r="N36" s="1073"/>
      <c r="O36" s="1021"/>
      <c r="P36" s="3514" t="str">
        <f>A36</f>
        <v>比较价值（元/平方米）</v>
      </c>
      <c r="Q36" s="3514"/>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1061"/>
      <c r="Y36" s="1061"/>
      <c r="Z36" s="1061"/>
      <c r="AA36" s="1061"/>
      <c r="AB36" s="1061"/>
      <c r="AC36" s="1061"/>
    </row>
    <row r="37" spans="1:30" ht="15">
      <c r="A37" s="1018" t="s">
        <v>2272</v>
      </c>
      <c r="B37" s="1019"/>
      <c r="C37" s="1333" t="e">
        <f>R37</f>
        <v>#DIV/0!</v>
      </c>
      <c r="D37" s="1333"/>
      <c r="E37" s="1333"/>
      <c r="F37" s="1333"/>
      <c r="G37" s="1333"/>
      <c r="H37" s="1333"/>
      <c r="I37" s="1333"/>
      <c r="J37" s="1333"/>
      <c r="K37" s="1099"/>
      <c r="L37" s="1097"/>
      <c r="M37" s="1021"/>
      <c r="N37" s="1021"/>
      <c r="O37" s="1021"/>
      <c r="P37" s="3516" t="str">
        <f>A37</f>
        <v>估价对象XX用房的比较价值（楼面单价，元/平方米）</v>
      </c>
      <c r="Q37" s="3517"/>
      <c r="R37" s="3560" t="e">
        <f>IF(F1="售价",ROUND(IF(D36="简单平均",AVERAGE(R36:W36),R36*F36+T36*H36+V36*J36),0),ROUND(IF(D36="简单平均",AVERAGE(R36:V36),R36*F36+T36*H36+V36*J36),1))</f>
        <v>#DIV/0!</v>
      </c>
      <c r="S37" s="3560"/>
      <c r="T37" s="3560"/>
      <c r="U37" s="3560"/>
      <c r="V37" s="3560"/>
      <c r="W37" s="3560"/>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2273</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2274</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2275</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2276</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2235</v>
      </c>
      <c r="B46" s="1336"/>
      <c r="C46" s="1337" t="str">
        <f>YEAR(C7)&amp;"-"&amp;MONTH(C7)</f>
        <v>2022-7</v>
      </c>
      <c r="D46" s="1338">
        <f>EDATE(C46,-1)</f>
        <v>44713</v>
      </c>
      <c r="E46" s="1338">
        <f t="shared" ref="E46:O46" si="16">EDATE(D46,-1)</f>
        <v>44682</v>
      </c>
      <c r="F46" s="1338">
        <f t="shared" si="16"/>
        <v>44652</v>
      </c>
      <c r="G46" s="1338">
        <f t="shared" si="16"/>
        <v>44621</v>
      </c>
      <c r="H46" s="1338">
        <f t="shared" si="16"/>
        <v>44593</v>
      </c>
      <c r="I46" s="1338">
        <f t="shared" si="16"/>
        <v>44562</v>
      </c>
      <c r="J46" s="1338">
        <f t="shared" si="16"/>
        <v>44531</v>
      </c>
      <c r="K46" s="1338">
        <f t="shared" si="16"/>
        <v>44501</v>
      </c>
      <c r="L46" s="1338">
        <f t="shared" si="16"/>
        <v>44470</v>
      </c>
      <c r="M46" s="1338">
        <f t="shared" si="16"/>
        <v>44440</v>
      </c>
      <c r="N46" s="1338">
        <f t="shared" si="16"/>
        <v>44409</v>
      </c>
      <c r="O46" s="1338">
        <f t="shared" si="16"/>
        <v>44378</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2277</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2238</v>
      </c>
      <c r="B49" s="1146"/>
      <c r="C49" s="1147" t="s">
        <v>2239</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2278</v>
      </c>
      <c r="B51" s="1152" t="s">
        <v>2242</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2245</v>
      </c>
      <c r="C53" s="1157" t="s">
        <v>2279</v>
      </c>
      <c r="D53" s="1157" t="s">
        <v>2280</v>
      </c>
      <c r="E53" s="1157" t="s">
        <v>2281</v>
      </c>
      <c r="F53" s="1157" t="s">
        <v>2282</v>
      </c>
      <c r="G53" s="1157" t="s">
        <v>2283</v>
      </c>
      <c r="H53" s="1157" t="s">
        <v>2284</v>
      </c>
      <c r="I53" s="1157" t="s">
        <v>2285</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2327</v>
      </c>
      <c r="D54" s="1159" t="s">
        <v>2327</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2247</v>
      </c>
      <c r="B61" s="1152" t="s">
        <v>2250</v>
      </c>
      <c r="C61" s="1173" t="s">
        <v>2286</v>
      </c>
      <c r="D61" s="1173" t="s">
        <v>2287</v>
      </c>
      <c r="E61" s="1173" t="s">
        <v>2288</v>
      </c>
      <c r="F61" s="1173" t="s">
        <v>2289</v>
      </c>
      <c r="G61" s="1173" t="s">
        <v>2290</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2355</v>
      </c>
      <c r="C63" s="1175" t="s">
        <v>2286</v>
      </c>
      <c r="D63" s="1175" t="s">
        <v>2287</v>
      </c>
      <c r="E63" s="1175" t="s">
        <v>2288</v>
      </c>
      <c r="F63" s="1175" t="s">
        <v>2289</v>
      </c>
      <c r="G63" s="1175" t="s">
        <v>2290</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2252</v>
      </c>
      <c r="C65" s="1180" t="s">
        <v>2291</v>
      </c>
      <c r="D65" s="1180" t="s">
        <v>2292</v>
      </c>
      <c r="E65" s="1180" t="s">
        <v>2293</v>
      </c>
      <c r="F65" s="1180" t="s">
        <v>2294</v>
      </c>
      <c r="G65" s="1180" t="s">
        <v>2295</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2253</v>
      </c>
      <c r="C67" s="1175" t="s">
        <v>2286</v>
      </c>
      <c r="D67" s="1175" t="s">
        <v>2287</v>
      </c>
      <c r="E67" s="1175" t="s">
        <v>2288</v>
      </c>
      <c r="F67" s="1175" t="s">
        <v>2289</v>
      </c>
      <c r="G67" s="1175" t="s">
        <v>2290</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2321</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2256</v>
      </c>
      <c r="B77" s="1152" t="s">
        <v>2262</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2344</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2345</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2353</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523</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2354</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2356</v>
      </c>
      <c r="B1" s="915"/>
      <c r="C1" s="916" t="s">
        <v>2357</v>
      </c>
      <c r="D1" s="917"/>
      <c r="E1" s="917"/>
      <c r="F1" s="918" t="s">
        <v>2220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915</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917</v>
      </c>
      <c r="B3" s="922" t="e">
        <f>ROUND(IF(D3="",B2*10000/'数据-汇总表'!E3,B2*10000/D3),0)</f>
        <v>#DIV/0!</v>
      </c>
      <c r="C3" s="153" t="s">
        <v>2221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2222</v>
      </c>
      <c r="B4" s="925"/>
      <c r="C4" s="3536" t="s">
        <v>2223</v>
      </c>
      <c r="D4" s="3537"/>
      <c r="E4" s="3538" t="s">
        <v>2224</v>
      </c>
      <c r="F4" s="3539"/>
      <c r="G4" s="3536" t="s">
        <v>2225</v>
      </c>
      <c r="H4" s="3537"/>
      <c r="I4" s="3536" t="s">
        <v>2226</v>
      </c>
      <c r="J4" s="3537"/>
      <c r="K4" s="1071" t="s">
        <v>2227</v>
      </c>
      <c r="L4" s="1072"/>
      <c r="M4" s="1073"/>
      <c r="N4" s="1073"/>
      <c r="O4" s="1073"/>
      <c r="P4" s="3501" t="s">
        <v>2228</v>
      </c>
      <c r="Q4" s="3502"/>
      <c r="R4" s="3507" t="s">
        <v>2224</v>
      </c>
      <c r="S4" s="3508"/>
      <c r="T4" s="3507" t="s">
        <v>2225</v>
      </c>
      <c r="U4" s="3508"/>
      <c r="V4" s="3513" t="s">
        <v>2226</v>
      </c>
      <c r="W4" s="3513"/>
      <c r="X4" s="1115"/>
      <c r="Y4" s="3507" t="s">
        <v>2228</v>
      </c>
      <c r="Z4" s="3508"/>
      <c r="AA4" s="3498" t="s">
        <v>2224</v>
      </c>
      <c r="AB4" s="3499" t="s">
        <v>2225</v>
      </c>
      <c r="AC4" s="3498" t="s">
        <v>2226</v>
      </c>
    </row>
    <row r="5" spans="1:30" ht="15">
      <c r="A5" s="926"/>
      <c r="B5" s="927"/>
      <c r="C5" s="3540" t="s">
        <v>2229</v>
      </c>
      <c r="D5" s="3541"/>
      <c r="E5" s="3542" t="s">
        <v>2230</v>
      </c>
      <c r="F5" s="3543"/>
      <c r="G5" s="3540" t="s">
        <v>2231</v>
      </c>
      <c r="H5" s="3541"/>
      <c r="I5" s="3540" t="s">
        <v>2232</v>
      </c>
      <c r="J5" s="3541"/>
      <c r="K5" s="1071"/>
      <c r="L5" s="1072"/>
      <c r="M5" s="1073"/>
      <c r="N5" s="1073"/>
      <c r="O5" s="1073"/>
      <c r="P5" s="3503"/>
      <c r="Q5" s="3504"/>
      <c r="R5" s="3509"/>
      <c r="S5" s="3510"/>
      <c r="T5" s="3509"/>
      <c r="U5" s="3510"/>
      <c r="V5" s="3513"/>
      <c r="W5" s="3513"/>
      <c r="X5" s="1115"/>
      <c r="Y5" s="3509"/>
      <c r="Z5" s="3510"/>
      <c r="AA5" s="3499"/>
      <c r="AB5" s="3499"/>
      <c r="AC5" s="3499"/>
    </row>
    <row r="6" spans="1:30" ht="15">
      <c r="A6" s="928"/>
      <c r="B6" s="929"/>
      <c r="C6" s="3531" t="s">
        <v>2233</v>
      </c>
      <c r="D6" s="3532"/>
      <c r="E6" s="3533" t="s">
        <v>2233</v>
      </c>
      <c r="F6" s="3534"/>
      <c r="G6" s="3531" t="s">
        <v>2233</v>
      </c>
      <c r="H6" s="3532"/>
      <c r="I6" s="3531" t="s">
        <v>2233</v>
      </c>
      <c r="J6" s="3532"/>
      <c r="K6" s="1071" t="s">
        <v>2234</v>
      </c>
      <c r="L6" s="1072"/>
      <c r="M6" s="1073"/>
      <c r="N6" s="1073"/>
      <c r="O6" s="1073"/>
      <c r="P6" s="3505"/>
      <c r="Q6" s="3506"/>
      <c r="R6" s="3509"/>
      <c r="S6" s="3510"/>
      <c r="T6" s="3511"/>
      <c r="U6" s="3512"/>
      <c r="V6" s="3513"/>
      <c r="W6" s="3513"/>
      <c r="X6" s="1115"/>
      <c r="Y6" s="3511"/>
      <c r="Z6" s="3512"/>
      <c r="AA6" s="3500"/>
      <c r="AB6" s="3500"/>
      <c r="AC6" s="3500"/>
    </row>
    <row r="7" spans="1:30" s="905" customFormat="1" ht="15">
      <c r="A7" s="930" t="s">
        <v>2235</v>
      </c>
      <c r="B7" s="931"/>
      <c r="C7" s="932">
        <f>'数据-取费表'!B2</f>
        <v>44755</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519" t="s">
        <v>2236</v>
      </c>
      <c r="Q7" s="3535"/>
      <c r="R7" s="1116" t="s">
        <v>2237</v>
      </c>
      <c r="S7" s="1117">
        <f t="shared" ref="S7:S15" si="0">F7</f>
        <v>0</v>
      </c>
      <c r="T7" s="1116" t="s">
        <v>2237</v>
      </c>
      <c r="U7" s="1117">
        <f t="shared" ref="U7:U15" si="1">H7</f>
        <v>0</v>
      </c>
      <c r="V7" s="1116" t="s">
        <v>2237</v>
      </c>
      <c r="W7" s="1117">
        <f t="shared" ref="W7:W15" si="2">J7</f>
        <v>0</v>
      </c>
      <c r="X7" s="1118"/>
      <c r="Y7" s="3519" t="s">
        <v>2236</v>
      </c>
      <c r="Z7" s="3520"/>
      <c r="AA7" s="1130" t="e">
        <f>D7/F7</f>
        <v>#DIV/0!</v>
      </c>
      <c r="AB7" s="1130" t="e">
        <f>D7/H7</f>
        <v>#DIV/0!</v>
      </c>
      <c r="AC7" s="1130" t="e">
        <f>D7/J7</f>
        <v>#DIV/0!</v>
      </c>
    </row>
    <row r="8" spans="1:30" s="905" customFormat="1" ht="15">
      <c r="A8" s="930" t="s">
        <v>2238</v>
      </c>
      <c r="B8" s="931"/>
      <c r="C8" s="937" t="s">
        <v>2239</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519" t="s">
        <v>2240</v>
      </c>
      <c r="Q8" s="3520"/>
      <c r="R8" s="1116" t="s">
        <v>2237</v>
      </c>
      <c r="S8" s="1117">
        <f t="shared" si="0"/>
        <v>0</v>
      </c>
      <c r="T8" s="1116" t="s">
        <v>2237</v>
      </c>
      <c r="U8" s="1117">
        <f t="shared" si="1"/>
        <v>0</v>
      </c>
      <c r="V8" s="1116" t="s">
        <v>2237</v>
      </c>
      <c r="W8" s="1117">
        <f t="shared" si="2"/>
        <v>0</v>
      </c>
      <c r="X8" s="1118"/>
      <c r="Y8" s="3519" t="s">
        <v>2240</v>
      </c>
      <c r="Z8" s="3520"/>
      <c r="AA8" s="1130" t="e">
        <f t="shared" ref="AA8:AA45" si="3">D8/F8</f>
        <v>#DIV/0!</v>
      </c>
      <c r="AB8" s="1130" t="e">
        <f t="shared" ref="AB8:AB45" si="4">D8/H8</f>
        <v>#DIV/0!</v>
      </c>
      <c r="AC8" s="1130" t="e">
        <f t="shared" ref="AC8:AC45" si="5">D8/J8</f>
        <v>#DIV/0!</v>
      </c>
    </row>
    <row r="9" spans="1:30" s="905" customFormat="1">
      <c r="A9" s="938" t="s">
        <v>2241</v>
      </c>
      <c r="B9" s="939" t="s">
        <v>2242</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514" t="s">
        <v>2243</v>
      </c>
      <c r="Q9" s="1120" t="str">
        <f t="shared" ref="Q9:Q15" si="6">B9</f>
        <v>用途</v>
      </c>
      <c r="R9" s="1116" t="s">
        <v>2237</v>
      </c>
      <c r="S9" s="1117">
        <f t="shared" si="0"/>
        <v>100</v>
      </c>
      <c r="T9" s="1116" t="s">
        <v>2237</v>
      </c>
      <c r="U9" s="1117">
        <f t="shared" si="1"/>
        <v>100</v>
      </c>
      <c r="V9" s="1116" t="s">
        <v>2237</v>
      </c>
      <c r="W9" s="1117">
        <f t="shared" si="2"/>
        <v>100</v>
      </c>
      <c r="X9" s="1118"/>
      <c r="Y9" s="3380" t="s">
        <v>2244</v>
      </c>
      <c r="Z9" s="1131" t="str">
        <f t="shared" ref="Z9:Z15" si="7">Q9</f>
        <v>用途</v>
      </c>
      <c r="AA9" s="1130">
        <f t="shared" si="3"/>
        <v>1</v>
      </c>
      <c r="AB9" s="1130">
        <f t="shared" si="4"/>
        <v>1</v>
      </c>
      <c r="AC9" s="1130">
        <f t="shared" si="5"/>
        <v>1</v>
      </c>
    </row>
    <row r="10" spans="1:30" s="906" customFormat="1" ht="27">
      <c r="A10" s="942"/>
      <c r="B10" s="943" t="s">
        <v>2245</v>
      </c>
      <c r="C10" s="944"/>
      <c r="D10" s="945">
        <v>100</v>
      </c>
      <c r="E10" s="1251"/>
      <c r="F10" s="945">
        <f>ROUND(100/'数据-取费表'!G16,0)</f>
        <v>153</v>
      </c>
      <c r="G10" s="1252"/>
      <c r="H10" s="945">
        <f>ROUND(100/'数据-取费表'!G16,0)</f>
        <v>153</v>
      </c>
      <c r="I10" s="1252"/>
      <c r="J10" s="945">
        <f>ROUND(100/'数据-取费表'!G16,0)</f>
        <v>153</v>
      </c>
      <c r="K10" s="1078"/>
      <c r="L10" s="1079"/>
      <c r="M10" s="1080"/>
      <c r="N10" s="1080"/>
      <c r="O10" s="1081"/>
      <c r="P10" s="3514"/>
      <c r="Q10" s="1120" t="str">
        <f t="shared" si="6"/>
        <v>土地使用年限（年）</v>
      </c>
      <c r="R10" s="1116" t="s">
        <v>2237</v>
      </c>
      <c r="S10" s="1117">
        <f t="shared" si="0"/>
        <v>153</v>
      </c>
      <c r="T10" s="1116" t="s">
        <v>2237</v>
      </c>
      <c r="U10" s="1117">
        <f t="shared" si="1"/>
        <v>153</v>
      </c>
      <c r="V10" s="1116" t="s">
        <v>2237</v>
      </c>
      <c r="W10" s="1117">
        <f t="shared" si="2"/>
        <v>153</v>
      </c>
      <c r="X10" s="1118"/>
      <c r="Y10" s="3380"/>
      <c r="Z10" s="1131" t="str">
        <f t="shared" si="7"/>
        <v>土地使用年限（年）</v>
      </c>
      <c r="AA10" s="1130">
        <f t="shared" si="3"/>
        <v>0.65359477124183007</v>
      </c>
      <c r="AB10" s="1130">
        <f t="shared" si="4"/>
        <v>0.65359477124183007</v>
      </c>
      <c r="AC10" s="1130">
        <f t="shared" si="5"/>
        <v>0.65359477124183007</v>
      </c>
    </row>
    <row r="11" spans="1:30" ht="15">
      <c r="A11" s="946"/>
      <c r="B11" s="943" t="s">
        <v>2246</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514"/>
      <c r="Q11" s="1120" t="str">
        <f t="shared" si="6"/>
        <v>容积率</v>
      </c>
      <c r="R11" s="1116" t="s">
        <v>2237</v>
      </c>
      <c r="S11" s="1117" t="e">
        <f t="shared" si="0"/>
        <v>#N/A</v>
      </c>
      <c r="T11" s="1116" t="s">
        <v>2237</v>
      </c>
      <c r="U11" s="1117" t="e">
        <f t="shared" si="1"/>
        <v>#N/A</v>
      </c>
      <c r="V11" s="1116" t="s">
        <v>2237</v>
      </c>
      <c r="W11" s="1117" t="e">
        <f t="shared" si="2"/>
        <v>#N/A</v>
      </c>
      <c r="X11" s="1118"/>
      <c r="Y11" s="3380"/>
      <c r="Z11" s="1131" t="str">
        <f t="shared" si="7"/>
        <v>容积率</v>
      </c>
      <c r="AA11" s="1130" t="e">
        <f t="shared" si="3"/>
        <v>#N/A</v>
      </c>
      <c r="AB11" s="1130" t="e">
        <f t="shared" si="4"/>
        <v>#N/A</v>
      </c>
      <c r="AC11" s="1130" t="e">
        <f t="shared" si="5"/>
        <v>#N/A</v>
      </c>
    </row>
    <row r="12" spans="1:30" s="905" customFormat="1" ht="15">
      <c r="A12" s="949"/>
      <c r="B12" s="950" t="s">
        <v>2358</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514"/>
      <c r="Q12" s="1120" t="str">
        <f t="shared" si="6"/>
        <v>配建</v>
      </c>
      <c r="R12" s="1116" t="s">
        <v>2237</v>
      </c>
      <c r="S12" s="1117">
        <f t="shared" si="0"/>
        <v>100</v>
      </c>
      <c r="T12" s="1116" t="s">
        <v>2237</v>
      </c>
      <c r="U12" s="1117">
        <f t="shared" si="1"/>
        <v>100</v>
      </c>
      <c r="V12" s="1116" t="s">
        <v>2237</v>
      </c>
      <c r="W12" s="1117">
        <f t="shared" si="2"/>
        <v>100</v>
      </c>
      <c r="X12" s="1118"/>
      <c r="Y12" s="3380"/>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514"/>
      <c r="Q13" s="1120">
        <f t="shared" si="6"/>
        <v>111</v>
      </c>
      <c r="R13" s="1116" t="s">
        <v>2237</v>
      </c>
      <c r="S13" s="1117">
        <f t="shared" si="0"/>
        <v>100</v>
      </c>
      <c r="T13" s="1116" t="s">
        <v>2237</v>
      </c>
      <c r="U13" s="1117">
        <f t="shared" si="1"/>
        <v>100</v>
      </c>
      <c r="V13" s="1116" t="s">
        <v>2237</v>
      </c>
      <c r="W13" s="1117">
        <f t="shared" si="2"/>
        <v>100</v>
      </c>
      <c r="X13" s="1118"/>
      <c r="Y13" s="3380"/>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514"/>
      <c r="Q14" s="1120">
        <f t="shared" si="6"/>
        <v>111</v>
      </c>
      <c r="R14" s="1116" t="s">
        <v>2237</v>
      </c>
      <c r="S14" s="1117">
        <f t="shared" si="0"/>
        <v>100</v>
      </c>
      <c r="T14" s="1116" t="s">
        <v>2237</v>
      </c>
      <c r="U14" s="1117">
        <f t="shared" si="1"/>
        <v>100</v>
      </c>
      <c r="V14" s="1116" t="s">
        <v>2237</v>
      </c>
      <c r="W14" s="1117">
        <f t="shared" si="2"/>
        <v>100</v>
      </c>
      <c r="X14" s="1118"/>
      <c r="Y14" s="3380"/>
      <c r="Z14" s="1131">
        <f t="shared" si="7"/>
        <v>111</v>
      </c>
      <c r="AA14" s="1130">
        <f t="shared" si="3"/>
        <v>1</v>
      </c>
      <c r="AB14" s="1130">
        <f t="shared" si="4"/>
        <v>1</v>
      </c>
      <c r="AC14" s="1130">
        <f t="shared" si="5"/>
        <v>1</v>
      </c>
    </row>
    <row r="15" spans="1:30" ht="99.75">
      <c r="A15" s="960" t="s">
        <v>2247</v>
      </c>
      <c r="B15" s="1253" t="s">
        <v>2248</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527" t="s">
        <v>2249</v>
      </c>
      <c r="Q15" s="681" t="str">
        <f t="shared" si="6"/>
        <v>居住社区成熟度</v>
      </c>
      <c r="R15" s="1121" t="s">
        <v>2237</v>
      </c>
      <c r="S15" s="1122">
        <f t="shared" si="0"/>
        <v>100</v>
      </c>
      <c r="T15" s="1121" t="s">
        <v>2237</v>
      </c>
      <c r="U15" s="1122">
        <f t="shared" si="1"/>
        <v>100</v>
      </c>
      <c r="V15" s="1121" t="s">
        <v>2237</v>
      </c>
      <c r="W15" s="1122">
        <f t="shared" si="2"/>
        <v>100</v>
      </c>
      <c r="X15" s="1115"/>
      <c r="Y15" s="3527" t="s">
        <v>2249</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528"/>
      <c r="Q16" s="681"/>
      <c r="R16" s="1121"/>
      <c r="S16" s="1122"/>
      <c r="T16" s="1121"/>
      <c r="U16" s="1122"/>
      <c r="V16" s="1121"/>
      <c r="W16" s="1122"/>
      <c r="X16" s="1115"/>
      <c r="Y16" s="3528"/>
      <c r="Z16" s="1105"/>
      <c r="AA16" s="1132">
        <v>1</v>
      </c>
      <c r="AB16" s="1132">
        <v>1</v>
      </c>
      <c r="AC16" s="1132">
        <v>1</v>
      </c>
    </row>
    <row r="17" spans="1:29" ht="71.25">
      <c r="A17" s="946"/>
      <c r="B17" s="1256" t="s">
        <v>2317</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528"/>
      <c r="Q17" s="681" t="str">
        <f>B17</f>
        <v>商业繁华度</v>
      </c>
      <c r="R17" s="1121" t="s">
        <v>2237</v>
      </c>
      <c r="S17" s="1122">
        <f>F17</f>
        <v>100</v>
      </c>
      <c r="T17" s="1121" t="s">
        <v>2237</v>
      </c>
      <c r="U17" s="1122">
        <f>H17</f>
        <v>100</v>
      </c>
      <c r="V17" s="1121" t="s">
        <v>2237</v>
      </c>
      <c r="W17" s="1122">
        <f>J17</f>
        <v>100</v>
      </c>
      <c r="X17" s="1115"/>
      <c r="Y17" s="3528"/>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528"/>
      <c r="Q18" s="681"/>
      <c r="R18" s="1121"/>
      <c r="S18" s="1122"/>
      <c r="T18" s="1121"/>
      <c r="U18" s="1122"/>
      <c r="V18" s="1121"/>
      <c r="W18" s="1122"/>
      <c r="X18" s="1115"/>
      <c r="Y18" s="3528"/>
      <c r="Z18" s="1105"/>
      <c r="AA18" s="1132">
        <v>1</v>
      </c>
      <c r="AB18" s="1132">
        <v>1</v>
      </c>
      <c r="AC18" s="1132">
        <v>1</v>
      </c>
    </row>
    <row r="19" spans="1:29" ht="71.25">
      <c r="A19" s="946"/>
      <c r="B19" s="1256" t="s">
        <v>2330</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528"/>
      <c r="Q19" s="681" t="str">
        <f>B19</f>
        <v>办公集聚程度</v>
      </c>
      <c r="R19" s="1121" t="s">
        <v>2237</v>
      </c>
      <c r="S19" s="1122">
        <f>F19</f>
        <v>100</v>
      </c>
      <c r="T19" s="1121" t="s">
        <v>2237</v>
      </c>
      <c r="U19" s="1122">
        <f>H19</f>
        <v>100</v>
      </c>
      <c r="V19" s="1121" t="s">
        <v>2237</v>
      </c>
      <c r="W19" s="1122">
        <f>J19</f>
        <v>100</v>
      </c>
      <c r="X19" s="1115"/>
      <c r="Y19" s="3528"/>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528"/>
      <c r="Q20" s="681"/>
      <c r="R20" s="1121"/>
      <c r="S20" s="1122"/>
      <c r="T20" s="1121"/>
      <c r="U20" s="1122"/>
      <c r="V20" s="1121"/>
      <c r="W20" s="1122"/>
      <c r="X20" s="1115"/>
      <c r="Y20" s="3528"/>
      <c r="Z20" s="1105"/>
      <c r="AA20" s="1132">
        <v>1</v>
      </c>
      <c r="AB20" s="1132">
        <v>1</v>
      </c>
      <c r="AC20" s="1132">
        <v>1</v>
      </c>
    </row>
    <row r="21" spans="1:29" ht="85.5">
      <c r="A21" s="946"/>
      <c r="B21" s="1256" t="s">
        <v>2250</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528"/>
      <c r="Q21" s="681" t="str">
        <f>B21</f>
        <v>交通便捷度</v>
      </c>
      <c r="R21" s="1121" t="s">
        <v>2237</v>
      </c>
      <c r="S21" s="1122">
        <f>F21</f>
        <v>100</v>
      </c>
      <c r="T21" s="1121" t="s">
        <v>2237</v>
      </c>
      <c r="U21" s="1122">
        <f>H21</f>
        <v>100</v>
      </c>
      <c r="V21" s="1121" t="s">
        <v>2237</v>
      </c>
      <c r="W21" s="1122">
        <f>J21</f>
        <v>100</v>
      </c>
      <c r="X21" s="1115"/>
      <c r="Y21" s="3528"/>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528"/>
      <c r="Q22" s="681"/>
      <c r="R22" s="1121"/>
      <c r="S22" s="1122"/>
      <c r="T22" s="1121"/>
      <c r="U22" s="1122"/>
      <c r="V22" s="1121"/>
      <c r="W22" s="1122"/>
      <c r="X22" s="1115"/>
      <c r="Y22" s="3528"/>
      <c r="Z22" s="1105"/>
      <c r="AA22" s="1132">
        <v>1</v>
      </c>
      <c r="AB22" s="1132">
        <v>1</v>
      </c>
      <c r="AC22" s="1132">
        <v>1</v>
      </c>
    </row>
    <row r="23" spans="1:29" ht="15">
      <c r="A23" s="926"/>
      <c r="B23" s="1256" t="s">
        <v>2359</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528"/>
      <c r="Q23" s="681" t="str">
        <f t="shared" ref="Q23:Q38" si="8">B23</f>
        <v>区域土地利用方向</v>
      </c>
      <c r="R23" s="1121" t="s">
        <v>2237</v>
      </c>
      <c r="S23" s="1122">
        <f>F23</f>
        <v>100</v>
      </c>
      <c r="T23" s="1121" t="s">
        <v>2237</v>
      </c>
      <c r="U23" s="1122">
        <f>H23</f>
        <v>100</v>
      </c>
      <c r="V23" s="1121" t="s">
        <v>2237</v>
      </c>
      <c r="W23" s="1122">
        <f>J23</f>
        <v>100</v>
      </c>
      <c r="X23" s="1115"/>
      <c r="Y23" s="3528"/>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528"/>
      <c r="Q24" s="681"/>
      <c r="R24" s="1121"/>
      <c r="S24" s="1122"/>
      <c r="T24" s="1121"/>
      <c r="U24" s="1122"/>
      <c r="V24" s="1121"/>
      <c r="W24" s="1122"/>
      <c r="X24" s="1115"/>
      <c r="Y24" s="3528"/>
      <c r="Z24" s="1105"/>
      <c r="AA24" s="1132"/>
      <c r="AB24" s="1132"/>
      <c r="AC24" s="1132"/>
    </row>
    <row r="25" spans="1:29" ht="57">
      <c r="A25" s="926"/>
      <c r="B25" s="1260" t="s">
        <v>2360</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528"/>
      <c r="Q25" s="681" t="str">
        <f t="shared" si="8"/>
        <v>自然及人文环境状况</v>
      </c>
      <c r="R25" s="1121" t="s">
        <v>2237</v>
      </c>
      <c r="S25" s="1122">
        <f>F25</f>
        <v>100</v>
      </c>
      <c r="T25" s="1121" t="s">
        <v>2237</v>
      </c>
      <c r="U25" s="1122">
        <f>H25</f>
        <v>100</v>
      </c>
      <c r="V25" s="1121" t="s">
        <v>2237</v>
      </c>
      <c r="W25" s="1122">
        <f>J25</f>
        <v>100</v>
      </c>
      <c r="X25" s="1115"/>
      <c r="Y25" s="3528"/>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528"/>
      <c r="Q26" s="681"/>
      <c r="R26" s="1121"/>
      <c r="S26" s="1122"/>
      <c r="T26" s="1121"/>
      <c r="U26" s="1122"/>
      <c r="V26" s="1121"/>
      <c r="W26" s="1122"/>
      <c r="X26" s="1115"/>
      <c r="Y26" s="3528"/>
      <c r="Z26" s="1105"/>
      <c r="AA26" s="1132">
        <v>1</v>
      </c>
      <c r="AB26" s="1132">
        <v>1</v>
      </c>
      <c r="AC26" s="1132">
        <v>1</v>
      </c>
    </row>
    <row r="27" spans="1:29" s="905" customFormat="1" ht="42.75">
      <c r="A27" s="976"/>
      <c r="B27" s="1260" t="s">
        <v>2251</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528"/>
      <c r="Q27" s="1120" t="str">
        <f t="shared" si="8"/>
        <v>公共配套设施</v>
      </c>
      <c r="R27" s="1116" t="s">
        <v>2237</v>
      </c>
      <c r="S27" s="1117">
        <f>F27</f>
        <v>100</v>
      </c>
      <c r="T27" s="1116" t="s">
        <v>2237</v>
      </c>
      <c r="U27" s="1117">
        <f>H27</f>
        <v>100</v>
      </c>
      <c r="V27" s="1116" t="s">
        <v>2237</v>
      </c>
      <c r="W27" s="1117">
        <f>J27</f>
        <v>100</v>
      </c>
      <c r="X27" s="1118"/>
      <c r="Y27" s="3528"/>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528"/>
      <c r="Q28" s="1120"/>
      <c r="R28" s="1116"/>
      <c r="S28" s="1117"/>
      <c r="T28" s="1116"/>
      <c r="U28" s="1117"/>
      <c r="V28" s="1116"/>
      <c r="W28" s="1117"/>
      <c r="X28" s="1118"/>
      <c r="Y28" s="3528"/>
      <c r="Z28" s="1131"/>
      <c r="AA28" s="1132">
        <v>1</v>
      </c>
      <c r="AB28" s="1132">
        <v>1</v>
      </c>
      <c r="AC28" s="1132">
        <v>1</v>
      </c>
    </row>
    <row r="29" spans="1:29" s="905" customFormat="1" ht="28.5">
      <c r="A29" s="976"/>
      <c r="B29" s="1260" t="s">
        <v>2252</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528"/>
      <c r="Q29" s="1120" t="str">
        <f t="shared" ref="Q29" si="9">B29</f>
        <v>基础设施水平</v>
      </c>
      <c r="R29" s="1116" t="s">
        <v>2237</v>
      </c>
      <c r="S29" s="1117">
        <f>F29</f>
        <v>100</v>
      </c>
      <c r="T29" s="1116" t="s">
        <v>2237</v>
      </c>
      <c r="U29" s="1117">
        <f>H29</f>
        <v>100</v>
      </c>
      <c r="V29" s="1116" t="s">
        <v>2237</v>
      </c>
      <c r="W29" s="1117">
        <f>J29</f>
        <v>100</v>
      </c>
      <c r="X29" s="1118"/>
      <c r="Y29" s="3528"/>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528"/>
      <c r="Q30" s="1120"/>
      <c r="R30" s="1116"/>
      <c r="S30" s="1117"/>
      <c r="T30" s="1116"/>
      <c r="U30" s="1117"/>
      <c r="V30" s="1116"/>
      <c r="W30" s="1117"/>
      <c r="X30" s="1118"/>
      <c r="Y30" s="3528"/>
      <c r="Z30" s="1131"/>
      <c r="AA30" s="1132">
        <v>1</v>
      </c>
      <c r="AB30" s="1132">
        <v>1</v>
      </c>
      <c r="AC30" s="1132">
        <v>1</v>
      </c>
    </row>
    <row r="31" spans="1:29" ht="15">
      <c r="A31" s="946"/>
      <c r="B31" s="994" t="s">
        <v>2318</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528"/>
      <c r="Q31" s="681" t="str">
        <f t="shared" si="8"/>
        <v>临街状况</v>
      </c>
      <c r="R31" s="1121" t="s">
        <v>2237</v>
      </c>
      <c r="S31" s="1122">
        <f t="shared" ref="S31:S45" si="10">F31</f>
        <v>100</v>
      </c>
      <c r="T31" s="1121" t="s">
        <v>2237</v>
      </c>
      <c r="U31" s="1122">
        <f t="shared" ref="U31:U45" si="11">H31</f>
        <v>100</v>
      </c>
      <c r="V31" s="1121" t="s">
        <v>2237</v>
      </c>
      <c r="W31" s="1122">
        <f t="shared" ref="W31:W45" si="12">J31</f>
        <v>100</v>
      </c>
      <c r="X31" s="1115"/>
      <c r="Y31" s="3528"/>
      <c r="Z31" s="1105" t="str">
        <f t="shared" ref="Z31:Z45" si="13">Q31</f>
        <v>临街状况</v>
      </c>
      <c r="AA31" s="1132">
        <f t="shared" si="3"/>
        <v>1</v>
      </c>
      <c r="AB31" s="1132">
        <f t="shared" si="4"/>
        <v>1</v>
      </c>
      <c r="AC31" s="1132">
        <f t="shared" si="5"/>
        <v>1</v>
      </c>
    </row>
    <row r="32" spans="1:29" ht="27">
      <c r="A32" s="946"/>
      <c r="B32" s="1260" t="s">
        <v>2332</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528"/>
      <c r="Q32" s="681" t="str">
        <f t="shared" si="8"/>
        <v>毗邻道路的类型与等级</v>
      </c>
      <c r="R32" s="1121" t="s">
        <v>2237</v>
      </c>
      <c r="S32" s="1122">
        <f t="shared" si="10"/>
        <v>100</v>
      </c>
      <c r="T32" s="1121" t="s">
        <v>2237</v>
      </c>
      <c r="U32" s="1122">
        <f t="shared" si="11"/>
        <v>100</v>
      </c>
      <c r="V32" s="1121" t="s">
        <v>2237</v>
      </c>
      <c r="W32" s="1122">
        <f t="shared" si="12"/>
        <v>100</v>
      </c>
      <c r="X32" s="1115"/>
      <c r="Y32" s="3528"/>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528"/>
      <c r="Q33" s="681"/>
      <c r="R33" s="1121"/>
      <c r="S33" s="1122"/>
      <c r="T33" s="1121"/>
      <c r="U33" s="1122"/>
      <c r="V33" s="1121"/>
      <c r="W33" s="1122"/>
      <c r="X33" s="1115"/>
      <c r="Y33" s="3528"/>
      <c r="Z33" s="1105"/>
      <c r="AA33" s="1132">
        <v>1</v>
      </c>
      <c r="AB33" s="1132">
        <v>1</v>
      </c>
      <c r="AC33" s="1132">
        <v>1</v>
      </c>
    </row>
    <row r="34" spans="1:29" ht="15">
      <c r="A34" s="946"/>
      <c r="B34" s="943" t="s">
        <v>2361</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528"/>
      <c r="Q34" s="681" t="str">
        <f t="shared" si="8"/>
        <v>土地级别</v>
      </c>
      <c r="R34" s="1121" t="s">
        <v>2237</v>
      </c>
      <c r="S34" s="1122">
        <f t="shared" si="10"/>
        <v>100</v>
      </c>
      <c r="T34" s="1121" t="s">
        <v>2237</v>
      </c>
      <c r="U34" s="1122">
        <f t="shared" si="11"/>
        <v>100</v>
      </c>
      <c r="V34" s="1121" t="s">
        <v>2237</v>
      </c>
      <c r="W34" s="1122">
        <f t="shared" si="12"/>
        <v>100</v>
      </c>
      <c r="X34" s="1115"/>
      <c r="Y34" s="3528"/>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528"/>
      <c r="Q35" s="681">
        <f t="shared" si="8"/>
        <v>111</v>
      </c>
      <c r="R35" s="1121" t="s">
        <v>2237</v>
      </c>
      <c r="S35" s="1122">
        <f t="shared" si="10"/>
        <v>100</v>
      </c>
      <c r="T35" s="1121" t="s">
        <v>2237</v>
      </c>
      <c r="U35" s="1122">
        <f t="shared" si="11"/>
        <v>100</v>
      </c>
      <c r="V35" s="1121" t="s">
        <v>2237</v>
      </c>
      <c r="W35" s="1122">
        <f t="shared" si="12"/>
        <v>100</v>
      </c>
      <c r="X35" s="1115"/>
      <c r="Y35" s="3528"/>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59" t="s">
        <v>2258</v>
      </c>
      <c r="Q36" s="681">
        <f t="shared" si="8"/>
        <v>111</v>
      </c>
      <c r="R36" s="1121" t="s">
        <v>2237</v>
      </c>
      <c r="S36" s="1122">
        <f t="shared" si="10"/>
        <v>100</v>
      </c>
      <c r="T36" s="1121" t="s">
        <v>2237</v>
      </c>
      <c r="U36" s="1122">
        <f t="shared" si="11"/>
        <v>100</v>
      </c>
      <c r="V36" s="1121" t="s">
        <v>2237</v>
      </c>
      <c r="W36" s="1122">
        <f t="shared" si="12"/>
        <v>100</v>
      </c>
      <c r="X36" s="1115"/>
      <c r="Y36" s="3529" t="s">
        <v>2258</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529"/>
      <c r="Q37" s="681">
        <f t="shared" si="8"/>
        <v>111</v>
      </c>
      <c r="R37" s="1123" t="s">
        <v>2237</v>
      </c>
      <c r="S37" s="1124">
        <f t="shared" si="10"/>
        <v>100</v>
      </c>
      <c r="T37" s="1123" t="s">
        <v>2237</v>
      </c>
      <c r="U37" s="1124">
        <f t="shared" si="11"/>
        <v>100</v>
      </c>
      <c r="V37" s="1123" t="s">
        <v>2237</v>
      </c>
      <c r="W37" s="1124">
        <f t="shared" si="12"/>
        <v>100</v>
      </c>
      <c r="X37" s="1125"/>
      <c r="Y37" s="3529"/>
      <c r="Z37" s="1133">
        <f t="shared" si="13"/>
        <v>111</v>
      </c>
      <c r="AA37" s="1132">
        <f t="shared" si="3"/>
        <v>1</v>
      </c>
      <c r="AB37" s="1132">
        <f t="shared" si="4"/>
        <v>1</v>
      </c>
      <c r="AC37" s="1132">
        <f t="shared" si="5"/>
        <v>1</v>
      </c>
    </row>
    <row r="38" spans="1:29" ht="15">
      <c r="A38" s="997" t="s">
        <v>2256</v>
      </c>
      <c r="B38" s="994" t="s">
        <v>2362</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529"/>
      <c r="Q38" s="681" t="str">
        <f t="shared" si="8"/>
        <v>宗地面积</v>
      </c>
      <c r="R38" s="1121" t="s">
        <v>2237</v>
      </c>
      <c r="S38" s="1122" t="e">
        <f t="shared" si="10"/>
        <v>#N/A</v>
      </c>
      <c r="T38" s="1121" t="s">
        <v>2237</v>
      </c>
      <c r="U38" s="1122" t="e">
        <f t="shared" si="11"/>
        <v>#N/A</v>
      </c>
      <c r="V38" s="1121" t="s">
        <v>2237</v>
      </c>
      <c r="W38" s="1122" t="e">
        <f t="shared" si="12"/>
        <v>#N/A</v>
      </c>
      <c r="X38" s="1115"/>
      <c r="Y38" s="3529"/>
      <c r="Z38" s="1105" t="str">
        <f t="shared" si="13"/>
        <v>宗地面积</v>
      </c>
      <c r="AA38" s="1132" t="e">
        <f t="shared" si="3"/>
        <v>#N/A</v>
      </c>
      <c r="AB38" s="1132" t="e">
        <f t="shared" si="4"/>
        <v>#N/A</v>
      </c>
      <c r="AC38" s="1132" t="e">
        <f t="shared" si="5"/>
        <v>#N/A</v>
      </c>
    </row>
    <row r="39" spans="1:29" ht="15">
      <c r="A39" s="997"/>
      <c r="B39" s="943" t="s">
        <v>2363</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529"/>
      <c r="Q39" s="681" t="str">
        <f t="shared" ref="Q39:Q45" si="14">B39</f>
        <v>宗地形状</v>
      </c>
      <c r="R39" s="1121" t="s">
        <v>2237</v>
      </c>
      <c r="S39" s="1122">
        <f t="shared" si="10"/>
        <v>100</v>
      </c>
      <c r="T39" s="1121" t="s">
        <v>2237</v>
      </c>
      <c r="U39" s="1122">
        <f t="shared" si="11"/>
        <v>100</v>
      </c>
      <c r="V39" s="1121" t="s">
        <v>2237</v>
      </c>
      <c r="W39" s="1122">
        <f t="shared" si="12"/>
        <v>100</v>
      </c>
      <c r="X39" s="1115"/>
      <c r="Y39" s="3529"/>
      <c r="Z39" s="1105" t="str">
        <f t="shared" si="13"/>
        <v>宗地形状</v>
      </c>
      <c r="AA39" s="1132">
        <f t="shared" si="3"/>
        <v>1</v>
      </c>
      <c r="AB39" s="1132">
        <f t="shared" si="4"/>
        <v>1</v>
      </c>
      <c r="AC39" s="1132">
        <f t="shared" si="5"/>
        <v>1</v>
      </c>
    </row>
    <row r="40" spans="1:29" ht="15">
      <c r="A40" s="997"/>
      <c r="B40" s="943" t="s">
        <v>2364</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529"/>
      <c r="Q40" s="681" t="str">
        <f t="shared" si="14"/>
        <v>临街宽度及深度</v>
      </c>
      <c r="R40" s="1121" t="s">
        <v>2237</v>
      </c>
      <c r="S40" s="1122">
        <f t="shared" si="10"/>
        <v>100</v>
      </c>
      <c r="T40" s="1121" t="s">
        <v>2237</v>
      </c>
      <c r="U40" s="1122">
        <f t="shared" si="11"/>
        <v>100</v>
      </c>
      <c r="V40" s="1121" t="s">
        <v>2237</v>
      </c>
      <c r="W40" s="1122">
        <f t="shared" si="12"/>
        <v>100</v>
      </c>
      <c r="X40" s="1115"/>
      <c r="Y40" s="3529"/>
      <c r="Z40" s="1105" t="str">
        <f t="shared" si="13"/>
        <v>临街宽度及深度</v>
      </c>
      <c r="AA40" s="1132">
        <f t="shared" si="3"/>
        <v>1</v>
      </c>
      <c r="AB40" s="1132">
        <f t="shared" si="4"/>
        <v>1</v>
      </c>
      <c r="AC40" s="1132">
        <f t="shared" si="5"/>
        <v>1</v>
      </c>
    </row>
    <row r="41" spans="1:29" s="905" customFormat="1" ht="15">
      <c r="A41" s="999"/>
      <c r="B41" s="943" t="s">
        <v>2365</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529"/>
      <c r="Q41" s="681" t="str">
        <f t="shared" si="14"/>
        <v>宗地开发程度</v>
      </c>
      <c r="R41" s="1116" t="s">
        <v>2237</v>
      </c>
      <c r="S41" s="1117">
        <f t="shared" si="10"/>
        <v>100</v>
      </c>
      <c r="T41" s="1116" t="s">
        <v>2237</v>
      </c>
      <c r="U41" s="1117">
        <f t="shared" si="11"/>
        <v>100</v>
      </c>
      <c r="V41" s="1116" t="s">
        <v>2237</v>
      </c>
      <c r="W41" s="1117">
        <f t="shared" si="12"/>
        <v>100</v>
      </c>
      <c r="X41" s="1118"/>
      <c r="Y41" s="3529"/>
      <c r="Z41" s="1131" t="str">
        <f t="shared" si="13"/>
        <v>宗地开发程度</v>
      </c>
      <c r="AA41" s="1130">
        <f t="shared" si="3"/>
        <v>1</v>
      </c>
      <c r="AB41" s="1130">
        <f t="shared" si="4"/>
        <v>1</v>
      </c>
      <c r="AC41" s="1130">
        <f t="shared" si="5"/>
        <v>1</v>
      </c>
    </row>
    <row r="42" spans="1:29" ht="15">
      <c r="A42" s="997"/>
      <c r="B42" s="943" t="s">
        <v>2366</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529" t="s">
        <v>2258</v>
      </c>
      <c r="Q42" s="681" t="str">
        <f t="shared" si="14"/>
        <v>工程地质条件</v>
      </c>
      <c r="R42" s="1121" t="s">
        <v>2237</v>
      </c>
      <c r="S42" s="1122">
        <f t="shared" si="10"/>
        <v>100</v>
      </c>
      <c r="T42" s="1121" t="s">
        <v>2237</v>
      </c>
      <c r="U42" s="1122">
        <f t="shared" si="11"/>
        <v>100</v>
      </c>
      <c r="V42" s="1121" t="s">
        <v>2237</v>
      </c>
      <c r="W42" s="1122">
        <f t="shared" si="12"/>
        <v>100</v>
      </c>
      <c r="X42" s="1115"/>
      <c r="Y42" s="3529" t="s">
        <v>2258</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529"/>
      <c r="Q43" s="681">
        <f t="shared" si="14"/>
        <v>111</v>
      </c>
      <c r="R43" s="1121" t="s">
        <v>2237</v>
      </c>
      <c r="S43" s="1122">
        <f t="shared" si="10"/>
        <v>100</v>
      </c>
      <c r="T43" s="1121" t="s">
        <v>2237</v>
      </c>
      <c r="U43" s="1122">
        <f t="shared" si="11"/>
        <v>100</v>
      </c>
      <c r="V43" s="1121" t="s">
        <v>2237</v>
      </c>
      <c r="W43" s="1122">
        <f t="shared" si="12"/>
        <v>100</v>
      </c>
      <c r="X43" s="1115"/>
      <c r="Y43" s="3529"/>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529"/>
      <c r="Q44" s="681">
        <f t="shared" si="14"/>
        <v>111</v>
      </c>
      <c r="R44" s="1121" t="s">
        <v>2237</v>
      </c>
      <c r="S44" s="1122">
        <f t="shared" si="10"/>
        <v>100</v>
      </c>
      <c r="T44" s="1121" t="s">
        <v>2237</v>
      </c>
      <c r="U44" s="1122">
        <f t="shared" si="11"/>
        <v>100</v>
      </c>
      <c r="V44" s="1121" t="s">
        <v>2237</v>
      </c>
      <c r="W44" s="1122">
        <f t="shared" si="12"/>
        <v>100</v>
      </c>
      <c r="X44" s="1115"/>
      <c r="Y44" s="3529"/>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529"/>
      <c r="Q45" s="681">
        <f t="shared" si="14"/>
        <v>111</v>
      </c>
      <c r="R45" s="1123" t="s">
        <v>2237</v>
      </c>
      <c r="S45" s="1124">
        <f t="shared" si="10"/>
        <v>100</v>
      </c>
      <c r="T45" s="1123" t="s">
        <v>2237</v>
      </c>
      <c r="U45" s="1124">
        <f t="shared" si="11"/>
        <v>100</v>
      </c>
      <c r="V45" s="1123" t="s">
        <v>2237</v>
      </c>
      <c r="W45" s="1124">
        <f t="shared" si="12"/>
        <v>100</v>
      </c>
      <c r="X45" s="1125"/>
      <c r="Y45" s="3529"/>
      <c r="Z45" s="1133">
        <f t="shared" si="13"/>
        <v>111</v>
      </c>
      <c r="AA45" s="1132">
        <f t="shared" si="3"/>
        <v>1</v>
      </c>
      <c r="AB45" s="1132">
        <f t="shared" si="4"/>
        <v>1</v>
      </c>
      <c r="AC45" s="1132">
        <f t="shared" si="5"/>
        <v>1</v>
      </c>
    </row>
    <row r="46" spans="1:29" ht="15">
      <c r="A46" s="1004" t="s">
        <v>2349</v>
      </c>
      <c r="B46" s="1005" t="s">
        <v>2367</v>
      </c>
      <c r="C46" s="1006" t="s">
        <v>124</v>
      </c>
      <c r="D46" s="1007"/>
      <c r="E46" s="1008"/>
      <c r="F46" s="1009"/>
      <c r="G46" s="1010"/>
      <c r="H46" s="1011"/>
      <c r="I46" s="1008"/>
      <c r="J46" s="1011"/>
      <c r="K46" s="1096"/>
      <c r="L46" s="1097"/>
      <c r="M46" s="1021"/>
      <c r="N46" s="1073"/>
      <c r="O46" s="1021"/>
      <c r="P46" s="3514" t="str">
        <f>A46</f>
        <v>成交单价</v>
      </c>
      <c r="Q46" s="3514"/>
      <c r="R46" s="3513">
        <f>E46</f>
        <v>0</v>
      </c>
      <c r="S46" s="3513"/>
      <c r="T46" s="3513">
        <f>G46</f>
        <v>0</v>
      </c>
      <c r="U46" s="3513"/>
      <c r="V46" s="3513">
        <f>I46</f>
        <v>0</v>
      </c>
      <c r="W46" s="3513"/>
      <c r="X46" s="1061"/>
      <c r="Y46" s="1134"/>
      <c r="Z46" s="1061"/>
      <c r="AA46" s="1061"/>
      <c r="AB46" s="1061"/>
      <c r="AC46" s="1061"/>
    </row>
    <row r="47" spans="1:29" ht="15">
      <c r="A47" s="1012" t="s">
        <v>2270</v>
      </c>
      <c r="B47" s="1013"/>
      <c r="C47" s="1014" t="e">
        <f>R48</f>
        <v>#DIV/0!</v>
      </c>
      <c r="D47" s="1015" t="s">
        <v>2271</v>
      </c>
      <c r="E47" s="1014" t="e">
        <f>R47</f>
        <v>#DIV/0!</v>
      </c>
      <c r="F47" s="1016"/>
      <c r="G47" s="1017" t="e">
        <f>T47</f>
        <v>#DIV/0!</v>
      </c>
      <c r="H47" s="1016"/>
      <c r="I47" s="1014" t="e">
        <f>V47</f>
        <v>#DIV/0!</v>
      </c>
      <c r="J47" s="1016"/>
      <c r="K47" s="1098">
        <f>F47+H47+J47</f>
        <v>0</v>
      </c>
      <c r="L47" s="1097"/>
      <c r="M47" s="1021"/>
      <c r="N47" s="1021"/>
      <c r="O47" s="1021"/>
      <c r="P47" s="3514" t="str">
        <f>A47</f>
        <v>比较价值（元/平方米）</v>
      </c>
      <c r="Q47" s="3514"/>
      <c r="R47" s="3562" t="e">
        <f>ROUND(PRODUCT(R46,AA7:AA45),0)</f>
        <v>#DIV/0!</v>
      </c>
      <c r="S47" s="3562"/>
      <c r="T47" s="3562" t="e">
        <f>ROUND(PRODUCT(T46,AB7:AB45),0)</f>
        <v>#DIV/0!</v>
      </c>
      <c r="U47" s="3562"/>
      <c r="V47" s="3562" t="e">
        <f>ROUND(PRODUCT(V46,AC7:AC45),0)</f>
        <v>#DIV/0!</v>
      </c>
      <c r="W47" s="3562"/>
      <c r="X47" s="1061"/>
      <c r="Y47" s="1061"/>
      <c r="Z47" s="1061"/>
      <c r="AA47" s="1061"/>
      <c r="AB47" s="1061"/>
      <c r="AC47" s="1061"/>
    </row>
    <row r="48" spans="1:29" ht="15">
      <c r="A48" s="1018" t="s">
        <v>2368</v>
      </c>
      <c r="B48" s="1019"/>
      <c r="C48" s="1020" t="e">
        <f>R48</f>
        <v>#DIV/0!</v>
      </c>
      <c r="D48" s="1020"/>
      <c r="E48" s="1020"/>
      <c r="F48" s="1020"/>
      <c r="G48" s="1020"/>
      <c r="H48" s="1020"/>
      <c r="I48" s="1020"/>
      <c r="J48" s="1020"/>
      <c r="K48" s="1099"/>
      <c r="L48" s="1097"/>
      <c r="M48" s="1021"/>
      <c r="N48" s="1021"/>
      <c r="O48" s="1021"/>
      <c r="P48" s="3516" t="str">
        <f>A48</f>
        <v>估价对象XX用房的比较价值（楼面单价，元/平方米）</v>
      </c>
      <c r="Q48" s="3517"/>
      <c r="R48" s="3563" t="e">
        <f>ROUND(IF(D47="简单平均",AVERAGE(R47:W47),R47*F47+T47*H47+V47*J47),0)</f>
        <v>#DIV/0!</v>
      </c>
      <c r="S48" s="3563"/>
      <c r="T48" s="3563"/>
      <c r="U48" s="3563"/>
      <c r="V48" s="3563"/>
      <c r="W48" s="3563"/>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2273</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2274</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2275</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2369</v>
      </c>
      <c r="B55" s="1031" t="s">
        <v>2370</v>
      </c>
      <c r="C55" s="1032" t="s">
        <v>2371</v>
      </c>
      <c r="D55" s="1033" t="s">
        <v>2372</v>
      </c>
      <c r="E55" s="1034" t="s">
        <v>2373</v>
      </c>
      <c r="F55" s="1264" t="s">
        <v>2374</v>
      </c>
      <c r="G55" s="3536" t="s">
        <v>2375</v>
      </c>
      <c r="H55" s="3561"/>
      <c r="I55" s="1268" t="s">
        <v>2376</v>
      </c>
      <c r="J55" s="1269">
        <f>项目基本情况!F35</f>
        <v>0</v>
      </c>
      <c r="K55" s="1106" t="s">
        <v>2377</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2378</v>
      </c>
      <c r="B56" s="1037" t="e">
        <f>C48</f>
        <v>#DIV/0!</v>
      </c>
      <c r="C56" s="1038">
        <v>1</v>
      </c>
      <c r="D56" s="1039">
        <v>1</v>
      </c>
      <c r="E56" s="1038">
        <f>'数据-汇总表'!E8+'数据-汇总表'!E9</f>
        <v>0</v>
      </c>
      <c r="F56" s="1265" t="e">
        <f t="shared" ref="F56:F64" si="15">ROUND(B56*E56/10000,0)</f>
        <v>#DIV/0!</v>
      </c>
      <c r="G56" s="3521"/>
      <c r="H56" s="3514"/>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2379</v>
      </c>
      <c r="B57" s="167" t="e">
        <f>ROUND($C$48*C57*D57,0)</f>
        <v>#DIV/0!</v>
      </c>
      <c r="C57" s="626">
        <f t="shared" ref="C57:C64" si="16">IF($C$55="北京市系数",I57,J57)</f>
        <v>0.6</v>
      </c>
      <c r="D57" s="1042">
        <v>0.25</v>
      </c>
      <c r="E57" s="1043"/>
      <c r="F57" s="1265" t="e">
        <f t="shared" si="15"/>
        <v>#DIV/0!</v>
      </c>
      <c r="G57" s="1044" t="s">
        <v>2380</v>
      </c>
      <c r="H57" s="1045" t="str">
        <f>项目基本情况!B37</f>
        <v>三级</v>
      </c>
      <c r="I57" s="1270">
        <f>SUMIF(修正!A57:A68,H57,修正!B57:B68)</f>
        <v>0.6</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2381</v>
      </c>
      <c r="B58" s="167" t="e">
        <f t="shared" ref="B58:B64" si="17">ROUND($C$48*C58*D58,0)</f>
        <v>#DIV/0!</v>
      </c>
      <c r="C58" s="626">
        <f t="shared" si="16"/>
        <v>0.3</v>
      </c>
      <c r="D58" s="1042">
        <v>0.25</v>
      </c>
      <c r="E58" s="1043"/>
      <c r="F58" s="1265" t="e">
        <f t="shared" si="15"/>
        <v>#DIV/0!</v>
      </c>
      <c r="G58" s="1046"/>
      <c r="H58" s="1045" t="str">
        <f>项目基本情况!B37</f>
        <v>三级</v>
      </c>
      <c r="I58" s="1270">
        <f>SUMIF(修正!A57:A68,H58,修正!C57:C68)</f>
        <v>0.3</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2382</v>
      </c>
      <c r="B59" s="167" t="e">
        <f t="shared" si="17"/>
        <v>#DIV/0!</v>
      </c>
      <c r="C59" s="626">
        <f t="shared" si="16"/>
        <v>0.25</v>
      </c>
      <c r="D59" s="1042">
        <v>0.25</v>
      </c>
      <c r="E59" s="1043"/>
      <c r="F59" s="1265" t="e">
        <f t="shared" si="15"/>
        <v>#DIV/0!</v>
      </c>
      <c r="G59" s="1046"/>
      <c r="H59" s="1045" t="str">
        <f>项目基本情况!B37</f>
        <v>三级</v>
      </c>
      <c r="I59" s="1270">
        <f>SUMIF(修正!A57:A68,H59,修正!D57:D68)</f>
        <v>0.25</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2383</v>
      </c>
      <c r="B60" s="167" t="e">
        <f t="shared" si="17"/>
        <v>#DIV/0!</v>
      </c>
      <c r="C60" s="626">
        <f t="shared" si="16"/>
        <v>0</v>
      </c>
      <c r="D60" s="1042">
        <v>0.25</v>
      </c>
      <c r="E60" s="166">
        <f>'数据-汇总表'!E11</f>
        <v>0</v>
      </c>
      <c r="F60" s="1265" t="e">
        <f t="shared" si="15"/>
        <v>#DIV/0!</v>
      </c>
      <c r="G60" s="1048" t="s">
        <v>2384</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2385</v>
      </c>
      <c r="B61" s="167" t="e">
        <f t="shared" si="17"/>
        <v>#DIV/0!</v>
      </c>
      <c r="C61" s="626">
        <f t="shared" si="16"/>
        <v>0</v>
      </c>
      <c r="D61" s="1042">
        <v>0.25</v>
      </c>
      <c r="E61" s="166">
        <f>'数据-汇总表'!E12</f>
        <v>0</v>
      </c>
      <c r="F61" s="1265" t="e">
        <f t="shared" si="15"/>
        <v>#DIV/0!</v>
      </c>
      <c r="G61" s="1049" t="s">
        <v>2386</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2387</v>
      </c>
      <c r="B62" s="167" t="e">
        <f t="shared" si="17"/>
        <v>#DIV/0!</v>
      </c>
      <c r="C62" s="626">
        <f t="shared" si="16"/>
        <v>0</v>
      </c>
      <c r="D62" s="1042">
        <v>0.25</v>
      </c>
      <c r="E62" s="166">
        <f>'数据-汇总表'!E13</f>
        <v>0</v>
      </c>
      <c r="F62" s="1265" t="e">
        <f t="shared" si="15"/>
        <v>#DIV/0!</v>
      </c>
      <c r="G62" s="1049" t="s">
        <v>2388</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2389</v>
      </c>
      <c r="B63" s="167" t="e">
        <f t="shared" si="17"/>
        <v>#DIV/0!</v>
      </c>
      <c r="C63" s="626">
        <f t="shared" si="16"/>
        <v>0.15</v>
      </c>
      <c r="D63" s="1042">
        <v>0.25</v>
      </c>
      <c r="E63" s="166">
        <f>'数据-汇总表'!E14</f>
        <v>6064.29</v>
      </c>
      <c r="F63" s="1265" t="e">
        <f t="shared" si="15"/>
        <v>#DIV/0!</v>
      </c>
      <c r="G63" s="1048" t="s">
        <v>2380</v>
      </c>
      <c r="H63" s="1045" t="str">
        <f>项目基本情况!B37</f>
        <v>三级</v>
      </c>
      <c r="I63" s="1270">
        <f>SUMIF(修正!A57:A68,H63,修正!G57:G68)</f>
        <v>0.15</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2390</v>
      </c>
      <c r="B64" s="167" t="e">
        <f t="shared" si="17"/>
        <v>#DIV/0!</v>
      </c>
      <c r="C64" s="626">
        <f t="shared" si="16"/>
        <v>0</v>
      </c>
      <c r="D64" s="1042">
        <v>0.25</v>
      </c>
      <c r="E64" s="166">
        <f>'数据-汇总表'!E15</f>
        <v>0</v>
      </c>
      <c r="F64" s="1265" t="e">
        <f t="shared" si="15"/>
        <v>#DIV/0!</v>
      </c>
      <c r="G64" s="1050" t="s">
        <v>2384</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2391</v>
      </c>
      <c r="B65" s="1053" t="s">
        <v>2327</v>
      </c>
      <c r="C65" s="1053" t="s">
        <v>2327</v>
      </c>
      <c r="D65" s="1053" t="s">
        <v>2327</v>
      </c>
      <c r="E65" s="1053">
        <f>IF(B46="楼面地价",SUM(E56:E64),'数据-汇总表'!D3)</f>
        <v>6064.29</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2022-7-1</v>
      </c>
      <c r="D67" s="1059">
        <f>EDATE(C67,-3)</f>
        <v>44652</v>
      </c>
      <c r="E67" s="1059">
        <f>EDATE(D67,-3)</f>
        <v>44562</v>
      </c>
      <c r="F67" s="1059">
        <f t="shared" ref="F67:O67" si="18">EDATE(E67,-3)</f>
        <v>44470</v>
      </c>
      <c r="G67" s="1059">
        <f t="shared" si="18"/>
        <v>44378</v>
      </c>
      <c r="H67" s="1059">
        <f t="shared" si="18"/>
        <v>44287</v>
      </c>
      <c r="I67" s="1059">
        <f t="shared" si="18"/>
        <v>44197</v>
      </c>
      <c r="J67" s="1059">
        <f t="shared" si="18"/>
        <v>44105</v>
      </c>
      <c r="K67" s="1059">
        <f t="shared" si="18"/>
        <v>44013</v>
      </c>
      <c r="L67" s="1059">
        <f t="shared" si="18"/>
        <v>43922</v>
      </c>
      <c r="M67" s="1059">
        <f t="shared" si="18"/>
        <v>43831</v>
      </c>
      <c r="N67" s="1059">
        <f t="shared" si="18"/>
        <v>43739</v>
      </c>
      <c r="O67" s="1059">
        <f t="shared" si="18"/>
        <v>43647</v>
      </c>
      <c r="P67" s="1021"/>
      <c r="Q67" s="1021"/>
      <c r="R67" s="1021"/>
      <c r="S67" s="1021"/>
      <c r="T67" s="1021"/>
      <c r="U67" s="1021"/>
      <c r="V67" s="1021"/>
      <c r="W67" s="1021"/>
      <c r="X67" s="1021"/>
      <c r="Y67" s="1021"/>
      <c r="Z67" s="1021"/>
      <c r="AA67" s="1021"/>
      <c r="AB67" s="1021"/>
      <c r="AC67" s="1021"/>
    </row>
    <row r="68" spans="1:29" ht="21">
      <c r="A68" s="1060" t="s">
        <v>2276</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2392</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2393</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2277</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2238</v>
      </c>
      <c r="B72" s="1146"/>
      <c r="C72" s="1147" t="s">
        <v>2239</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2278</v>
      </c>
      <c r="B74" s="1152" t="s">
        <v>2242</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2245</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2246</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2247</v>
      </c>
      <c r="B87" s="1152" t="s">
        <v>2248</v>
      </c>
      <c r="C87" s="1173" t="s">
        <v>2286</v>
      </c>
      <c r="D87" s="1173" t="s">
        <v>2287</v>
      </c>
      <c r="E87" s="1173" t="s">
        <v>2288</v>
      </c>
      <c r="F87" s="1173" t="s">
        <v>2289</v>
      </c>
      <c r="G87" s="1173" t="s">
        <v>2290</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2317</v>
      </c>
      <c r="C89" s="1175" t="s">
        <v>2286</v>
      </c>
      <c r="D89" s="1175" t="s">
        <v>2287</v>
      </c>
      <c r="E89" s="1175" t="s">
        <v>2288</v>
      </c>
      <c r="F89" s="1175" t="s">
        <v>2289</v>
      </c>
      <c r="G89" s="1175" t="s">
        <v>2290</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2330</v>
      </c>
      <c r="C91" s="1175" t="s">
        <v>2286</v>
      </c>
      <c r="D91" s="1175" t="s">
        <v>2287</v>
      </c>
      <c r="E91" s="1175" t="s">
        <v>2288</v>
      </c>
      <c r="F91" s="1175" t="s">
        <v>2289</v>
      </c>
      <c r="G91" s="1175" t="s">
        <v>2290</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2250</v>
      </c>
      <c r="C93" s="1175" t="s">
        <v>2286</v>
      </c>
      <c r="D93" s="1175" t="s">
        <v>2287</v>
      </c>
      <c r="E93" s="1175" t="s">
        <v>2288</v>
      </c>
      <c r="F93" s="1175" t="s">
        <v>2289</v>
      </c>
      <c r="G93" s="1175" t="s">
        <v>2290</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2359</v>
      </c>
      <c r="C95" s="1175" t="s">
        <v>2286</v>
      </c>
      <c r="D95" s="1175" t="s">
        <v>2287</v>
      </c>
      <c r="E95" s="1175" t="s">
        <v>2288</v>
      </c>
      <c r="F95" s="1175" t="s">
        <v>2289</v>
      </c>
      <c r="G95" s="1175" t="s">
        <v>2290</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2360</v>
      </c>
      <c r="C97" s="1173" t="s">
        <v>2286</v>
      </c>
      <c r="D97" s="1173" t="s">
        <v>2287</v>
      </c>
      <c r="E97" s="1173" t="s">
        <v>2288</v>
      </c>
      <c r="F97" s="1173" t="s">
        <v>2289</v>
      </c>
      <c r="G97" s="1173" t="s">
        <v>2290</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2251</v>
      </c>
      <c r="C99" s="1173" t="s">
        <v>2286</v>
      </c>
      <c r="D99" s="1173" t="s">
        <v>2287</v>
      </c>
      <c r="E99" s="1173" t="s">
        <v>2288</v>
      </c>
      <c r="F99" s="1173" t="s">
        <v>2289</v>
      </c>
      <c r="G99" s="1173" t="s">
        <v>2290</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2252</v>
      </c>
      <c r="C101" s="1180" t="s">
        <v>2291</v>
      </c>
      <c r="D101" s="1180" t="s">
        <v>2292</v>
      </c>
      <c r="E101" s="1180" t="s">
        <v>2293</v>
      </c>
      <c r="F101" s="1180" t="s">
        <v>2294</v>
      </c>
      <c r="G101" s="1180" t="s">
        <v>2295</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2394</v>
      </c>
      <c r="D103" s="1157" t="s">
        <v>2395</v>
      </c>
      <c r="E103" s="1157" t="s">
        <v>2396</v>
      </c>
      <c r="F103" s="1157" t="s">
        <v>2397</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2332</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2361</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2256</v>
      </c>
      <c r="B115" s="1152" t="s">
        <v>2362</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2363</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2364</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2365</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2366</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2356</v>
      </c>
      <c r="B1" s="915"/>
      <c r="C1" s="916" t="s">
        <v>2336</v>
      </c>
      <c r="D1" s="917"/>
      <c r="E1" s="917"/>
      <c r="F1" s="918" t="s">
        <v>2220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915</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917</v>
      </c>
      <c r="B3" s="922" t="e">
        <f>ROUND(IF(D3="",B2*10000/'数据-汇总表'!E3,B2*10000/D3),0)</f>
        <v>#DIV/0!</v>
      </c>
      <c r="C3" s="153" t="s">
        <v>2221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2222</v>
      </c>
      <c r="B4" s="925"/>
      <c r="C4" s="3536" t="s">
        <v>2223</v>
      </c>
      <c r="D4" s="3537"/>
      <c r="E4" s="3538" t="s">
        <v>2224</v>
      </c>
      <c r="F4" s="3539"/>
      <c r="G4" s="3536" t="s">
        <v>2225</v>
      </c>
      <c r="H4" s="3537"/>
      <c r="I4" s="3536" t="s">
        <v>2226</v>
      </c>
      <c r="J4" s="3537"/>
      <c r="K4" s="1071" t="s">
        <v>2227</v>
      </c>
      <c r="L4" s="1072"/>
      <c r="M4" s="1073"/>
      <c r="N4" s="1073"/>
      <c r="O4" s="1073"/>
      <c r="P4" s="3501" t="s">
        <v>2228</v>
      </c>
      <c r="Q4" s="3502"/>
      <c r="R4" s="3507" t="s">
        <v>2224</v>
      </c>
      <c r="S4" s="3508"/>
      <c r="T4" s="3507" t="s">
        <v>2225</v>
      </c>
      <c r="U4" s="3508"/>
      <c r="V4" s="3513" t="s">
        <v>2226</v>
      </c>
      <c r="W4" s="3513"/>
      <c r="X4" s="1115"/>
      <c r="Y4" s="3507" t="s">
        <v>2228</v>
      </c>
      <c r="Z4" s="3508"/>
      <c r="AA4" s="3498" t="s">
        <v>2224</v>
      </c>
      <c r="AB4" s="3499" t="s">
        <v>2225</v>
      </c>
      <c r="AC4" s="3498" t="s">
        <v>2226</v>
      </c>
    </row>
    <row r="5" spans="1:29" ht="15">
      <c r="A5" s="926"/>
      <c r="B5" s="927"/>
      <c r="C5" s="3540" t="s">
        <v>2229</v>
      </c>
      <c r="D5" s="3541"/>
      <c r="E5" s="3542" t="s">
        <v>2230</v>
      </c>
      <c r="F5" s="3543"/>
      <c r="G5" s="3540" t="s">
        <v>2231</v>
      </c>
      <c r="H5" s="3541"/>
      <c r="I5" s="3540" t="s">
        <v>2232</v>
      </c>
      <c r="J5" s="3541"/>
      <c r="K5" s="1071"/>
      <c r="L5" s="1072"/>
      <c r="M5" s="1073"/>
      <c r="N5" s="1073"/>
      <c r="O5" s="1073"/>
      <c r="P5" s="3503"/>
      <c r="Q5" s="3504"/>
      <c r="R5" s="3509"/>
      <c r="S5" s="3510"/>
      <c r="T5" s="3509"/>
      <c r="U5" s="3510"/>
      <c r="V5" s="3513"/>
      <c r="W5" s="3513"/>
      <c r="X5" s="1115"/>
      <c r="Y5" s="3509"/>
      <c r="Z5" s="3510"/>
      <c r="AA5" s="3499"/>
      <c r="AB5" s="3499"/>
      <c r="AC5" s="3499"/>
    </row>
    <row r="6" spans="1:29" ht="15">
      <c r="A6" s="928"/>
      <c r="B6" s="929"/>
      <c r="C6" s="3564" t="s">
        <v>2398</v>
      </c>
      <c r="D6" s="3565"/>
      <c r="E6" s="3566" t="s">
        <v>2398</v>
      </c>
      <c r="F6" s="3567"/>
      <c r="G6" s="3564" t="s">
        <v>2398</v>
      </c>
      <c r="H6" s="3565"/>
      <c r="I6" s="3564" t="s">
        <v>2398</v>
      </c>
      <c r="J6" s="3565"/>
      <c r="K6" s="1071" t="s">
        <v>2234</v>
      </c>
      <c r="L6" s="1072"/>
      <c r="M6" s="1073"/>
      <c r="N6" s="1073"/>
      <c r="O6" s="1073"/>
      <c r="P6" s="3505"/>
      <c r="Q6" s="3506"/>
      <c r="R6" s="3509"/>
      <c r="S6" s="3510"/>
      <c r="T6" s="3511"/>
      <c r="U6" s="3512"/>
      <c r="V6" s="3513"/>
      <c r="W6" s="3513"/>
      <c r="X6" s="1115"/>
      <c r="Y6" s="3511"/>
      <c r="Z6" s="3512"/>
      <c r="AA6" s="3500"/>
      <c r="AB6" s="3500"/>
      <c r="AC6" s="3500"/>
    </row>
    <row r="7" spans="1:29" s="905" customFormat="1" ht="15">
      <c r="A7" s="930" t="s">
        <v>2235</v>
      </c>
      <c r="B7" s="931"/>
      <c r="C7" s="932">
        <f>'数据-取费表'!B2</f>
        <v>44755</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519" t="s">
        <v>2236</v>
      </c>
      <c r="Q7" s="3535"/>
      <c r="R7" s="1116" t="s">
        <v>2237</v>
      </c>
      <c r="S7" s="1117">
        <f t="shared" ref="S7:S15" si="0">F7</f>
        <v>0</v>
      </c>
      <c r="T7" s="1116" t="s">
        <v>2237</v>
      </c>
      <c r="U7" s="1117">
        <f t="shared" ref="U7:U15" si="1">H7</f>
        <v>0</v>
      </c>
      <c r="V7" s="1116" t="s">
        <v>2237</v>
      </c>
      <c r="W7" s="1117">
        <f t="shared" ref="W7:W15" si="2">J7</f>
        <v>0</v>
      </c>
      <c r="X7" s="1118"/>
      <c r="Y7" s="3519" t="s">
        <v>2236</v>
      </c>
      <c r="Z7" s="3520"/>
      <c r="AA7" s="1130" t="e">
        <f>D7/F7</f>
        <v>#DIV/0!</v>
      </c>
      <c r="AB7" s="1130" t="e">
        <f>D7/H7</f>
        <v>#DIV/0!</v>
      </c>
      <c r="AC7" s="1130" t="e">
        <f>D7/J7</f>
        <v>#DIV/0!</v>
      </c>
    </row>
    <row r="8" spans="1:29" s="905" customFormat="1" ht="15">
      <c r="A8" s="930" t="s">
        <v>2238</v>
      </c>
      <c r="B8" s="931"/>
      <c r="C8" s="937" t="s">
        <v>2239</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519" t="s">
        <v>2240</v>
      </c>
      <c r="Q8" s="3520"/>
      <c r="R8" s="1116" t="s">
        <v>2237</v>
      </c>
      <c r="S8" s="1117">
        <f t="shared" si="0"/>
        <v>0</v>
      </c>
      <c r="T8" s="1116" t="s">
        <v>2237</v>
      </c>
      <c r="U8" s="1117">
        <f t="shared" si="1"/>
        <v>0</v>
      </c>
      <c r="V8" s="1116" t="s">
        <v>2237</v>
      </c>
      <c r="W8" s="1117">
        <f t="shared" si="2"/>
        <v>0</v>
      </c>
      <c r="X8" s="1118"/>
      <c r="Y8" s="3519" t="s">
        <v>2240</v>
      </c>
      <c r="Z8" s="3520"/>
      <c r="AA8" s="1130" t="e">
        <f t="shared" ref="AA8:AA40" si="3">D8/F8</f>
        <v>#DIV/0!</v>
      </c>
      <c r="AB8" s="1130" t="e">
        <f t="shared" ref="AB8:AB40" si="4">D8/H8</f>
        <v>#DIV/0!</v>
      </c>
      <c r="AC8" s="1130" t="e">
        <f t="shared" ref="AC8:AC40" si="5">D8/J8</f>
        <v>#DIV/0!</v>
      </c>
    </row>
    <row r="9" spans="1:29" s="905" customFormat="1">
      <c r="A9" s="938" t="s">
        <v>2241</v>
      </c>
      <c r="B9" s="939" t="s">
        <v>2242</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514" t="s">
        <v>2243</v>
      </c>
      <c r="Q9" s="1120" t="str">
        <f t="shared" ref="Q9:Q15" si="6">B9</f>
        <v>用途</v>
      </c>
      <c r="R9" s="1116" t="s">
        <v>2237</v>
      </c>
      <c r="S9" s="1117">
        <f t="shared" si="0"/>
        <v>100</v>
      </c>
      <c r="T9" s="1116" t="s">
        <v>2237</v>
      </c>
      <c r="U9" s="1117">
        <f t="shared" si="1"/>
        <v>100</v>
      </c>
      <c r="V9" s="1116" t="s">
        <v>2237</v>
      </c>
      <c r="W9" s="1117">
        <f t="shared" si="2"/>
        <v>100</v>
      </c>
      <c r="X9" s="1118"/>
      <c r="Y9" s="3380" t="s">
        <v>2244</v>
      </c>
      <c r="Z9" s="1131" t="str">
        <f t="shared" ref="Z9:Z15" si="7">Q9</f>
        <v>用途</v>
      </c>
      <c r="AA9" s="1130">
        <f t="shared" si="3"/>
        <v>1</v>
      </c>
      <c r="AB9" s="1130">
        <f t="shared" si="4"/>
        <v>1</v>
      </c>
      <c r="AC9" s="1130">
        <f t="shared" si="5"/>
        <v>1</v>
      </c>
    </row>
    <row r="10" spans="1:29" s="906" customFormat="1" ht="27">
      <c r="A10" s="942"/>
      <c r="B10" s="943" t="s">
        <v>2245</v>
      </c>
      <c r="C10" s="944"/>
      <c r="D10" s="945">
        <v>100</v>
      </c>
      <c r="E10" s="944"/>
      <c r="F10" s="945">
        <f>ROUND(100/'数据-取费表'!G16,0)</f>
        <v>153</v>
      </c>
      <c r="G10" s="944"/>
      <c r="H10" s="945">
        <f>ROUND(100/'数据-取费表'!G16,0)</f>
        <v>153</v>
      </c>
      <c r="I10" s="944"/>
      <c r="J10" s="945">
        <f>ROUND(100/'数据-取费表'!G16,0)</f>
        <v>153</v>
      </c>
      <c r="K10" s="1078"/>
      <c r="L10" s="1079"/>
      <c r="M10" s="1080"/>
      <c r="N10" s="1080"/>
      <c r="O10" s="1081"/>
      <c r="P10" s="3514"/>
      <c r="Q10" s="1120" t="str">
        <f t="shared" si="6"/>
        <v>土地使用年限（年）</v>
      </c>
      <c r="R10" s="1116" t="s">
        <v>2237</v>
      </c>
      <c r="S10" s="1117">
        <f t="shared" si="0"/>
        <v>153</v>
      </c>
      <c r="T10" s="1116" t="s">
        <v>2237</v>
      </c>
      <c r="U10" s="1117">
        <f t="shared" si="1"/>
        <v>153</v>
      </c>
      <c r="V10" s="1116" t="s">
        <v>2237</v>
      </c>
      <c r="W10" s="1117">
        <f t="shared" si="2"/>
        <v>153</v>
      </c>
      <c r="X10" s="1118"/>
      <c r="Y10" s="3380"/>
      <c r="Z10" s="1131" t="str">
        <f t="shared" si="7"/>
        <v>土地使用年限（年）</v>
      </c>
      <c r="AA10" s="1130">
        <f t="shared" si="3"/>
        <v>0.65359477124183007</v>
      </c>
      <c r="AB10" s="1130">
        <f t="shared" si="4"/>
        <v>0.65359477124183007</v>
      </c>
      <c r="AC10" s="1130">
        <f t="shared" si="5"/>
        <v>0.65359477124183007</v>
      </c>
    </row>
    <row r="11" spans="1:29" ht="15">
      <c r="A11" s="946"/>
      <c r="B11" s="943" t="s">
        <v>2246</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514"/>
      <c r="Q11" s="1120" t="str">
        <f t="shared" si="6"/>
        <v>容积率</v>
      </c>
      <c r="R11" s="1116" t="s">
        <v>2237</v>
      </c>
      <c r="S11" s="1117" t="e">
        <f t="shared" si="0"/>
        <v>#N/A</v>
      </c>
      <c r="T11" s="1116" t="s">
        <v>2237</v>
      </c>
      <c r="U11" s="1117" t="e">
        <f t="shared" si="1"/>
        <v>#N/A</v>
      </c>
      <c r="V11" s="1116" t="s">
        <v>2237</v>
      </c>
      <c r="W11" s="1117" t="e">
        <f t="shared" si="2"/>
        <v>#N/A</v>
      </c>
      <c r="X11" s="1118"/>
      <c r="Y11" s="338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514"/>
      <c r="Q12" s="1120">
        <f t="shared" si="6"/>
        <v>111</v>
      </c>
      <c r="R12" s="1116" t="s">
        <v>2237</v>
      </c>
      <c r="S12" s="1117">
        <f t="shared" si="0"/>
        <v>100</v>
      </c>
      <c r="T12" s="1116" t="s">
        <v>2237</v>
      </c>
      <c r="U12" s="1117">
        <f t="shared" si="1"/>
        <v>100</v>
      </c>
      <c r="V12" s="1116" t="s">
        <v>2237</v>
      </c>
      <c r="W12" s="1117">
        <f t="shared" si="2"/>
        <v>100</v>
      </c>
      <c r="X12" s="1118"/>
      <c r="Y12" s="3380"/>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514"/>
      <c r="Q13" s="1120">
        <f t="shared" si="6"/>
        <v>111</v>
      </c>
      <c r="R13" s="1116" t="s">
        <v>2237</v>
      </c>
      <c r="S13" s="1117">
        <f t="shared" si="0"/>
        <v>100</v>
      </c>
      <c r="T13" s="1116" t="s">
        <v>2237</v>
      </c>
      <c r="U13" s="1117">
        <f t="shared" si="1"/>
        <v>100</v>
      </c>
      <c r="V13" s="1116" t="s">
        <v>2237</v>
      </c>
      <c r="W13" s="1117">
        <f t="shared" si="2"/>
        <v>100</v>
      </c>
      <c r="X13" s="1118"/>
      <c r="Y13" s="3380"/>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514"/>
      <c r="Q14" s="1120">
        <f t="shared" si="6"/>
        <v>111</v>
      </c>
      <c r="R14" s="1116" t="s">
        <v>2237</v>
      </c>
      <c r="S14" s="1117">
        <f t="shared" si="0"/>
        <v>100</v>
      </c>
      <c r="T14" s="1116" t="s">
        <v>2237</v>
      </c>
      <c r="U14" s="1117">
        <f t="shared" si="1"/>
        <v>100</v>
      </c>
      <c r="V14" s="1116" t="s">
        <v>2237</v>
      </c>
      <c r="W14" s="1117">
        <f t="shared" si="2"/>
        <v>100</v>
      </c>
      <c r="X14" s="1118"/>
      <c r="Y14" s="3380"/>
      <c r="Z14" s="1131">
        <f t="shared" si="7"/>
        <v>111</v>
      </c>
      <c r="AA14" s="1130">
        <f t="shared" si="3"/>
        <v>1</v>
      </c>
      <c r="AB14" s="1130">
        <f t="shared" si="4"/>
        <v>1</v>
      </c>
      <c r="AC14" s="1130">
        <f t="shared" si="5"/>
        <v>1</v>
      </c>
    </row>
    <row r="15" spans="1:29" ht="57">
      <c r="A15" s="960" t="s">
        <v>2247</v>
      </c>
      <c r="B15" s="961" t="s">
        <v>2337</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527" t="s">
        <v>2249</v>
      </c>
      <c r="Q15" s="681" t="str">
        <f t="shared" si="6"/>
        <v>产业集聚程度</v>
      </c>
      <c r="R15" s="1121" t="s">
        <v>2237</v>
      </c>
      <c r="S15" s="1122">
        <f t="shared" si="0"/>
        <v>100</v>
      </c>
      <c r="T15" s="1121" t="s">
        <v>2237</v>
      </c>
      <c r="U15" s="1122">
        <f t="shared" si="1"/>
        <v>100</v>
      </c>
      <c r="V15" s="1121" t="s">
        <v>2237</v>
      </c>
      <c r="W15" s="1122">
        <f t="shared" si="2"/>
        <v>100</v>
      </c>
      <c r="X15" s="1115"/>
      <c r="Y15" s="3527" t="s">
        <v>2249</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528"/>
      <c r="Q16" s="681"/>
      <c r="R16" s="1121"/>
      <c r="S16" s="1122"/>
      <c r="T16" s="1121"/>
      <c r="U16" s="1122"/>
      <c r="V16" s="1121"/>
      <c r="W16" s="1122"/>
      <c r="X16" s="1115"/>
      <c r="Y16" s="3528"/>
      <c r="Z16" s="1105"/>
      <c r="AA16" s="1132">
        <v>1</v>
      </c>
      <c r="AB16" s="1132">
        <v>1</v>
      </c>
      <c r="AC16" s="1132">
        <v>1</v>
      </c>
    </row>
    <row r="17" spans="1:29" ht="85.5">
      <c r="A17" s="946"/>
      <c r="B17" s="970" t="s">
        <v>2250</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528"/>
      <c r="Q17" s="681" t="str">
        <f>B17</f>
        <v>交通便捷度</v>
      </c>
      <c r="R17" s="1121" t="s">
        <v>2237</v>
      </c>
      <c r="S17" s="1122">
        <f>F17</f>
        <v>100</v>
      </c>
      <c r="T17" s="1121" t="s">
        <v>2237</v>
      </c>
      <c r="U17" s="1122">
        <f>H17</f>
        <v>100</v>
      </c>
      <c r="V17" s="1121" t="s">
        <v>2237</v>
      </c>
      <c r="W17" s="1122">
        <f>J17</f>
        <v>100</v>
      </c>
      <c r="X17" s="1115"/>
      <c r="Y17" s="3528"/>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528"/>
      <c r="Q18" s="681"/>
      <c r="R18" s="1121"/>
      <c r="S18" s="1122"/>
      <c r="T18" s="1121"/>
      <c r="U18" s="1122"/>
      <c r="V18" s="1121"/>
      <c r="W18" s="1122"/>
      <c r="X18" s="1115"/>
      <c r="Y18" s="3528"/>
      <c r="Z18" s="1105"/>
      <c r="AA18" s="1132">
        <v>1</v>
      </c>
      <c r="AB18" s="1132">
        <v>1</v>
      </c>
      <c r="AC18" s="1132">
        <v>1</v>
      </c>
    </row>
    <row r="19" spans="1:29" ht="15">
      <c r="A19" s="946"/>
      <c r="B19" s="970" t="s">
        <v>2359</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528"/>
      <c r="Q19" s="681" t="str">
        <f t="shared" ref="Q19:Q34" si="8">B19</f>
        <v>区域土地利用方向</v>
      </c>
      <c r="R19" s="1121" t="s">
        <v>2237</v>
      </c>
      <c r="S19" s="1122">
        <f>F19</f>
        <v>100</v>
      </c>
      <c r="T19" s="1121" t="s">
        <v>2237</v>
      </c>
      <c r="U19" s="1122">
        <f>H19</f>
        <v>100</v>
      </c>
      <c r="V19" s="1121" t="s">
        <v>2237</v>
      </c>
      <c r="W19" s="1122">
        <f>J19</f>
        <v>100</v>
      </c>
      <c r="X19" s="1115"/>
      <c r="Y19" s="3528"/>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528"/>
      <c r="Q20" s="681"/>
      <c r="R20" s="1121"/>
      <c r="S20" s="1122"/>
      <c r="T20" s="1121"/>
      <c r="U20" s="1122"/>
      <c r="V20" s="1121"/>
      <c r="W20" s="1122"/>
      <c r="X20" s="1115"/>
      <c r="Y20" s="3528"/>
      <c r="Z20" s="1105"/>
      <c r="AA20" s="1132"/>
      <c r="AB20" s="1132"/>
      <c r="AC20" s="1132"/>
    </row>
    <row r="21" spans="1:29" ht="71.25">
      <c r="A21" s="926"/>
      <c r="B21" s="970" t="s">
        <v>2399</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528"/>
      <c r="Q21" s="681" t="str">
        <f t="shared" si="8"/>
        <v>环境状况</v>
      </c>
      <c r="R21" s="1121" t="s">
        <v>2237</v>
      </c>
      <c r="S21" s="1122">
        <f>F21</f>
        <v>100</v>
      </c>
      <c r="T21" s="1121" t="s">
        <v>2237</v>
      </c>
      <c r="U21" s="1122">
        <f>H21</f>
        <v>100</v>
      </c>
      <c r="V21" s="1121" t="s">
        <v>2237</v>
      </c>
      <c r="W21" s="1122">
        <f>J21</f>
        <v>100</v>
      </c>
      <c r="X21" s="1115"/>
      <c r="Y21" s="3528"/>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528"/>
      <c r="Q22" s="681"/>
      <c r="R22" s="1121"/>
      <c r="S22" s="1122"/>
      <c r="T22" s="1121"/>
      <c r="U22" s="1122"/>
      <c r="V22" s="1121"/>
      <c r="W22" s="1122"/>
      <c r="X22" s="1115"/>
      <c r="Y22" s="3528"/>
      <c r="Z22" s="1105"/>
      <c r="AA22" s="1132">
        <v>1</v>
      </c>
      <c r="AB22" s="1132">
        <v>1</v>
      </c>
      <c r="AC22" s="1132">
        <v>1</v>
      </c>
    </row>
    <row r="23" spans="1:29" s="905" customFormat="1" ht="42.75">
      <c r="A23" s="976"/>
      <c r="B23" s="977" t="s">
        <v>2251</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528"/>
      <c r="Q23" s="1120" t="str">
        <f t="shared" si="8"/>
        <v>公共配套设施</v>
      </c>
      <c r="R23" s="1116" t="s">
        <v>2237</v>
      </c>
      <c r="S23" s="1117">
        <f>F23</f>
        <v>100</v>
      </c>
      <c r="T23" s="1116" t="s">
        <v>2237</v>
      </c>
      <c r="U23" s="1117">
        <f>H23</f>
        <v>100</v>
      </c>
      <c r="V23" s="1116" t="s">
        <v>2237</v>
      </c>
      <c r="W23" s="1117">
        <f>J23</f>
        <v>100</v>
      </c>
      <c r="X23" s="1118"/>
      <c r="Y23" s="3528"/>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528"/>
      <c r="Q24" s="1120"/>
      <c r="R24" s="1116"/>
      <c r="S24" s="1117"/>
      <c r="T24" s="1116"/>
      <c r="U24" s="1117"/>
      <c r="V24" s="1116"/>
      <c r="W24" s="1117"/>
      <c r="X24" s="1118"/>
      <c r="Y24" s="3528"/>
      <c r="Z24" s="1131"/>
      <c r="AA24" s="1130">
        <v>1</v>
      </c>
      <c r="AB24" s="1130">
        <v>1</v>
      </c>
      <c r="AC24" s="1130">
        <v>1</v>
      </c>
    </row>
    <row r="25" spans="1:29" s="905" customFormat="1" ht="28.5">
      <c r="A25" s="976"/>
      <c r="B25" s="977" t="s">
        <v>2252</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528"/>
      <c r="Q25" s="1120" t="str">
        <f t="shared" ref="Q25" si="9">B25</f>
        <v>基础设施水平</v>
      </c>
      <c r="R25" s="1116" t="s">
        <v>2237</v>
      </c>
      <c r="S25" s="1117">
        <f>F25</f>
        <v>100</v>
      </c>
      <c r="T25" s="1116" t="s">
        <v>2237</v>
      </c>
      <c r="U25" s="1117">
        <f>H25</f>
        <v>100</v>
      </c>
      <c r="V25" s="1116" t="s">
        <v>2237</v>
      </c>
      <c r="W25" s="1117">
        <f>J25</f>
        <v>100</v>
      </c>
      <c r="X25" s="1118"/>
      <c r="Y25" s="3528"/>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528"/>
      <c r="Q26" s="1120"/>
      <c r="R26" s="1116"/>
      <c r="S26" s="1117"/>
      <c r="T26" s="1116"/>
      <c r="U26" s="1117"/>
      <c r="V26" s="1116"/>
      <c r="W26" s="1117"/>
      <c r="X26" s="1118"/>
      <c r="Y26" s="3528"/>
      <c r="Z26" s="1131"/>
      <c r="AA26" s="1130">
        <v>1</v>
      </c>
      <c r="AB26" s="1130">
        <v>1</v>
      </c>
      <c r="AC26" s="1130">
        <v>1</v>
      </c>
    </row>
    <row r="27" spans="1:29" ht="15">
      <c r="A27" s="946"/>
      <c r="B27" s="974" t="s">
        <v>2318</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528"/>
      <c r="Q27" s="681" t="str">
        <f t="shared" si="8"/>
        <v>临街状况</v>
      </c>
      <c r="R27" s="1121" t="s">
        <v>2237</v>
      </c>
      <c r="S27" s="1122">
        <f t="shared" ref="S27:S40" si="10">F27</f>
        <v>100</v>
      </c>
      <c r="T27" s="1121" t="s">
        <v>2237</v>
      </c>
      <c r="U27" s="1122">
        <f t="shared" ref="U27:U40" si="11">H27</f>
        <v>100</v>
      </c>
      <c r="V27" s="1121" t="s">
        <v>2237</v>
      </c>
      <c r="W27" s="1122">
        <f t="shared" ref="W27:W40" si="12">J27</f>
        <v>100</v>
      </c>
      <c r="X27" s="1115"/>
      <c r="Y27" s="3528"/>
      <c r="Z27" s="1105" t="str">
        <f t="shared" ref="Z27:Z40" si="13">Q27</f>
        <v>临街状况</v>
      </c>
      <c r="AA27" s="1132">
        <f t="shared" si="3"/>
        <v>1</v>
      </c>
      <c r="AB27" s="1132">
        <f t="shared" si="4"/>
        <v>1</v>
      </c>
      <c r="AC27" s="1132">
        <f t="shared" si="5"/>
        <v>1</v>
      </c>
    </row>
    <row r="28" spans="1:29" ht="27">
      <c r="A28" s="946"/>
      <c r="B28" s="977" t="s">
        <v>2332</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528"/>
      <c r="Q28" s="681" t="str">
        <f t="shared" si="8"/>
        <v>毗邻道路的类型与等级</v>
      </c>
      <c r="R28" s="1121" t="s">
        <v>2237</v>
      </c>
      <c r="S28" s="1122">
        <f t="shared" si="10"/>
        <v>100</v>
      </c>
      <c r="T28" s="1121" t="s">
        <v>2237</v>
      </c>
      <c r="U28" s="1122">
        <f t="shared" si="11"/>
        <v>100</v>
      </c>
      <c r="V28" s="1121" t="s">
        <v>2237</v>
      </c>
      <c r="W28" s="1122">
        <f t="shared" si="12"/>
        <v>100</v>
      </c>
      <c r="X28" s="1115"/>
      <c r="Y28" s="3528"/>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528"/>
      <c r="Q29" s="681"/>
      <c r="R29" s="1121"/>
      <c r="S29" s="1122"/>
      <c r="T29" s="1121"/>
      <c r="U29" s="1122"/>
      <c r="V29" s="1121"/>
      <c r="W29" s="1122"/>
      <c r="X29" s="1115"/>
      <c r="Y29" s="3528"/>
      <c r="Z29" s="1105"/>
      <c r="AA29" s="1132">
        <v>1</v>
      </c>
      <c r="AB29" s="1132">
        <v>1</v>
      </c>
      <c r="AC29" s="1132">
        <v>1</v>
      </c>
    </row>
    <row r="30" spans="1:29" ht="15">
      <c r="A30" s="946"/>
      <c r="B30" s="983" t="s">
        <v>2361</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528"/>
      <c r="Q30" s="681" t="str">
        <f t="shared" si="8"/>
        <v>土地级别</v>
      </c>
      <c r="R30" s="1121" t="s">
        <v>2237</v>
      </c>
      <c r="S30" s="1122">
        <f t="shared" si="10"/>
        <v>100</v>
      </c>
      <c r="T30" s="1121" t="s">
        <v>2237</v>
      </c>
      <c r="U30" s="1122">
        <f t="shared" si="11"/>
        <v>100</v>
      </c>
      <c r="V30" s="1121" t="s">
        <v>2237</v>
      </c>
      <c r="W30" s="1122">
        <f t="shared" si="12"/>
        <v>100</v>
      </c>
      <c r="X30" s="1115"/>
      <c r="Y30" s="3528"/>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528"/>
      <c r="Q31" s="681">
        <f t="shared" si="8"/>
        <v>111</v>
      </c>
      <c r="R31" s="1121" t="s">
        <v>2237</v>
      </c>
      <c r="S31" s="1122">
        <f t="shared" si="10"/>
        <v>100</v>
      </c>
      <c r="T31" s="1121" t="s">
        <v>2237</v>
      </c>
      <c r="U31" s="1122">
        <f t="shared" si="11"/>
        <v>100</v>
      </c>
      <c r="V31" s="1121" t="s">
        <v>2237</v>
      </c>
      <c r="W31" s="1122">
        <f t="shared" si="12"/>
        <v>100</v>
      </c>
      <c r="X31" s="1115"/>
      <c r="Y31" s="3528"/>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59" t="s">
        <v>2258</v>
      </c>
      <c r="Q32" s="681">
        <f t="shared" si="8"/>
        <v>111</v>
      </c>
      <c r="R32" s="1121" t="s">
        <v>2237</v>
      </c>
      <c r="S32" s="1122">
        <f t="shared" si="10"/>
        <v>100</v>
      </c>
      <c r="T32" s="1121" t="s">
        <v>2237</v>
      </c>
      <c r="U32" s="1122">
        <f t="shared" si="11"/>
        <v>100</v>
      </c>
      <c r="V32" s="1121" t="s">
        <v>2237</v>
      </c>
      <c r="W32" s="1122">
        <f t="shared" si="12"/>
        <v>100</v>
      </c>
      <c r="X32" s="1115"/>
      <c r="Y32" s="3529" t="s">
        <v>2258</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529"/>
      <c r="Q33" s="681">
        <f t="shared" si="8"/>
        <v>111</v>
      </c>
      <c r="R33" s="1123" t="s">
        <v>2237</v>
      </c>
      <c r="S33" s="1124">
        <f t="shared" si="10"/>
        <v>100</v>
      </c>
      <c r="T33" s="1123" t="s">
        <v>2237</v>
      </c>
      <c r="U33" s="1124">
        <f t="shared" si="11"/>
        <v>100</v>
      </c>
      <c r="V33" s="1123" t="s">
        <v>2237</v>
      </c>
      <c r="W33" s="1124">
        <f t="shared" si="12"/>
        <v>100</v>
      </c>
      <c r="X33" s="1125"/>
      <c r="Y33" s="3529"/>
      <c r="Z33" s="1133">
        <f t="shared" si="13"/>
        <v>111</v>
      </c>
      <c r="AA33" s="1132">
        <f t="shared" si="3"/>
        <v>1</v>
      </c>
      <c r="AB33" s="1132">
        <f t="shared" si="4"/>
        <v>1</v>
      </c>
      <c r="AC33" s="1132">
        <f t="shared" si="5"/>
        <v>1</v>
      </c>
    </row>
    <row r="34" spans="1:31" ht="15">
      <c r="A34" s="960" t="s">
        <v>2256</v>
      </c>
      <c r="B34" s="994" t="s">
        <v>2362</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529"/>
      <c r="Q34" s="681" t="str">
        <f t="shared" si="8"/>
        <v>宗地面积</v>
      </c>
      <c r="R34" s="1121" t="s">
        <v>2237</v>
      </c>
      <c r="S34" s="1122" t="e">
        <f t="shared" si="10"/>
        <v>#N/A</v>
      </c>
      <c r="T34" s="1121" t="s">
        <v>2237</v>
      </c>
      <c r="U34" s="1122" t="e">
        <f t="shared" si="11"/>
        <v>#N/A</v>
      </c>
      <c r="V34" s="1121" t="s">
        <v>2237</v>
      </c>
      <c r="W34" s="1122" t="e">
        <f t="shared" si="12"/>
        <v>#N/A</v>
      </c>
      <c r="X34" s="1115"/>
      <c r="Y34" s="3529"/>
      <c r="Z34" s="1105" t="str">
        <f t="shared" si="13"/>
        <v>宗地面积</v>
      </c>
      <c r="AA34" s="1132" t="e">
        <f t="shared" si="3"/>
        <v>#N/A</v>
      </c>
      <c r="AB34" s="1132" t="e">
        <f t="shared" si="4"/>
        <v>#N/A</v>
      </c>
      <c r="AC34" s="1132" t="e">
        <f t="shared" si="5"/>
        <v>#N/A</v>
      </c>
    </row>
    <row r="35" spans="1:31" ht="15">
      <c r="A35" s="997"/>
      <c r="B35" s="943" t="s">
        <v>2363</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529"/>
      <c r="Q35" s="681" t="str">
        <f t="shared" ref="Q35:Q40" si="14">B35</f>
        <v>宗地形状</v>
      </c>
      <c r="R35" s="1121" t="s">
        <v>2237</v>
      </c>
      <c r="S35" s="1122">
        <f t="shared" si="10"/>
        <v>100</v>
      </c>
      <c r="T35" s="1121" t="s">
        <v>2237</v>
      </c>
      <c r="U35" s="1122">
        <f t="shared" si="11"/>
        <v>100</v>
      </c>
      <c r="V35" s="1121" t="s">
        <v>2237</v>
      </c>
      <c r="W35" s="1122">
        <f t="shared" si="12"/>
        <v>100</v>
      </c>
      <c r="X35" s="1115"/>
      <c r="Y35" s="3529"/>
      <c r="Z35" s="1105" t="str">
        <f t="shared" si="13"/>
        <v>宗地形状</v>
      </c>
      <c r="AA35" s="1132">
        <f t="shared" si="3"/>
        <v>1</v>
      </c>
      <c r="AB35" s="1132">
        <f t="shared" si="4"/>
        <v>1</v>
      </c>
      <c r="AC35" s="1132">
        <f t="shared" si="5"/>
        <v>1</v>
      </c>
    </row>
    <row r="36" spans="1:31" s="905" customFormat="1" ht="15">
      <c r="A36" s="999"/>
      <c r="B36" s="943" t="s">
        <v>2365</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529"/>
      <c r="Q36" s="681" t="str">
        <f t="shared" si="14"/>
        <v>宗地开发程度</v>
      </c>
      <c r="R36" s="1116" t="s">
        <v>2237</v>
      </c>
      <c r="S36" s="1117">
        <f t="shared" si="10"/>
        <v>100</v>
      </c>
      <c r="T36" s="1116" t="s">
        <v>2237</v>
      </c>
      <c r="U36" s="1117">
        <f t="shared" si="11"/>
        <v>100</v>
      </c>
      <c r="V36" s="1116" t="s">
        <v>2237</v>
      </c>
      <c r="W36" s="1117">
        <f t="shared" si="12"/>
        <v>100</v>
      </c>
      <c r="X36" s="1118"/>
      <c r="Y36" s="3529"/>
      <c r="Z36" s="1131" t="str">
        <f t="shared" si="13"/>
        <v>宗地开发程度</v>
      </c>
      <c r="AA36" s="1130">
        <f t="shared" si="3"/>
        <v>1</v>
      </c>
      <c r="AB36" s="1130">
        <f t="shared" si="4"/>
        <v>1</v>
      </c>
      <c r="AC36" s="1130">
        <f t="shared" si="5"/>
        <v>1</v>
      </c>
    </row>
    <row r="37" spans="1:31" ht="15">
      <c r="A37" s="997"/>
      <c r="B37" s="943" t="s">
        <v>2366</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529" t="s">
        <v>2258</v>
      </c>
      <c r="Q37" s="681" t="str">
        <f t="shared" si="14"/>
        <v>工程地质条件</v>
      </c>
      <c r="R37" s="1121" t="s">
        <v>2237</v>
      </c>
      <c r="S37" s="1122">
        <f t="shared" si="10"/>
        <v>100</v>
      </c>
      <c r="T37" s="1121" t="s">
        <v>2237</v>
      </c>
      <c r="U37" s="1122">
        <f t="shared" si="11"/>
        <v>100</v>
      </c>
      <c r="V37" s="1121" t="s">
        <v>2237</v>
      </c>
      <c r="W37" s="1122">
        <f t="shared" si="12"/>
        <v>100</v>
      </c>
      <c r="X37" s="1115"/>
      <c r="Y37" s="3529" t="s">
        <v>2258</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529"/>
      <c r="Q38" s="681">
        <f t="shared" si="14"/>
        <v>111</v>
      </c>
      <c r="R38" s="1121" t="s">
        <v>2237</v>
      </c>
      <c r="S38" s="1122">
        <f t="shared" si="10"/>
        <v>100</v>
      </c>
      <c r="T38" s="1121" t="s">
        <v>2237</v>
      </c>
      <c r="U38" s="1122">
        <f t="shared" si="11"/>
        <v>100</v>
      </c>
      <c r="V38" s="1121" t="s">
        <v>2237</v>
      </c>
      <c r="W38" s="1122">
        <f t="shared" si="12"/>
        <v>100</v>
      </c>
      <c r="X38" s="1115"/>
      <c r="Y38" s="3529"/>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529"/>
      <c r="Q39" s="681">
        <f t="shared" si="14"/>
        <v>111</v>
      </c>
      <c r="R39" s="1121" t="s">
        <v>2237</v>
      </c>
      <c r="S39" s="1122">
        <f t="shared" si="10"/>
        <v>100</v>
      </c>
      <c r="T39" s="1121" t="s">
        <v>2237</v>
      </c>
      <c r="U39" s="1122">
        <f t="shared" si="11"/>
        <v>100</v>
      </c>
      <c r="V39" s="1121" t="s">
        <v>2237</v>
      </c>
      <c r="W39" s="1122">
        <f t="shared" si="12"/>
        <v>100</v>
      </c>
      <c r="X39" s="1115"/>
      <c r="Y39" s="3529"/>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529"/>
      <c r="Q40" s="681">
        <f t="shared" si="14"/>
        <v>111</v>
      </c>
      <c r="R40" s="1123" t="s">
        <v>2237</v>
      </c>
      <c r="S40" s="1124">
        <f t="shared" si="10"/>
        <v>100</v>
      </c>
      <c r="T40" s="1123" t="s">
        <v>2237</v>
      </c>
      <c r="U40" s="1124">
        <f t="shared" si="11"/>
        <v>100</v>
      </c>
      <c r="V40" s="1123" t="s">
        <v>2237</v>
      </c>
      <c r="W40" s="1124">
        <f t="shared" si="12"/>
        <v>100</v>
      </c>
      <c r="X40" s="1125"/>
      <c r="Y40" s="3529"/>
      <c r="Z40" s="1133">
        <f t="shared" si="13"/>
        <v>111</v>
      </c>
      <c r="AA40" s="1132">
        <f t="shared" si="3"/>
        <v>1</v>
      </c>
      <c r="AB40" s="1132">
        <f t="shared" si="4"/>
        <v>1</v>
      </c>
      <c r="AC40" s="1132">
        <f t="shared" si="5"/>
        <v>1</v>
      </c>
    </row>
    <row r="41" spans="1:31" ht="15">
      <c r="A41" s="1004" t="s">
        <v>2349</v>
      </c>
      <c r="B41" s="1005" t="s">
        <v>2400</v>
      </c>
      <c r="C41" s="1006" t="s">
        <v>124</v>
      </c>
      <c r="D41" s="1007"/>
      <c r="E41" s="1008"/>
      <c r="F41" s="1009"/>
      <c r="G41" s="1010"/>
      <c r="H41" s="1011"/>
      <c r="I41" s="1008"/>
      <c r="J41" s="1011"/>
      <c r="K41" s="1096"/>
      <c r="L41" s="1097"/>
      <c r="M41" s="1073"/>
      <c r="N41" s="1073"/>
      <c r="O41" s="1021"/>
      <c r="P41" s="3514" t="str">
        <f>A41</f>
        <v>成交单价</v>
      </c>
      <c r="Q41" s="3514"/>
      <c r="R41" s="3513">
        <f>E41</f>
        <v>0</v>
      </c>
      <c r="S41" s="3513"/>
      <c r="T41" s="3513">
        <f>G41</f>
        <v>0</v>
      </c>
      <c r="U41" s="3513"/>
      <c r="V41" s="3513">
        <f>I41</f>
        <v>0</v>
      </c>
      <c r="W41" s="3513"/>
      <c r="X41" s="1061"/>
      <c r="Y41" s="1134"/>
      <c r="Z41" s="1061"/>
      <c r="AA41" s="1061"/>
      <c r="AB41" s="1061"/>
      <c r="AC41" s="1061"/>
    </row>
    <row r="42" spans="1:31" ht="15">
      <c r="A42" s="1012" t="s">
        <v>2270</v>
      </c>
      <c r="B42" s="1013"/>
      <c r="C42" s="1014" t="e">
        <f>R43</f>
        <v>#DIV/0!</v>
      </c>
      <c r="D42" s="1015" t="s">
        <v>2271</v>
      </c>
      <c r="E42" s="1014" t="e">
        <f>R42</f>
        <v>#DIV/0!</v>
      </c>
      <c r="F42" s="1016"/>
      <c r="G42" s="1017" t="e">
        <f>T42</f>
        <v>#DIV/0!</v>
      </c>
      <c r="H42" s="1016"/>
      <c r="I42" s="1014" t="e">
        <f>V42</f>
        <v>#DIV/0!</v>
      </c>
      <c r="J42" s="1016"/>
      <c r="K42" s="1098">
        <f>F42+H42+J42</f>
        <v>0</v>
      </c>
      <c r="L42" s="1097"/>
      <c r="M42" s="1073"/>
      <c r="N42" s="1073"/>
      <c r="O42" s="1021"/>
      <c r="P42" s="3514" t="str">
        <f>A42</f>
        <v>比较价值（元/平方米）</v>
      </c>
      <c r="Q42" s="3514"/>
      <c r="R42" s="3562" t="e">
        <f>ROUND(PRODUCT(R41,AA7:AA40),0)</f>
        <v>#DIV/0!</v>
      </c>
      <c r="S42" s="3562"/>
      <c r="T42" s="3562" t="e">
        <f>ROUND(PRODUCT(T41,AB7:AB40),0)</f>
        <v>#DIV/0!</v>
      </c>
      <c r="U42" s="3562"/>
      <c r="V42" s="3562" t="e">
        <f>ROUND(PRODUCT(V41,AC7:AC40),0)</f>
        <v>#DIV/0!</v>
      </c>
      <c r="W42" s="3562"/>
      <c r="X42" s="1061"/>
      <c r="Y42" s="1061"/>
      <c r="Z42" s="1061"/>
      <c r="AA42" s="1061"/>
      <c r="AB42" s="1061"/>
      <c r="AC42" s="1061"/>
    </row>
    <row r="43" spans="1:31" ht="15">
      <c r="A43" s="1018" t="s">
        <v>2272</v>
      </c>
      <c r="B43" s="1019"/>
      <c r="C43" s="1020" t="e">
        <f>R43</f>
        <v>#DIV/0!</v>
      </c>
      <c r="D43" s="1020"/>
      <c r="E43" s="1020"/>
      <c r="F43" s="1020"/>
      <c r="G43" s="1020"/>
      <c r="H43" s="1020"/>
      <c r="I43" s="1020"/>
      <c r="J43" s="1020"/>
      <c r="K43" s="1099"/>
      <c r="L43" s="1097"/>
      <c r="M43" s="1073"/>
      <c r="N43" s="1073"/>
      <c r="O43" s="1021"/>
      <c r="P43" s="3516" t="str">
        <f>A43</f>
        <v>估价对象XX用房的比较价值（楼面单价，元/平方米）</v>
      </c>
      <c r="Q43" s="3517"/>
      <c r="R43" s="3563" t="e">
        <f>ROUND(IF(D42="简单平均",AVERAGE(R42:W42),R42*F42+T42*H42+V42*J42),0)</f>
        <v>#DIV/0!</v>
      </c>
      <c r="S43" s="3563"/>
      <c r="T43" s="3563"/>
      <c r="U43" s="3563"/>
      <c r="V43" s="3563"/>
      <c r="W43" s="3563"/>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2273</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2274</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2275</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2369</v>
      </c>
      <c r="B50" s="1031" t="s">
        <v>2370</v>
      </c>
      <c r="C50" s="1032" t="s">
        <v>2371</v>
      </c>
      <c r="D50" s="1033" t="s">
        <v>2372</v>
      </c>
      <c r="E50" s="1034" t="s">
        <v>2373</v>
      </c>
      <c r="F50" s="1035" t="s">
        <v>2374</v>
      </c>
      <c r="G50" s="3536" t="s">
        <v>2375</v>
      </c>
      <c r="H50" s="3561"/>
      <c r="I50" s="1105" t="s">
        <v>2401</v>
      </c>
      <c r="J50" s="1105">
        <f>项目基本情况!F35</f>
        <v>0</v>
      </c>
      <c r="K50" s="1106" t="s">
        <v>2377</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2378</v>
      </c>
      <c r="B51" s="1037" t="e">
        <f>C43</f>
        <v>#DIV/0!</v>
      </c>
      <c r="C51" s="1038">
        <v>1</v>
      </c>
      <c r="D51" s="1039">
        <v>1</v>
      </c>
      <c r="E51" s="1038">
        <f>'数据-汇总表'!E8+'数据-汇总表'!E9</f>
        <v>0</v>
      </c>
      <c r="F51" s="1040" t="e">
        <f t="shared" ref="F51:F60" si="15">ROUND(B51*E51/10000,0)</f>
        <v>#DIV/0!</v>
      </c>
      <c r="G51" s="3521"/>
      <c r="H51" s="3514"/>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2379</v>
      </c>
      <c r="B52" s="167" t="e">
        <f>ROUND($C$43*C52*D52,0)</f>
        <v>#DIV/0!</v>
      </c>
      <c r="C52" s="626">
        <f t="shared" ref="C52:C60" si="16">IF($C$50="北京市系数",I52,J52)</f>
        <v>0.6</v>
      </c>
      <c r="D52" s="1042">
        <v>0.25</v>
      </c>
      <c r="E52" s="1043"/>
      <c r="F52" s="1040" t="e">
        <f t="shared" si="15"/>
        <v>#DIV/0!</v>
      </c>
      <c r="G52" s="1044" t="s">
        <v>2380</v>
      </c>
      <c r="H52" s="1045" t="str">
        <f>项目基本情况!B37</f>
        <v>三级</v>
      </c>
      <c r="I52" s="710">
        <f>SUMIF(修正!A57:A68,H52,修正!B57:B68)</f>
        <v>0.6</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2381</v>
      </c>
      <c r="B53" s="167" t="e">
        <f t="shared" ref="B53:B60" si="17">ROUND($C$43*C53*D53,0)</f>
        <v>#DIV/0!</v>
      </c>
      <c r="C53" s="626">
        <f t="shared" si="16"/>
        <v>0.3</v>
      </c>
      <c r="D53" s="1042">
        <v>0.25</v>
      </c>
      <c r="E53" s="1043"/>
      <c r="F53" s="1040" t="e">
        <f t="shared" si="15"/>
        <v>#DIV/0!</v>
      </c>
      <c r="G53" s="1046"/>
      <c r="H53" s="1045" t="str">
        <f>项目基本情况!B37</f>
        <v>三级</v>
      </c>
      <c r="I53" s="710">
        <f>SUMIF(修正!A57:A68,H53,修正!C57:C68)</f>
        <v>0.3</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2382</v>
      </c>
      <c r="B54" s="167" t="e">
        <f t="shared" si="17"/>
        <v>#DIV/0!</v>
      </c>
      <c r="C54" s="626">
        <f t="shared" si="16"/>
        <v>0.25</v>
      </c>
      <c r="D54" s="1042">
        <v>0.25</v>
      </c>
      <c r="E54" s="1043"/>
      <c r="F54" s="1040" t="e">
        <f t="shared" si="15"/>
        <v>#DIV/0!</v>
      </c>
      <c r="G54" s="1046"/>
      <c r="H54" s="1045" t="str">
        <f>项目基本情况!B37</f>
        <v>三级</v>
      </c>
      <c r="I54" s="710">
        <f>SUMIF(修正!A57:A68,H54,修正!D57:D68)</f>
        <v>0.25</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2383</v>
      </c>
      <c r="B56" s="167" t="e">
        <f t="shared" si="17"/>
        <v>#DIV/0!</v>
      </c>
      <c r="C56" s="626">
        <f t="shared" si="16"/>
        <v>0</v>
      </c>
      <c r="D56" s="1042">
        <v>0.25</v>
      </c>
      <c r="E56" s="166">
        <f>'数据-汇总表'!E11</f>
        <v>0</v>
      </c>
      <c r="F56" s="1040" t="e">
        <f t="shared" si="15"/>
        <v>#DIV/0!</v>
      </c>
      <c r="G56" s="1048" t="s">
        <v>2384</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2385</v>
      </c>
      <c r="B57" s="167" t="e">
        <f t="shared" si="17"/>
        <v>#DIV/0!</v>
      </c>
      <c r="C57" s="626">
        <f t="shared" si="16"/>
        <v>0</v>
      </c>
      <c r="D57" s="1042">
        <v>0.25</v>
      </c>
      <c r="E57" s="166">
        <f>'数据-汇总表'!E12</f>
        <v>0</v>
      </c>
      <c r="F57" s="1040" t="e">
        <f t="shared" si="15"/>
        <v>#DIV/0!</v>
      </c>
      <c r="G57" s="1049" t="s">
        <v>2386</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2387</v>
      </c>
      <c r="B58" s="167" t="e">
        <f t="shared" si="17"/>
        <v>#DIV/0!</v>
      </c>
      <c r="C58" s="626">
        <f t="shared" si="16"/>
        <v>0</v>
      </c>
      <c r="D58" s="1042">
        <v>0.25</v>
      </c>
      <c r="E58" s="166">
        <f>'数据-汇总表'!E13</f>
        <v>0</v>
      </c>
      <c r="F58" s="1040" t="e">
        <f t="shared" si="15"/>
        <v>#DIV/0!</v>
      </c>
      <c r="G58" s="1049" t="s">
        <v>2388</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2389</v>
      </c>
      <c r="B59" s="167" t="e">
        <f t="shared" si="17"/>
        <v>#DIV/0!</v>
      </c>
      <c r="C59" s="626">
        <f t="shared" si="16"/>
        <v>0.15</v>
      </c>
      <c r="D59" s="1042">
        <v>0.25</v>
      </c>
      <c r="E59" s="166">
        <f>'数据-汇总表'!E14</f>
        <v>6064.29</v>
      </c>
      <c r="F59" s="1040" t="e">
        <f t="shared" si="15"/>
        <v>#DIV/0!</v>
      </c>
      <c r="G59" s="1048" t="s">
        <v>2380</v>
      </c>
      <c r="H59" s="1045" t="str">
        <f>项目基本情况!B37</f>
        <v>三级</v>
      </c>
      <c r="I59" s="710">
        <f>SUMIF(修正!A57:A68,H59,修正!G57:G68)</f>
        <v>0.15</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2390</v>
      </c>
      <c r="B60" s="167" t="e">
        <f t="shared" si="17"/>
        <v>#DIV/0!</v>
      </c>
      <c r="C60" s="626">
        <f t="shared" si="16"/>
        <v>0</v>
      </c>
      <c r="D60" s="1042">
        <v>0.25</v>
      </c>
      <c r="E60" s="166">
        <f>'数据-汇总表'!E15</f>
        <v>0</v>
      </c>
      <c r="F60" s="1040" t="e">
        <f t="shared" si="15"/>
        <v>#DIV/0!</v>
      </c>
      <c r="G60" s="1050" t="s">
        <v>2384</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2391</v>
      </c>
      <c r="B61" s="1053" t="s">
        <v>2327</v>
      </c>
      <c r="C61" s="1053" t="s">
        <v>2327</v>
      </c>
      <c r="D61" s="1053" t="s">
        <v>2327</v>
      </c>
      <c r="E61" s="1053">
        <f>IF(B41="楼面地价",SUM(E51:E60),'数据-汇总表'!D3)</f>
        <v>5788.26</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2022-7-1</v>
      </c>
      <c r="D63" s="1059">
        <f>EDATE(C63,-3)</f>
        <v>44652</v>
      </c>
      <c r="E63" s="1059">
        <f>EDATE(D63,-3)</f>
        <v>44562</v>
      </c>
      <c r="F63" s="1059">
        <f t="shared" ref="F63:O63" si="18">EDATE(E63,-3)</f>
        <v>44470</v>
      </c>
      <c r="G63" s="1059">
        <f t="shared" si="18"/>
        <v>44378</v>
      </c>
      <c r="H63" s="1059">
        <f t="shared" si="18"/>
        <v>44287</v>
      </c>
      <c r="I63" s="1059">
        <f t="shared" si="18"/>
        <v>44197</v>
      </c>
      <c r="J63" s="1059">
        <f t="shared" si="18"/>
        <v>44105</v>
      </c>
      <c r="K63" s="1059">
        <f t="shared" si="18"/>
        <v>44013</v>
      </c>
      <c r="L63" s="1059">
        <f t="shared" si="18"/>
        <v>43922</v>
      </c>
      <c r="M63" s="1059">
        <f t="shared" si="18"/>
        <v>43831</v>
      </c>
      <c r="N63" s="1059">
        <f t="shared" si="18"/>
        <v>43739</v>
      </c>
      <c r="O63" s="1059">
        <f t="shared" si="18"/>
        <v>43647</v>
      </c>
      <c r="P63" s="1021"/>
      <c r="Q63" s="1021"/>
      <c r="R63" s="1021"/>
      <c r="S63" s="1021"/>
      <c r="T63" s="1021"/>
      <c r="U63" s="1021"/>
      <c r="V63" s="1021"/>
      <c r="W63" s="1021"/>
      <c r="X63" s="1021"/>
      <c r="Y63" s="1021"/>
      <c r="Z63" s="1021"/>
      <c r="AA63" s="1021"/>
      <c r="AB63" s="1021"/>
      <c r="AC63" s="1021"/>
      <c r="AD63" s="1021"/>
      <c r="AE63" s="1021"/>
    </row>
    <row r="64" spans="1:31" ht="21">
      <c r="A64" s="1060" t="s">
        <v>2276</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2392</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2402</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2277</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2238</v>
      </c>
      <c r="B68" s="1146"/>
      <c r="C68" s="1147" t="s">
        <v>2239</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2278</v>
      </c>
      <c r="B70" s="1152" t="s">
        <v>2242</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2245</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2246</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2247</v>
      </c>
      <c r="B83" s="1152" t="s">
        <v>2337</v>
      </c>
      <c r="C83" s="1173" t="s">
        <v>2286</v>
      </c>
      <c r="D83" s="1173" t="s">
        <v>2287</v>
      </c>
      <c r="E83" s="1173" t="s">
        <v>2288</v>
      </c>
      <c r="F83" s="1173" t="s">
        <v>2289</v>
      </c>
      <c r="G83" s="1173" t="s">
        <v>2290</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2250</v>
      </c>
      <c r="C85" s="1175" t="s">
        <v>2286</v>
      </c>
      <c r="D85" s="1175" t="s">
        <v>2287</v>
      </c>
      <c r="E85" s="1175" t="s">
        <v>2288</v>
      </c>
      <c r="F85" s="1175" t="s">
        <v>2289</v>
      </c>
      <c r="G85" s="1175" t="s">
        <v>2290</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2359</v>
      </c>
      <c r="C87" s="1173" t="s">
        <v>2286</v>
      </c>
      <c r="D87" s="1173" t="s">
        <v>2287</v>
      </c>
      <c r="E87" s="1173" t="s">
        <v>2288</v>
      </c>
      <c r="F87" s="1173" t="s">
        <v>2289</v>
      </c>
      <c r="G87" s="1173" t="s">
        <v>2290</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2360</v>
      </c>
      <c r="C89" s="1173" t="s">
        <v>2286</v>
      </c>
      <c r="D89" s="1173" t="s">
        <v>2287</v>
      </c>
      <c r="E89" s="1173" t="s">
        <v>2288</v>
      </c>
      <c r="F89" s="1173" t="s">
        <v>2289</v>
      </c>
      <c r="G89" s="1173" t="s">
        <v>2290</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2251</v>
      </c>
      <c r="C91" s="1173" t="s">
        <v>2286</v>
      </c>
      <c r="D91" s="1173" t="s">
        <v>2287</v>
      </c>
      <c r="E91" s="1173" t="s">
        <v>2288</v>
      </c>
      <c r="F91" s="1173" t="s">
        <v>2289</v>
      </c>
      <c r="G91" s="1173" t="s">
        <v>2290</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2252</v>
      </c>
      <c r="C93" s="1180" t="s">
        <v>2291</v>
      </c>
      <c r="D93" s="1180" t="s">
        <v>2292</v>
      </c>
      <c r="E93" s="1180" t="s">
        <v>2293</v>
      </c>
      <c r="F93" s="1180" t="s">
        <v>2294</v>
      </c>
      <c r="G93" s="1180" t="s">
        <v>2295</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2394</v>
      </c>
      <c r="D95" s="1157" t="s">
        <v>2395</v>
      </c>
      <c r="E95" s="1157" t="s">
        <v>2396</v>
      </c>
      <c r="F95" s="1157" t="s">
        <v>2397</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2332</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2361</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2256</v>
      </c>
      <c r="B107" s="1152" t="s">
        <v>2362</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2363</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2365</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2366</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8"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2403</v>
      </c>
      <c r="B1" s="147"/>
      <c r="C1" s="150" t="s">
        <v>2221</v>
      </c>
      <c r="D1" s="592">
        <f>SUM(D29:D30,D33:D39)</f>
        <v>0</v>
      </c>
      <c r="E1" s="593"/>
      <c r="F1" s="593"/>
      <c r="G1" s="593"/>
      <c r="H1" s="593"/>
      <c r="I1" s="593"/>
      <c r="J1" s="593"/>
      <c r="K1" s="585"/>
      <c r="L1" s="763" t="s">
        <v>2404</v>
      </c>
      <c r="M1" s="764">
        <f>SUMPRODUCT((区片价!B5:B9=I2)*(区片价!C3:F3=E2)*(区片价!C5:F9))</f>
        <v>0</v>
      </c>
      <c r="N1" s="765">
        <f>SUMPRODUCT((因素修正幅度!B5:B9=I2)*(因素修正幅度!C3:F3=E2)*(因素修正幅度!C5:F9))</f>
        <v>0</v>
      </c>
      <c r="O1" s="586"/>
      <c r="P1" s="586"/>
      <c r="Q1" s="585"/>
      <c r="R1" s="844" t="s">
        <v>2405</v>
      </c>
      <c r="S1" s="844" t="s">
        <v>2406</v>
      </c>
      <c r="T1" s="844" t="s">
        <v>2407</v>
      </c>
      <c r="U1" s="844" t="s">
        <v>2408</v>
      </c>
      <c r="V1" s="844" t="s">
        <v>2409</v>
      </c>
      <c r="W1" s="845"/>
      <c r="X1" s="845"/>
      <c r="Y1" s="845"/>
      <c r="Z1" s="845"/>
      <c r="AA1" s="845"/>
      <c r="AB1" s="845"/>
      <c r="AC1" s="853"/>
      <c r="AD1" s="854"/>
      <c r="AE1" s="854"/>
      <c r="AF1" s="854"/>
      <c r="AG1" s="854"/>
      <c r="AH1" s="854"/>
      <c r="AI1" s="854"/>
      <c r="AJ1" s="864"/>
    </row>
    <row r="2" spans="1:36" ht="15.75">
      <c r="A2" s="150" t="s">
        <v>915</v>
      </c>
      <c r="B2" s="154" t="e">
        <f>C26</f>
        <v>#DIV/0!</v>
      </c>
      <c r="C2" s="594" t="s">
        <v>916</v>
      </c>
      <c r="D2" s="595" t="s">
        <v>2410</v>
      </c>
      <c r="E2" s="596"/>
      <c r="F2" s="595" t="s">
        <v>2411</v>
      </c>
      <c r="G2" s="597">
        <f>IF(E2="商业",项目基本情况!B37,IF(E2="办公",项目基本情况!C37,IF(E2="住宅",项目基本情况!D37,项目基本情况!E37)))</f>
        <v>0</v>
      </c>
      <c r="H2" s="595" t="s">
        <v>2412</v>
      </c>
      <c r="I2" s="597">
        <f>IF(E2="商业",项目基本情况!B38,IF(E2="办公",项目基本情况!C38,IF(E2="住宅",项目基本情况!D38,项目基本情况!E38)))</f>
        <v>0</v>
      </c>
      <c r="J2" s="766"/>
      <c r="K2" s="585"/>
      <c r="L2" s="767" t="s">
        <v>2413</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917</v>
      </c>
      <c r="B3" s="154" t="e">
        <f>ROUND(B2*10000/D1,0)</f>
        <v>#DIV/0!</v>
      </c>
      <c r="C3" s="594" t="s">
        <v>918</v>
      </c>
      <c r="D3" s="595" t="s">
        <v>2414</v>
      </c>
      <c r="E3" s="598"/>
      <c r="F3" s="599" t="s">
        <v>2415</v>
      </c>
      <c r="G3" s="600">
        <f>IF(F3="宗地容积率",'数据-汇总表'!I4,IF(F3="估价对象容积率",'数据-汇总表'!I6,'数据-汇总表'!I7))</f>
        <v>0</v>
      </c>
      <c r="H3" s="601" t="s">
        <v>2416</v>
      </c>
      <c r="I3" s="769"/>
      <c r="J3" s="766" t="s">
        <v>2417</v>
      </c>
      <c r="K3" s="585"/>
      <c r="L3" s="767" t="s">
        <v>2418</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84"/>
      <c r="B4" s="3585"/>
      <c r="C4" s="3585"/>
      <c r="D4" s="3586"/>
      <c r="E4" s="3586"/>
      <c r="F4" s="3586"/>
      <c r="G4" s="3586"/>
      <c r="H4" s="3586"/>
      <c r="I4" s="3586"/>
      <c r="J4" s="3587"/>
      <c r="K4" s="585"/>
      <c r="L4" s="767" t="s">
        <v>2419</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821</v>
      </c>
      <c r="B5" s="603" t="s">
        <v>2420</v>
      </c>
      <c r="C5" s="604" t="e">
        <f>ROUND(IF(E2="商业",C6*C7+C16,(IF(E2="住宅",C6*C12+C16,C6+C16))),0)</f>
        <v>#DIV/0!</v>
      </c>
      <c r="D5" s="605" t="e">
        <f>ROUND(C6+C16,0)</f>
        <v>#DIV/0!</v>
      </c>
      <c r="E5" s="605"/>
      <c r="F5" s="606"/>
      <c r="G5" s="607"/>
      <c r="H5" s="607"/>
      <c r="I5" s="607"/>
      <c r="J5" s="770"/>
      <c r="K5" s="771"/>
      <c r="L5" s="767" t="s">
        <v>2421</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920</v>
      </c>
      <c r="B6" s="609" t="s">
        <v>2422</v>
      </c>
      <c r="C6" s="610">
        <f>SUMIF(L1:L12,G2,M1:M12)</f>
        <v>0</v>
      </c>
      <c r="D6" s="611" t="s">
        <v>2423</v>
      </c>
      <c r="E6" s="612"/>
      <c r="F6" s="612"/>
      <c r="G6" s="613"/>
      <c r="H6" s="613"/>
      <c r="I6" s="613"/>
      <c r="J6" s="772"/>
      <c r="K6" s="773"/>
      <c r="L6" s="767" t="s">
        <v>2424</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69" t="str">
        <f>IF(E2="商业",IF(C8="不临58条商业街","",2),"")</f>
        <v/>
      </c>
      <c r="B7" s="614" t="s">
        <v>2425</v>
      </c>
      <c r="C7" s="615" t="e">
        <f>IF(C8="不临58条商业街",1,ROUND(1+(1.6*E8+1.2*E9+0.8*E10+0.4*E11)*C9,4))</f>
        <v>#DIV/0!</v>
      </c>
      <c r="D7" s="616" t="s">
        <v>2426</v>
      </c>
      <c r="E7" s="617"/>
      <c r="F7" s="618"/>
      <c r="G7" s="619"/>
      <c r="H7" s="619"/>
      <c r="I7" s="619"/>
      <c r="J7" s="774"/>
      <c r="K7" s="773"/>
      <c r="L7" s="767" t="s">
        <v>2427</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2428</v>
      </c>
      <c r="X7" s="848">
        <f>G2</f>
        <v>0</v>
      </c>
      <c r="Y7" s="848" t="s">
        <v>2429</v>
      </c>
      <c r="Z7" s="857">
        <f>G3</f>
        <v>0</v>
      </c>
      <c r="AA7" s="845"/>
      <c r="AB7" s="845"/>
      <c r="AC7" s="853"/>
      <c r="AD7" s="854"/>
      <c r="AE7" s="854"/>
      <c r="AF7" s="854"/>
      <c r="AG7" s="854"/>
      <c r="AH7" s="854"/>
      <c r="AI7" s="854"/>
      <c r="AJ7" s="864"/>
    </row>
    <row r="8" spans="1:36" ht="15">
      <c r="A8" s="3570"/>
      <c r="B8" s="601" t="s">
        <v>2430</v>
      </c>
      <c r="C8" s="620"/>
      <c r="D8" s="621" t="s">
        <v>1828</v>
      </c>
      <c r="E8" s="622" t="e">
        <f>ROUND(C11/E7,4)</f>
        <v>#DIV/0!</v>
      </c>
      <c r="F8" s="623" t="s">
        <v>2431</v>
      </c>
      <c r="G8" s="624"/>
      <c r="H8" s="624"/>
      <c r="I8" s="624"/>
      <c r="J8" s="775"/>
      <c r="K8" s="585"/>
      <c r="L8" s="767" t="s">
        <v>2432</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88" t="s">
        <v>2433</v>
      </c>
      <c r="X8" s="3589"/>
      <c r="Y8" s="858" t="s">
        <v>2434</v>
      </c>
      <c r="Z8" s="858" t="s">
        <v>2435</v>
      </c>
      <c r="AA8" s="858" t="s">
        <v>2436</v>
      </c>
      <c r="AB8" s="858" t="s">
        <v>2437</v>
      </c>
      <c r="AC8" s="858" t="s">
        <v>2438</v>
      </c>
      <c r="AD8" s="858" t="s">
        <v>2439</v>
      </c>
      <c r="AE8" s="858" t="s">
        <v>2440</v>
      </c>
      <c r="AF8" s="858" t="s">
        <v>2441</v>
      </c>
      <c r="AG8" s="858" t="s">
        <v>2442</v>
      </c>
      <c r="AH8" s="858" t="s">
        <v>2443</v>
      </c>
      <c r="AI8" s="858" t="s">
        <v>2444</v>
      </c>
      <c r="AJ8" s="858" t="s">
        <v>2445</v>
      </c>
    </row>
    <row r="9" spans="1:36" ht="15">
      <c r="A9" s="3570"/>
      <c r="B9" s="601" t="s">
        <v>2446</v>
      </c>
      <c r="C9" s="625">
        <f>SUMIF(修正!C71:C138,C8,修正!E71:E138)</f>
        <v>0</v>
      </c>
      <c r="D9" s="626" t="s">
        <v>2447</v>
      </c>
      <c r="E9" s="626" t="e">
        <f>ROUND(C11/E7,4)</f>
        <v>#DIV/0!</v>
      </c>
      <c r="F9" s="623" t="s">
        <v>2448</v>
      </c>
      <c r="G9" s="624"/>
      <c r="H9" s="624"/>
      <c r="I9" s="624"/>
      <c r="J9" s="775"/>
      <c r="K9" s="585"/>
      <c r="L9" s="767" t="s">
        <v>2449</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93" t="s">
        <v>2450</v>
      </c>
      <c r="X9" s="849" t="s">
        <v>2451</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70"/>
      <c r="B10" s="601" t="s">
        <v>2452</v>
      </c>
      <c r="C10" s="626">
        <f>SUMIF(修正!C71:C138,C8,修正!F71:F138)</f>
        <v>0</v>
      </c>
      <c r="D10" s="626" t="s">
        <v>1830</v>
      </c>
      <c r="E10" s="626" t="e">
        <f>ROUND(C11/E7,4)</f>
        <v>#DIV/0!</v>
      </c>
      <c r="F10" s="623" t="s">
        <v>2453</v>
      </c>
      <c r="G10" s="624"/>
      <c r="H10" s="624"/>
      <c r="I10" s="624"/>
      <c r="J10" s="775"/>
      <c r="K10" s="585"/>
      <c r="L10" s="767" t="s">
        <v>2454</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93"/>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70"/>
      <c r="B11" s="627" t="s">
        <v>2455</v>
      </c>
      <c r="C11" s="628">
        <f>C10/4</f>
        <v>0</v>
      </c>
      <c r="D11" s="628" t="s">
        <v>2456</v>
      </c>
      <c r="E11" s="628" t="e">
        <f>ROUND(C11/E7,4)</f>
        <v>#DIV/0!</v>
      </c>
      <c r="F11" s="629" t="s">
        <v>2457</v>
      </c>
      <c r="G11" s="630"/>
      <c r="H11" s="630"/>
      <c r="I11" s="630"/>
      <c r="J11" s="776"/>
      <c r="K11" s="585"/>
      <c r="L11" s="767" t="s">
        <v>2458</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93" t="s">
        <v>2459</v>
      </c>
      <c r="X11" s="850" t="s">
        <v>2429</v>
      </c>
      <c r="Y11" s="862">
        <f>$G$3</f>
        <v>0</v>
      </c>
      <c r="Z11" s="862">
        <f t="shared" ref="Z11:AJ11" si="3">$G$3</f>
        <v>0</v>
      </c>
      <c r="AA11" s="862">
        <f t="shared" si="3"/>
        <v>0</v>
      </c>
      <c r="AB11" s="862">
        <f t="shared" si="3"/>
        <v>0</v>
      </c>
      <c r="AC11" s="862">
        <f t="shared" si="3"/>
        <v>0</v>
      </c>
      <c r="AD11" s="862">
        <f t="shared" si="3"/>
        <v>0</v>
      </c>
      <c r="AE11" s="862">
        <f t="shared" si="3"/>
        <v>0</v>
      </c>
      <c r="AF11" s="862">
        <f t="shared" si="3"/>
        <v>0</v>
      </c>
      <c r="AG11" s="862">
        <f t="shared" si="3"/>
        <v>0</v>
      </c>
      <c r="AH11" s="862">
        <f t="shared" si="3"/>
        <v>0</v>
      </c>
      <c r="AI11" s="862">
        <f t="shared" si="3"/>
        <v>0</v>
      </c>
      <c r="AJ11" s="862">
        <f t="shared" si="3"/>
        <v>0</v>
      </c>
    </row>
    <row r="12" spans="1:36" ht="24.75">
      <c r="A12" s="3569" t="s">
        <v>2145</v>
      </c>
      <c r="B12" s="631" t="s">
        <v>2460</v>
      </c>
      <c r="C12" s="615">
        <f>ROUND(C15*D15*E15*F15*G15*H15*I15*J15,4)</f>
        <v>1</v>
      </c>
      <c r="D12" s="632" t="s">
        <v>2461</v>
      </c>
      <c r="E12" s="633"/>
      <c r="F12" s="633"/>
      <c r="G12" s="634"/>
      <c r="H12" s="634"/>
      <c r="I12" s="634"/>
      <c r="J12" s="777"/>
      <c r="K12" s="585"/>
      <c r="L12" s="778" t="s">
        <v>2462</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93"/>
      <c r="X12" s="851" t="s">
        <v>2463</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71"/>
      <c r="B13" s="635" t="s">
        <v>2464</v>
      </c>
      <c r="C13" s="636" t="s">
        <v>2465</v>
      </c>
      <c r="D13" s="637" t="s">
        <v>2466</v>
      </c>
      <c r="E13" s="637" t="s">
        <v>2467</v>
      </c>
      <c r="F13" s="638" t="s">
        <v>2468</v>
      </c>
      <c r="G13" s="639" t="s">
        <v>2469</v>
      </c>
      <c r="H13" s="639" t="s">
        <v>2469</v>
      </c>
      <c r="I13" s="639" t="s">
        <v>2469</v>
      </c>
      <c r="J13" s="780" t="s">
        <v>2469</v>
      </c>
      <c r="K13" s="585"/>
      <c r="L13" s="585"/>
      <c r="M13" s="585"/>
      <c r="N13" s="585"/>
      <c r="O13" s="585"/>
      <c r="P13" s="585"/>
      <c r="Q13" s="585"/>
      <c r="R13" s="844">
        <v>12</v>
      </c>
      <c r="S13" s="846"/>
      <c r="T13" s="844" t="e">
        <f t="shared" si="0"/>
        <v>#DIV/0!</v>
      </c>
      <c r="U13" s="846"/>
      <c r="V13" s="844" t="e">
        <f t="shared" si="1"/>
        <v>#DIV/0!</v>
      </c>
      <c r="W13" s="3593"/>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71"/>
      <c r="B14" s="640"/>
      <c r="C14" s="641"/>
      <c r="D14" s="642"/>
      <c r="E14" s="642"/>
      <c r="F14" s="643"/>
      <c r="G14" s="644" t="s">
        <v>2470</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72"/>
      <c r="B15" s="646" t="s">
        <v>2471</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69" t="s">
        <v>2149</v>
      </c>
      <c r="B16" s="614" t="s">
        <v>2472</v>
      </c>
      <c r="C16" s="649" t="e">
        <f>ROUND(IF(F17="与级别开发程度一致",0,(G17-E17)/C17),0)</f>
        <v>#DIV/0!</v>
      </c>
      <c r="D16" s="3590" t="s">
        <v>2473</v>
      </c>
      <c r="E16" s="3591"/>
      <c r="F16" s="3590" t="s">
        <v>2474</v>
      </c>
      <c r="G16" s="3591"/>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73"/>
      <c r="B17" s="652" t="s">
        <v>2475</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832</v>
      </c>
      <c r="B18" s="658" t="s">
        <v>2476</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837</v>
      </c>
      <c r="B19" s="663" t="s">
        <v>2477</v>
      </c>
      <c r="C19" s="664" t="e">
        <f>ROUND(IF(H19="按公示增长率计算",SUMPRODUCT((地价!A3:A37=YEAR(G19)&amp;"-"&amp;ROUNDUP(MONTH(G19)/3,0))*(地价!X2:AB2=E2)*(地价!X3:AB37)),IF(H19="地价指数",M20/M19,(1+I19)^O19)),4)</f>
        <v>#VALUE!</v>
      </c>
      <c r="D19" s="665" t="s">
        <v>2478</v>
      </c>
      <c r="E19" s="666">
        <v>41640</v>
      </c>
      <c r="F19" s="665" t="s">
        <v>2479</v>
      </c>
      <c r="G19" s="667">
        <f>'数据-取费表'!B2</f>
        <v>44755</v>
      </c>
      <c r="H19" s="668"/>
      <c r="I19" s="792" t="str">
        <f>IF(H19="季度增幅（自定义）",SUMIF(N21:N24,E2,O21:O24),"")</f>
        <v/>
      </c>
      <c r="J19" s="793"/>
      <c r="K19" s="789"/>
      <c r="L19" s="794" t="s">
        <v>2480</v>
      </c>
      <c r="M19" s="795">
        <f>ROUND(SUMIF(地价!B2:F2,E2,地价!B37:F37),0)</f>
        <v>0</v>
      </c>
      <c r="N19" s="796" t="s">
        <v>2481</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840</v>
      </c>
      <c r="B20" s="670" t="s">
        <v>2482</v>
      </c>
      <c r="C20" s="671" t="e">
        <f>ROUND(POWER(1+G20,J20-I20)*(POWER(1+G20,I20)-1)/(POWER(1+G20,J20)-1),4)</f>
        <v>#DIV/0!</v>
      </c>
      <c r="D20" s="672" t="s">
        <v>2483</v>
      </c>
      <c r="E20" s="673">
        <f>存贷款利率!E21/100</f>
        <v>4.3499999999999997E-2</v>
      </c>
      <c r="F20" s="672" t="s">
        <v>2484</v>
      </c>
      <c r="G20" s="674">
        <f>SUMIF(M26:P26,E2,M28:P28)</f>
        <v>0</v>
      </c>
      <c r="H20" s="672" t="s">
        <v>2485</v>
      </c>
      <c r="I20" s="650" t="e">
        <f>SUMIF('数据-取费表'!C6:C15,E2,'数据-取费表'!F6:F15)/COUNTIF('数据-取费表'!C6:C15,E2)</f>
        <v>#DIV/0!</v>
      </c>
      <c r="J20" s="799">
        <f>IF(E2="住宅",70,IF(E2="商业",40,50))</f>
        <v>50</v>
      </c>
      <c r="K20" s="789"/>
      <c r="L20" s="800" t="s">
        <v>2486</v>
      </c>
      <c r="M20" s="801">
        <f>ROUND(SUMPRODUCT((地价!A4:A37=YEAR(G19)&amp;"-"&amp;ROUNDUP(MONTH(G19)/3,0))*(地价!B2:F2=E2)*(地价!B4:F37)),0)</f>
        <v>0</v>
      </c>
      <c r="N20" s="802" t="s">
        <v>2487</v>
      </c>
      <c r="O20" s="803" t="s">
        <v>2488</v>
      </c>
      <c r="P20" s="804" t="s">
        <v>2489</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862</v>
      </c>
      <c r="B21" s="676" t="s">
        <v>2490</v>
      </c>
      <c r="C21" s="677" t="e">
        <f>IF(B21="容积率修正",IF(G3&lt;=10,D22,J22),C23)</f>
        <v>#DIV/0!</v>
      </c>
      <c r="D21" s="678"/>
      <c r="E21" s="678"/>
      <c r="F21" s="678"/>
      <c r="G21" s="678"/>
      <c r="H21" s="678"/>
      <c r="I21" s="678"/>
      <c r="J21" s="805"/>
      <c r="K21" s="789"/>
      <c r="L21" s="790"/>
      <c r="M21" s="790"/>
      <c r="N21" s="806" t="s">
        <v>2491</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2492</v>
      </c>
      <c r="B22" s="680" t="s">
        <v>2493</v>
      </c>
      <c r="C22" s="681" t="s">
        <v>2494</v>
      </c>
      <c r="D22" s="681" t="b">
        <f>IF(E22=G22,F22,IF(G3&lt;=10,ROUND(F22+(H22-F22)*(G3-E22)/(G22-E22),4),"——"))</f>
        <v>0</v>
      </c>
      <c r="E22" s="600">
        <f>ROUNDDOWN(G3,1)</f>
        <v>0</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0</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2495</v>
      </c>
      <c r="J22" s="809" t="str">
        <f>IF(G3&gt;10,D113,"——")</f>
        <v>——</v>
      </c>
      <c r="K22" s="789"/>
      <c r="L22" s="790"/>
      <c r="M22" s="790"/>
      <c r="N22" s="806" t="s">
        <v>2496</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2497</v>
      </c>
      <c r="B23" s="682" t="s">
        <v>2498</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2499</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2500</v>
      </c>
      <c r="B24" s="663" t="s">
        <v>2501</v>
      </c>
      <c r="C24" s="664">
        <f>SUMIF(A45:A88,E2,B45:B88)</f>
        <v>0</v>
      </c>
      <c r="D24" s="687"/>
      <c r="E24" s="688"/>
      <c r="F24" s="688"/>
      <c r="G24" s="688"/>
      <c r="H24" s="688"/>
      <c r="I24" s="688"/>
      <c r="J24" s="812"/>
      <c r="K24" s="789"/>
      <c r="L24" s="790"/>
      <c r="M24" s="790"/>
      <c r="N24" s="813" t="s">
        <v>2502</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2503</v>
      </c>
      <c r="B25" s="689" t="s">
        <v>2504</v>
      </c>
      <c r="C25" s="690"/>
      <c r="D25" s="619"/>
      <c r="E25" s="619"/>
      <c r="F25" s="691"/>
      <c r="G25" s="619"/>
      <c r="H25" s="619"/>
      <c r="I25" s="619"/>
      <c r="J25" s="774"/>
      <c r="K25" s="585"/>
      <c r="L25" s="586"/>
      <c r="M25" s="586"/>
      <c r="N25" s="816" t="s">
        <v>2505</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2506</v>
      </c>
      <c r="C26" s="693" t="e">
        <f>IF(B21="容积率修正",E29+SUM(E33:E39),SUM(V2:V16)+SUM(E33:E39))</f>
        <v>#DIV/0!</v>
      </c>
      <c r="D26" s="694"/>
      <c r="E26" s="645"/>
      <c r="F26" s="695"/>
      <c r="G26" s="645"/>
      <c r="H26" s="645"/>
      <c r="I26" s="645"/>
      <c r="J26" s="819"/>
      <c r="K26" s="585"/>
      <c r="L26" s="820" t="s">
        <v>2410</v>
      </c>
      <c r="M26" s="616" t="s">
        <v>2507</v>
      </c>
      <c r="N26" s="616" t="s">
        <v>2508</v>
      </c>
      <c r="O26" s="616" t="s">
        <v>2509</v>
      </c>
      <c r="P26" s="821" t="s">
        <v>2510</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2511</v>
      </c>
      <c r="C27" s="697" t="e">
        <f>E30+SUM(I33:I39)</f>
        <v>#DIV/0!</v>
      </c>
      <c r="D27" s="698"/>
      <c r="E27" s="699"/>
      <c r="F27" s="700"/>
      <c r="G27" s="699"/>
      <c r="H27" s="699"/>
      <c r="I27" s="699"/>
      <c r="J27" s="822"/>
      <c r="K27" s="585"/>
      <c r="L27" s="823" t="s">
        <v>2512</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2513</v>
      </c>
      <c r="C28" s="703" t="s">
        <v>2514</v>
      </c>
      <c r="D28" s="703" t="s">
        <v>488</v>
      </c>
      <c r="E28" s="704" t="s">
        <v>2515</v>
      </c>
      <c r="F28" s="705"/>
      <c r="G28" s="634"/>
      <c r="H28" s="634"/>
      <c r="I28" s="634"/>
      <c r="J28" s="777"/>
      <c r="K28" s="585"/>
      <c r="L28" s="825" t="s">
        <v>2484</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2516</v>
      </c>
      <c r="C29" s="708" t="e">
        <f>ROUND(C5*C18*C19*C20*C21*C24,0)</f>
        <v>#DIV/0!</v>
      </c>
      <c r="D29" s="709"/>
      <c r="E29" s="710" t="e">
        <f>ROUND(C29*D29/10000,0)</f>
        <v>#DIV/0!</v>
      </c>
      <c r="F29" s="711" t="s">
        <v>2517</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2518</v>
      </c>
      <c r="C30" s="647" t="e">
        <f>ROUND(IF(E2="工业",C29*M39,C29*M38),0)</f>
        <v>#DIV/0!</v>
      </c>
      <c r="D30" s="715"/>
      <c r="E30" s="710" t="e">
        <f>ROUND(C30*D30/10000,0)</f>
        <v>#DIV/0!</v>
      </c>
      <c r="F30" s="716" t="s">
        <v>2519</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2520</v>
      </c>
      <c r="C31" s="720" t="s">
        <v>2521</v>
      </c>
      <c r="D31" s="634"/>
      <c r="E31" s="720"/>
      <c r="F31" s="720"/>
      <c r="G31" s="632" t="s">
        <v>2519</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2514</v>
      </c>
      <c r="D32" s="723" t="s">
        <v>488</v>
      </c>
      <c r="E32" s="723" t="s">
        <v>2515</v>
      </c>
      <c r="F32" s="592" t="s">
        <v>2522</v>
      </c>
      <c r="G32" s="724" t="s">
        <v>2514</v>
      </c>
      <c r="H32" s="724" t="s">
        <v>488</v>
      </c>
      <c r="I32" s="724" t="s">
        <v>2515</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74"/>
      <c r="B33" s="725" t="s">
        <v>2523</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83" t="s">
        <v>2524</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75"/>
      <c r="B34" s="636" t="s">
        <v>2525</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75"/>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75"/>
      <c r="B35" s="636" t="s">
        <v>2526</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75"/>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76"/>
      <c r="B36" s="636" t="s">
        <v>2527</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76"/>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2528</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2529</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2530</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2531</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2532</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2510</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2533</v>
      </c>
      <c r="C41" s="592" t="e">
        <f>ROUND(POWER(1+E41,H41-G41)*(POWER(1+E41,G41)-1)/(POWER(1+E41,H41)-1),4)</f>
        <v>#DIV/0!</v>
      </c>
      <c r="D41" s="626" t="s">
        <v>2484</v>
      </c>
      <c r="E41" s="731">
        <f>G20</f>
        <v>0</v>
      </c>
      <c r="F41" s="626" t="s">
        <v>2485</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2534</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2535</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2536</v>
      </c>
      <c r="B47" s="745" t="s">
        <v>2537</v>
      </c>
      <c r="C47" s="745" t="s">
        <v>2538</v>
      </c>
      <c r="D47" s="745" t="s">
        <v>2539</v>
      </c>
      <c r="E47" s="746" t="s">
        <v>2540</v>
      </c>
      <c r="F47" s="747" t="s">
        <v>2541</v>
      </c>
      <c r="G47" s="745" t="s">
        <v>2471</v>
      </c>
      <c r="H47" s="748" t="s">
        <v>2542</v>
      </c>
      <c r="I47" s="745" t="s">
        <v>2543</v>
      </c>
      <c r="J47" s="840" t="s">
        <v>2286</v>
      </c>
      <c r="K47" s="840" t="s">
        <v>2287</v>
      </c>
      <c r="L47" s="840" t="s">
        <v>2288</v>
      </c>
      <c r="M47" s="840" t="s">
        <v>2289</v>
      </c>
      <c r="N47" s="840" t="s">
        <v>2290</v>
      </c>
      <c r="AA47" s="729"/>
      <c r="AB47" s="729"/>
      <c r="AC47" s="729"/>
      <c r="AD47" s="729"/>
      <c r="AE47" s="729"/>
      <c r="AF47" s="729"/>
      <c r="AG47" s="729"/>
      <c r="AH47" s="729"/>
      <c r="AI47" s="729"/>
      <c r="AJ47" s="729"/>
      <c r="AK47" s="729"/>
    </row>
    <row r="48" spans="1:37" s="585" customFormat="1" ht="38.25">
      <c r="A48" s="744" t="s">
        <v>2544</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2545</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2546</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2547</v>
      </c>
      <c r="B51" s="757" t="s">
        <v>2548</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2549</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2550</v>
      </c>
      <c r="B53" s="758" t="s">
        <v>2551</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2552</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2553</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2554</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2555</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2536</v>
      </c>
      <c r="B58" s="745"/>
      <c r="C58" s="745" t="s">
        <v>2538</v>
      </c>
      <c r="D58" s="745" t="s">
        <v>2539</v>
      </c>
      <c r="E58" s="746" t="s">
        <v>2540</v>
      </c>
      <c r="F58" s="747" t="s">
        <v>2556</v>
      </c>
      <c r="G58" s="745" t="s">
        <v>2471</v>
      </c>
      <c r="H58" s="748" t="s">
        <v>2542</v>
      </c>
      <c r="I58" s="745" t="s">
        <v>2543</v>
      </c>
      <c r="J58" s="840" t="s">
        <v>2286</v>
      </c>
      <c r="K58" s="840" t="s">
        <v>2287</v>
      </c>
      <c r="L58" s="840" t="s">
        <v>2288</v>
      </c>
      <c r="M58" s="840" t="s">
        <v>2289</v>
      </c>
      <c r="N58" s="840" t="s">
        <v>2290</v>
      </c>
      <c r="AA58" s="729"/>
      <c r="AB58" s="729"/>
      <c r="AC58" s="729"/>
      <c r="AD58" s="729"/>
      <c r="AE58" s="729"/>
      <c r="AF58" s="729"/>
      <c r="AG58" s="729"/>
      <c r="AH58" s="729"/>
      <c r="AI58" s="729"/>
      <c r="AJ58" s="729"/>
      <c r="AK58" s="729"/>
    </row>
    <row r="59" spans="1:37" s="585" customFormat="1" ht="38.25">
      <c r="A59" s="744" t="s">
        <v>2557</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2545</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2546</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2547</v>
      </c>
      <c r="B62" s="757" t="s">
        <v>2548</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2549</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2550</v>
      </c>
      <c r="B64" s="758" t="s">
        <v>2551</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2552</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2553</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2554</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2558</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2536</v>
      </c>
      <c r="B69" s="745"/>
      <c r="C69" s="745" t="s">
        <v>2538</v>
      </c>
      <c r="D69" s="745" t="s">
        <v>2539</v>
      </c>
      <c r="E69" s="746" t="s">
        <v>2540</v>
      </c>
      <c r="F69" s="747" t="s">
        <v>2556</v>
      </c>
      <c r="G69" s="745" t="s">
        <v>2471</v>
      </c>
      <c r="H69" s="748" t="s">
        <v>2542</v>
      </c>
      <c r="I69" s="745" t="s">
        <v>2543</v>
      </c>
      <c r="J69" s="840" t="s">
        <v>2286</v>
      </c>
      <c r="K69" s="840" t="s">
        <v>2287</v>
      </c>
      <c r="L69" s="840" t="s">
        <v>2288</v>
      </c>
      <c r="M69" s="840" t="s">
        <v>2289</v>
      </c>
      <c r="N69" s="840" t="s">
        <v>2290</v>
      </c>
      <c r="AA69" s="729"/>
      <c r="AB69" s="729"/>
      <c r="AC69" s="729"/>
      <c r="AD69" s="729"/>
      <c r="AE69" s="729"/>
      <c r="AF69" s="729"/>
      <c r="AG69" s="729"/>
      <c r="AH69" s="729"/>
      <c r="AI69" s="729"/>
      <c r="AJ69" s="729"/>
      <c r="AK69" s="729"/>
    </row>
    <row r="70" spans="1:37" s="585" customFormat="1" ht="51">
      <c r="A70" s="744" t="s">
        <v>2559</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2545</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2546</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2560</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2552</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2553</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2550</v>
      </c>
      <c r="B76" s="758" t="s">
        <v>2551</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2554</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2561</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2562</v>
      </c>
      <c r="B79" s="739">
        <f>1+E81</f>
        <v>1</v>
      </c>
      <c r="C79" s="741"/>
      <c r="D79" s="741"/>
      <c r="E79" s="742"/>
      <c r="F79" s="743"/>
      <c r="G79" s="737"/>
      <c r="H79" s="737"/>
      <c r="I79" s="737"/>
      <c r="J79" s="736"/>
      <c r="K79" s="736"/>
      <c r="L79" s="736"/>
      <c r="M79" s="736"/>
      <c r="N79" s="736"/>
      <c r="Z79" s="589"/>
      <c r="AA79" s="587"/>
      <c r="AG79" s="591"/>
      <c r="AK79" s="587"/>
    </row>
    <row r="80" spans="1:37" ht="24.75">
      <c r="A80" s="744" t="s">
        <v>2536</v>
      </c>
      <c r="B80" s="745"/>
      <c r="C80" s="745" t="s">
        <v>2538</v>
      </c>
      <c r="D80" s="745" t="s">
        <v>2539</v>
      </c>
      <c r="E80" s="746" t="s">
        <v>2540</v>
      </c>
      <c r="F80" s="747" t="s">
        <v>2556</v>
      </c>
      <c r="G80" s="745" t="s">
        <v>2471</v>
      </c>
      <c r="H80" s="748" t="s">
        <v>2542</v>
      </c>
      <c r="I80" s="745" t="s">
        <v>2543</v>
      </c>
      <c r="J80" s="840" t="s">
        <v>2286</v>
      </c>
      <c r="K80" s="840" t="s">
        <v>2287</v>
      </c>
      <c r="L80" s="840" t="s">
        <v>2288</v>
      </c>
      <c r="M80" s="840" t="s">
        <v>2289</v>
      </c>
      <c r="N80" s="840" t="s">
        <v>2290</v>
      </c>
      <c r="Z80" s="589"/>
      <c r="AA80" s="587"/>
      <c r="AG80" s="591"/>
      <c r="AK80" s="587"/>
    </row>
    <row r="81" spans="1:37" ht="38.25">
      <c r="A81" s="744" t="s">
        <v>2563</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2545</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2546</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2560</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2552</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2553</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2550</v>
      </c>
      <c r="B87" s="758" t="s">
        <v>2564</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2565</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92" t="s">
        <v>2566</v>
      </c>
      <c r="B90" s="3592"/>
      <c r="C90" s="3592"/>
      <c r="D90" s="3592"/>
      <c r="E90" s="3592"/>
      <c r="F90" s="3592"/>
      <c r="G90" s="3592"/>
      <c r="H90" s="3592"/>
      <c r="I90" s="3592"/>
      <c r="J90" s="3592"/>
      <c r="K90" s="876"/>
      <c r="L90" s="876"/>
      <c r="M90" s="876"/>
      <c r="N90" s="876"/>
    </row>
    <row r="91" spans="1:37">
      <c r="A91" s="3577" t="s">
        <v>2567</v>
      </c>
      <c r="B91" s="3577" t="s">
        <v>2568</v>
      </c>
      <c r="C91" s="711" t="s">
        <v>2569</v>
      </c>
      <c r="D91" s="712"/>
      <c r="E91" s="712"/>
      <c r="F91" s="712"/>
      <c r="G91" s="712"/>
      <c r="H91" s="712"/>
      <c r="I91" s="712"/>
      <c r="J91" s="897"/>
      <c r="K91" s="898"/>
      <c r="L91" s="898"/>
      <c r="M91" s="898"/>
      <c r="N91" s="898"/>
    </row>
    <row r="92" spans="1:37">
      <c r="A92" s="3577"/>
      <c r="B92" s="3577"/>
      <c r="C92" s="710" t="s">
        <v>2434</v>
      </c>
      <c r="D92" s="710" t="s">
        <v>2435</v>
      </c>
      <c r="E92" s="710" t="s">
        <v>2436</v>
      </c>
      <c r="F92" s="710" t="s">
        <v>2437</v>
      </c>
      <c r="G92" s="710" t="s">
        <v>2438</v>
      </c>
      <c r="H92" s="710" t="s">
        <v>2439</v>
      </c>
      <c r="I92" s="710" t="s">
        <v>2440</v>
      </c>
      <c r="J92" s="710" t="s">
        <v>2441</v>
      </c>
      <c r="K92" s="710" t="s">
        <v>2442</v>
      </c>
      <c r="L92" s="710" t="s">
        <v>2443</v>
      </c>
      <c r="M92" s="710" t="s">
        <v>2444</v>
      </c>
      <c r="N92" s="710" t="s">
        <v>2445</v>
      </c>
    </row>
    <row r="93" spans="1:37">
      <c r="A93" s="3578" t="s">
        <v>2570</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79"/>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79"/>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79"/>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79"/>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79"/>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79"/>
      <c r="B99" s="877" t="s">
        <v>2451</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80"/>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78" t="s">
        <v>2571</v>
      </c>
      <c r="B101" s="881" t="s">
        <v>2572</v>
      </c>
      <c r="C101" s="882">
        <f>$G$3</f>
        <v>0</v>
      </c>
      <c r="D101" s="882">
        <f t="shared" ref="D101:N101" si="31">$G$3</f>
        <v>0</v>
      </c>
      <c r="E101" s="882">
        <f t="shared" si="31"/>
        <v>0</v>
      </c>
      <c r="F101" s="882">
        <f t="shared" si="31"/>
        <v>0</v>
      </c>
      <c r="G101" s="882">
        <f t="shared" si="31"/>
        <v>0</v>
      </c>
      <c r="H101" s="882">
        <f t="shared" si="31"/>
        <v>0</v>
      </c>
      <c r="I101" s="882">
        <f t="shared" si="31"/>
        <v>0</v>
      </c>
      <c r="J101" s="882">
        <f t="shared" si="31"/>
        <v>0</v>
      </c>
      <c r="K101" s="882">
        <f t="shared" si="31"/>
        <v>0</v>
      </c>
      <c r="L101" s="882">
        <f t="shared" si="31"/>
        <v>0</v>
      </c>
      <c r="M101" s="882">
        <f t="shared" si="31"/>
        <v>0</v>
      </c>
      <c r="N101" s="882">
        <f t="shared" si="31"/>
        <v>0</v>
      </c>
    </row>
    <row r="102" spans="1:14">
      <c r="A102" s="3579"/>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79"/>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79"/>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79"/>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79"/>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79"/>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79"/>
      <c r="B108" s="3581" t="s">
        <v>2463</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80"/>
      <c r="B109" s="3582"/>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68" t="s">
        <v>2573</v>
      </c>
      <c r="B110" s="3568"/>
      <c r="C110" s="3568"/>
      <c r="D110" s="3568"/>
      <c r="E110" s="3568"/>
      <c r="F110" s="3568"/>
      <c r="G110" s="3568"/>
      <c r="H110" s="3568"/>
      <c r="I110" s="3568"/>
      <c r="J110" s="3568"/>
      <c r="K110" s="883"/>
      <c r="L110" s="883"/>
      <c r="M110" s="883"/>
      <c r="N110" s="883"/>
    </row>
    <row r="113" spans="1:13" ht="24.75">
      <c r="A113" s="884" t="s">
        <v>2574</v>
      </c>
      <c r="B113" s="885">
        <f>G3</f>
        <v>0</v>
      </c>
      <c r="C113" s="886" t="s">
        <v>2575</v>
      </c>
      <c r="D113" s="887">
        <f>SUMPRODUCT((A115:A118=F113)*(B114:M114=H113)*B115:M118)</f>
        <v>0</v>
      </c>
      <c r="E113" s="597" t="s">
        <v>2410</v>
      </c>
      <c r="F113" s="888">
        <f>E2</f>
        <v>0</v>
      </c>
      <c r="G113" s="597" t="s">
        <v>2411</v>
      </c>
      <c r="H113" s="888">
        <f>G2</f>
        <v>0</v>
      </c>
      <c r="I113" s="597"/>
      <c r="J113" s="899"/>
      <c r="K113" s="899"/>
      <c r="L113" s="899"/>
      <c r="M113" s="899"/>
    </row>
    <row r="114" spans="1:13">
      <c r="A114" s="889"/>
      <c r="B114" s="890" t="s">
        <v>2576</v>
      </c>
      <c r="C114" s="890" t="s">
        <v>2577</v>
      </c>
      <c r="D114" s="890" t="s">
        <v>2578</v>
      </c>
      <c r="E114" s="891" t="s">
        <v>2579</v>
      </c>
      <c r="F114" s="891" t="s">
        <v>2580</v>
      </c>
      <c r="G114" s="891" t="s">
        <v>2581</v>
      </c>
      <c r="H114" s="892" t="s">
        <v>2582</v>
      </c>
      <c r="I114" s="892" t="s">
        <v>2583</v>
      </c>
      <c r="J114" s="900" t="s">
        <v>2584</v>
      </c>
      <c r="K114" s="900" t="s">
        <v>2585</v>
      </c>
      <c r="L114" s="900" t="s">
        <v>2586</v>
      </c>
      <c r="M114" s="901" t="s">
        <v>2587</v>
      </c>
    </row>
    <row r="115" spans="1:13">
      <c r="A115" s="893" t="s">
        <v>2507</v>
      </c>
      <c r="B115" s="894">
        <f>ROUND(0.9335-0.0094*B113,4)</f>
        <v>0.9335</v>
      </c>
      <c r="C115" s="894">
        <f>B115</f>
        <v>0.9335</v>
      </c>
      <c r="D115" s="894">
        <f>ROUND(0.8331-0.0109*B113,4)</f>
        <v>0.83309999999999995</v>
      </c>
      <c r="E115" s="894">
        <f>D115</f>
        <v>0.83309999999999995</v>
      </c>
      <c r="F115" s="894">
        <f>E115</f>
        <v>0.83309999999999995</v>
      </c>
      <c r="G115" s="894">
        <f>F115</f>
        <v>0.83309999999999995</v>
      </c>
      <c r="H115" s="894">
        <f>G115</f>
        <v>0.83309999999999995</v>
      </c>
      <c r="I115" s="894">
        <f>ROUND(0.689-0.0155*B113,4)</f>
        <v>0.68899999999999995</v>
      </c>
      <c r="J115" s="894">
        <f t="shared" ref="J115:M118" si="33">I115</f>
        <v>0.68899999999999995</v>
      </c>
      <c r="K115" s="894">
        <f t="shared" si="33"/>
        <v>0.68899999999999995</v>
      </c>
      <c r="L115" s="894">
        <f t="shared" si="33"/>
        <v>0.68899999999999995</v>
      </c>
      <c r="M115" s="902">
        <f t="shared" si="33"/>
        <v>0.68899999999999995</v>
      </c>
    </row>
    <row r="116" spans="1:13">
      <c r="A116" s="893" t="s">
        <v>2508</v>
      </c>
      <c r="B116" s="894">
        <f>ROUND(0.949-0.012*B113,4)</f>
        <v>0.94899999999999995</v>
      </c>
      <c r="C116" s="894">
        <f>B116</f>
        <v>0.94899999999999995</v>
      </c>
      <c r="D116" s="894">
        <f>ROUND(0.8567-0.013*B113,4)</f>
        <v>0.85670000000000002</v>
      </c>
      <c r="E116" s="894">
        <f t="shared" ref="E116:H117" si="34">D116</f>
        <v>0.85670000000000002</v>
      </c>
      <c r="F116" s="894">
        <f t="shared" si="34"/>
        <v>0.85670000000000002</v>
      </c>
      <c r="G116" s="894">
        <f t="shared" si="34"/>
        <v>0.85670000000000002</v>
      </c>
      <c r="H116" s="894">
        <f t="shared" si="34"/>
        <v>0.85670000000000002</v>
      </c>
      <c r="I116" s="894">
        <f>ROUND(0.7694-0.014*B113,4)</f>
        <v>0.76939999999999997</v>
      </c>
      <c r="J116" s="894">
        <f t="shared" si="33"/>
        <v>0.76939999999999997</v>
      </c>
      <c r="K116" s="894">
        <f t="shared" si="33"/>
        <v>0.76939999999999997</v>
      </c>
      <c r="L116" s="894">
        <f t="shared" si="33"/>
        <v>0.76939999999999997</v>
      </c>
      <c r="M116" s="902">
        <f t="shared" si="33"/>
        <v>0.76939999999999997</v>
      </c>
    </row>
    <row r="117" spans="1:13">
      <c r="A117" s="893" t="s">
        <v>2509</v>
      </c>
      <c r="B117" s="894">
        <f>ROUND(0.8808-0.006*B113,4)</f>
        <v>0.88080000000000003</v>
      </c>
      <c r="C117" s="894">
        <f>B117</f>
        <v>0.88080000000000003</v>
      </c>
      <c r="D117" s="894">
        <f>ROUND(0.8748-0.008*B113,4)</f>
        <v>0.87480000000000002</v>
      </c>
      <c r="E117" s="894">
        <f t="shared" si="34"/>
        <v>0.87480000000000002</v>
      </c>
      <c r="F117" s="894">
        <f t="shared" si="34"/>
        <v>0.87480000000000002</v>
      </c>
      <c r="G117" s="894">
        <f t="shared" si="34"/>
        <v>0.87480000000000002</v>
      </c>
      <c r="H117" s="894">
        <f t="shared" si="34"/>
        <v>0.87480000000000002</v>
      </c>
      <c r="I117" s="894">
        <f>ROUND(0.7412-0.0095*B113,4)</f>
        <v>0.74119999999999997</v>
      </c>
      <c r="J117" s="894">
        <f t="shared" si="33"/>
        <v>0.74119999999999997</v>
      </c>
      <c r="K117" s="894">
        <f t="shared" si="33"/>
        <v>0.74119999999999997</v>
      </c>
      <c r="L117" s="894">
        <f t="shared" si="33"/>
        <v>0.74119999999999997</v>
      </c>
      <c r="M117" s="902">
        <f t="shared" si="33"/>
        <v>0.74119999999999997</v>
      </c>
    </row>
    <row r="118" spans="1:13">
      <c r="A118" s="895" t="s">
        <v>2510</v>
      </c>
      <c r="B118" s="896">
        <f>ROUND(0.7275-0.01*B113,4)</f>
        <v>0.72750000000000004</v>
      </c>
      <c r="C118" s="896">
        <f>B118</f>
        <v>0.72750000000000004</v>
      </c>
      <c r="D118" s="896">
        <f>ROUND(0.7043-0.012*B113,4)</f>
        <v>0.70430000000000004</v>
      </c>
      <c r="E118" s="896">
        <f>D118</f>
        <v>0.70430000000000004</v>
      </c>
      <c r="F118" s="896">
        <f>E118</f>
        <v>0.70430000000000004</v>
      </c>
      <c r="G118" s="896">
        <f>ROUND(0.6299-0.0122*B113,4)</f>
        <v>0.62990000000000002</v>
      </c>
      <c r="H118" s="896">
        <f>G118</f>
        <v>0.62990000000000002</v>
      </c>
      <c r="I118" s="896">
        <f>ROUND(0.5667-0.0136*B113,4)</f>
        <v>0.56669999999999998</v>
      </c>
      <c r="J118" s="896">
        <f t="shared" si="33"/>
        <v>0.56669999999999998</v>
      </c>
      <c r="K118" s="896">
        <f t="shared" si="33"/>
        <v>0.56669999999999998</v>
      </c>
      <c r="L118" s="896">
        <f t="shared" si="33"/>
        <v>0.56669999999999998</v>
      </c>
      <c r="M118" s="903">
        <f t="shared" si="33"/>
        <v>0.56669999999999998</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2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451</v>
      </c>
      <c r="B2" s="522">
        <v>3.5</v>
      </c>
      <c r="C2" s="522">
        <v>3.5</v>
      </c>
      <c r="D2" s="523">
        <v>2.5</v>
      </c>
      <c r="E2" s="523">
        <v>2.5</v>
      </c>
      <c r="F2" s="523">
        <v>2.5</v>
      </c>
      <c r="G2" s="523">
        <v>2.5</v>
      </c>
      <c r="H2" s="523">
        <v>2.5</v>
      </c>
      <c r="I2" s="522">
        <v>2</v>
      </c>
      <c r="J2" s="522">
        <v>2</v>
      </c>
      <c r="K2" s="522">
        <v>2</v>
      </c>
      <c r="L2" s="522">
        <v>2</v>
      </c>
      <c r="M2" s="571">
        <v>2</v>
      </c>
    </row>
    <row r="3" spans="1:13" ht="19.5" customHeight="1">
      <c r="A3" s="524" t="s">
        <v>2588</v>
      </c>
      <c r="B3" s="525">
        <v>3.5</v>
      </c>
      <c r="C3" s="525">
        <v>3.5</v>
      </c>
      <c r="D3" s="526">
        <v>2.5</v>
      </c>
      <c r="E3" s="526">
        <v>2.5</v>
      </c>
      <c r="F3" s="526">
        <v>2.5</v>
      </c>
      <c r="G3" s="526">
        <v>2.5</v>
      </c>
      <c r="H3" s="526">
        <v>2.5</v>
      </c>
      <c r="I3" s="525">
        <v>2</v>
      </c>
      <c r="J3" s="525">
        <v>2</v>
      </c>
      <c r="K3" s="525">
        <v>2</v>
      </c>
      <c r="L3" s="525">
        <v>2</v>
      </c>
      <c r="M3" s="572">
        <v>2</v>
      </c>
    </row>
    <row r="4" spans="1:13" ht="19.5" customHeight="1">
      <c r="A4" s="524" t="s">
        <v>2589</v>
      </c>
      <c r="B4" s="526">
        <v>2.5</v>
      </c>
      <c r="C4" s="526">
        <v>2.5</v>
      </c>
      <c r="D4" s="526">
        <v>2.5</v>
      </c>
      <c r="E4" s="526">
        <v>2.5</v>
      </c>
      <c r="F4" s="526">
        <v>2.5</v>
      </c>
      <c r="G4" s="526">
        <v>2.5</v>
      </c>
      <c r="H4" s="526">
        <v>2.5</v>
      </c>
      <c r="I4" s="525">
        <v>1.5</v>
      </c>
      <c r="J4" s="525">
        <v>1.5</v>
      </c>
      <c r="K4" s="525">
        <v>1.5</v>
      </c>
      <c r="L4" s="525">
        <v>1.5</v>
      </c>
      <c r="M4" s="572">
        <v>1.5</v>
      </c>
    </row>
    <row r="5" spans="1:13" ht="19.5" customHeight="1">
      <c r="A5" s="527" t="s">
        <v>2590</v>
      </c>
      <c r="B5" s="525">
        <v>1.5</v>
      </c>
      <c r="C5" s="525">
        <v>1.5</v>
      </c>
      <c r="D5" s="525">
        <v>1.5</v>
      </c>
      <c r="E5" s="525">
        <v>1.5</v>
      </c>
      <c r="F5" s="525">
        <v>1.5</v>
      </c>
      <c r="G5" s="525">
        <v>1.2</v>
      </c>
      <c r="H5" s="525">
        <v>1.2</v>
      </c>
      <c r="I5" s="525">
        <v>1</v>
      </c>
      <c r="J5" s="525">
        <v>1</v>
      </c>
      <c r="K5" s="525">
        <v>1</v>
      </c>
      <c r="L5" s="525">
        <v>1</v>
      </c>
      <c r="M5" s="572">
        <v>1</v>
      </c>
    </row>
    <row r="6" spans="1:13" ht="19.5" customHeight="1">
      <c r="A6" s="528" t="s">
        <v>2591</v>
      </c>
      <c r="B6" s="529">
        <v>2.5</v>
      </c>
      <c r="C6" s="529">
        <v>2.5</v>
      </c>
      <c r="D6" s="529">
        <v>2</v>
      </c>
      <c r="E6" s="529">
        <v>2</v>
      </c>
      <c r="F6" s="529">
        <v>2</v>
      </c>
      <c r="G6" s="529">
        <v>2</v>
      </c>
      <c r="H6" s="529">
        <v>2</v>
      </c>
      <c r="I6" s="573">
        <v>1.5</v>
      </c>
      <c r="J6" s="573">
        <v>1.5</v>
      </c>
      <c r="K6" s="573">
        <v>1.5</v>
      </c>
      <c r="L6" s="573">
        <v>1.5</v>
      </c>
      <c r="M6" s="574">
        <v>1.5</v>
      </c>
    </row>
    <row r="7" spans="1:13" ht="19.5" customHeight="1">
      <c r="A7" s="530" t="s">
        <v>2592</v>
      </c>
      <c r="B7" s="531">
        <v>2.5</v>
      </c>
      <c r="C7" s="531">
        <v>2.5</v>
      </c>
      <c r="D7" s="531">
        <v>2</v>
      </c>
      <c r="E7" s="531">
        <v>2</v>
      </c>
      <c r="F7" s="531">
        <v>2</v>
      </c>
      <c r="G7" s="531">
        <v>2</v>
      </c>
      <c r="H7" s="531">
        <v>2</v>
      </c>
      <c r="I7" s="575">
        <v>1.5</v>
      </c>
      <c r="J7" s="575">
        <v>1.5</v>
      </c>
      <c r="K7" s="575">
        <v>1.5</v>
      </c>
      <c r="L7" s="575">
        <v>1.5</v>
      </c>
      <c r="M7" s="576">
        <v>1.5</v>
      </c>
    </row>
    <row r="8" spans="1:13" ht="19.5" customHeight="1">
      <c r="A8" s="532" t="s">
        <v>2593</v>
      </c>
      <c r="B8" s="533">
        <v>80</v>
      </c>
      <c r="C8" s="533">
        <v>80</v>
      </c>
      <c r="D8" s="533">
        <v>70</v>
      </c>
      <c r="E8" s="533">
        <v>70</v>
      </c>
      <c r="F8" s="533">
        <v>70</v>
      </c>
      <c r="G8" s="533">
        <v>70</v>
      </c>
      <c r="H8" s="533">
        <v>70</v>
      </c>
      <c r="I8" s="533">
        <v>60</v>
      </c>
      <c r="J8" s="533">
        <v>60</v>
      </c>
      <c r="K8" s="533">
        <v>60</v>
      </c>
      <c r="L8" s="533">
        <v>60</v>
      </c>
      <c r="M8" s="577">
        <v>60</v>
      </c>
    </row>
    <row r="9" spans="1:13" ht="19.5" customHeight="1">
      <c r="A9" s="534" t="s">
        <v>2594</v>
      </c>
      <c r="B9" s="535">
        <v>70</v>
      </c>
      <c r="C9" s="535">
        <v>70</v>
      </c>
      <c r="D9" s="535">
        <v>60</v>
      </c>
      <c r="E9" s="535">
        <v>60</v>
      </c>
      <c r="F9" s="535">
        <v>60</v>
      </c>
      <c r="G9" s="535">
        <v>60</v>
      </c>
      <c r="H9" s="535">
        <v>60</v>
      </c>
      <c r="I9" s="535">
        <v>50</v>
      </c>
      <c r="J9" s="535">
        <v>50</v>
      </c>
      <c r="K9" s="535">
        <v>50</v>
      </c>
      <c r="L9" s="535">
        <v>50</v>
      </c>
      <c r="M9" s="578">
        <v>50</v>
      </c>
    </row>
    <row r="10" spans="1:13" ht="19.5" customHeight="1">
      <c r="A10" s="534" t="s">
        <v>2595</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2596</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2597</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2598</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2599</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2600</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2601</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2602</v>
      </c>
      <c r="B18" s="540"/>
      <c r="C18" s="541"/>
      <c r="D18" s="541"/>
      <c r="E18" s="540"/>
      <c r="F18" s="541"/>
      <c r="G18" s="541"/>
    </row>
    <row r="19" spans="1:13" ht="19.5" customHeight="1">
      <c r="A19" s="537" t="s">
        <v>2603</v>
      </c>
      <c r="B19" s="542" t="s">
        <v>2604</v>
      </c>
      <c r="C19" s="543" t="s">
        <v>2605</v>
      </c>
      <c r="D19" s="544"/>
      <c r="E19" s="535" t="s">
        <v>2606</v>
      </c>
      <c r="F19" s="545"/>
      <c r="G19" s="545"/>
    </row>
    <row r="20" spans="1:13" s="517" customFormat="1" ht="19.5" customHeight="1">
      <c r="A20" s="3598" t="s">
        <v>451</v>
      </c>
      <c r="B20" s="3604" t="s">
        <v>2607</v>
      </c>
      <c r="C20" s="546" t="s">
        <v>2608</v>
      </c>
      <c r="D20" s="547"/>
      <c r="E20" s="548">
        <v>1</v>
      </c>
      <c r="F20" s="549" t="s">
        <v>2609</v>
      </c>
      <c r="G20" s="550"/>
      <c r="H20" s="518"/>
      <c r="I20" s="518"/>
    </row>
    <row r="21" spans="1:13" s="517" customFormat="1" ht="19.5" customHeight="1">
      <c r="A21" s="3599"/>
      <c r="B21" s="3597"/>
      <c r="C21" s="551" t="s">
        <v>2610</v>
      </c>
      <c r="D21" s="552"/>
      <c r="E21" s="553">
        <v>1</v>
      </c>
      <c r="F21" s="549" t="s">
        <v>2611</v>
      </c>
      <c r="G21" s="550"/>
      <c r="H21" s="518"/>
      <c r="I21" s="518"/>
    </row>
    <row r="22" spans="1:13" s="517" customFormat="1" ht="19.5" customHeight="1">
      <c r="A22" s="3599"/>
      <c r="B22" s="3597"/>
      <c r="C22" s="551" t="s">
        <v>2612</v>
      </c>
      <c r="D22" s="552"/>
      <c r="E22" s="553">
        <v>0.9</v>
      </c>
      <c r="F22" s="549" t="s">
        <v>2613</v>
      </c>
      <c r="G22" s="550"/>
      <c r="H22" s="518"/>
      <c r="I22" s="518"/>
    </row>
    <row r="23" spans="1:13" s="517" customFormat="1" ht="19.5" customHeight="1">
      <c r="A23" s="3599"/>
      <c r="B23" s="3597"/>
      <c r="C23" s="551" t="s">
        <v>2614</v>
      </c>
      <c r="D23" s="552"/>
      <c r="E23" s="553">
        <v>0.9</v>
      </c>
      <c r="F23" s="549" t="s">
        <v>2615</v>
      </c>
      <c r="G23" s="550"/>
      <c r="H23" s="518"/>
      <c r="I23" s="518"/>
    </row>
    <row r="24" spans="1:13" s="517" customFormat="1" ht="19.5" customHeight="1">
      <c r="A24" s="3599"/>
      <c r="B24" s="3597"/>
      <c r="C24" s="551" t="s">
        <v>2616</v>
      </c>
      <c r="D24" s="552"/>
      <c r="E24" s="553">
        <v>0.8</v>
      </c>
      <c r="F24" s="549" t="s">
        <v>2617</v>
      </c>
      <c r="G24" s="550"/>
      <c r="H24" s="518"/>
      <c r="I24" s="518"/>
    </row>
    <row r="25" spans="1:13" s="517" customFormat="1" ht="19.5" customHeight="1">
      <c r="A25" s="3600"/>
      <c r="B25" s="3605"/>
      <c r="C25" s="554" t="s">
        <v>2618</v>
      </c>
      <c r="D25" s="555"/>
      <c r="E25" s="556">
        <v>0.8</v>
      </c>
      <c r="F25" s="549" t="s">
        <v>2619</v>
      </c>
      <c r="G25" s="550"/>
      <c r="H25" s="518"/>
      <c r="I25" s="518"/>
    </row>
    <row r="26" spans="1:13" s="517" customFormat="1" ht="19.5" customHeight="1">
      <c r="A26" s="557" t="s">
        <v>2588</v>
      </c>
      <c r="B26" s="558" t="s">
        <v>2607</v>
      </c>
      <c r="C26" s="559" t="s">
        <v>2620</v>
      </c>
      <c r="D26" s="560"/>
      <c r="E26" s="561">
        <v>1</v>
      </c>
      <c r="F26" s="549" t="s">
        <v>2621</v>
      </c>
      <c r="G26" s="550"/>
      <c r="H26" s="518"/>
      <c r="I26" s="518"/>
    </row>
    <row r="27" spans="1:13" s="517" customFormat="1" ht="19.5" customHeight="1">
      <c r="A27" s="3601" t="s">
        <v>2592</v>
      </c>
      <c r="B27" s="3604" t="s">
        <v>2592</v>
      </c>
      <c r="C27" s="546" t="s">
        <v>2622</v>
      </c>
      <c r="D27" s="547"/>
      <c r="E27" s="548">
        <v>1</v>
      </c>
      <c r="F27" s="549" t="s">
        <v>2623</v>
      </c>
      <c r="G27" s="550"/>
      <c r="H27" s="518"/>
      <c r="I27" s="518"/>
    </row>
    <row r="28" spans="1:13" s="517" customFormat="1" ht="19.5" customHeight="1">
      <c r="A28" s="3602"/>
      <c r="B28" s="3597"/>
      <c r="C28" s="551" t="s">
        <v>2624</v>
      </c>
      <c r="D28" s="552"/>
      <c r="E28" s="553">
        <v>1</v>
      </c>
      <c r="F28" s="549" t="s">
        <v>2625</v>
      </c>
      <c r="G28" s="550"/>
      <c r="H28" s="518"/>
      <c r="I28" s="518"/>
    </row>
    <row r="29" spans="1:13" s="517" customFormat="1" ht="19.5" customHeight="1">
      <c r="A29" s="3602"/>
      <c r="B29" s="3597"/>
      <c r="C29" s="551" t="s">
        <v>2626</v>
      </c>
      <c r="D29" s="552"/>
      <c r="E29" s="553">
        <v>0.8</v>
      </c>
      <c r="F29" s="549" t="s">
        <v>2627</v>
      </c>
      <c r="G29" s="550"/>
      <c r="H29" s="518"/>
      <c r="I29" s="518"/>
    </row>
    <row r="30" spans="1:13" s="517" customFormat="1" ht="19.5" customHeight="1">
      <c r="A30" s="3602"/>
      <c r="B30" s="3597"/>
      <c r="C30" s="551" t="s">
        <v>2628</v>
      </c>
      <c r="D30" s="552"/>
      <c r="E30" s="553">
        <v>0.8</v>
      </c>
      <c r="F30" s="549" t="s">
        <v>2629</v>
      </c>
      <c r="G30" s="550"/>
      <c r="H30" s="518"/>
      <c r="I30" s="518"/>
    </row>
    <row r="31" spans="1:13" s="517" customFormat="1" ht="19.5" customHeight="1">
      <c r="A31" s="3602"/>
      <c r="B31" s="3597"/>
      <c r="C31" s="551" t="s">
        <v>2630</v>
      </c>
      <c r="D31" s="552"/>
      <c r="E31" s="553">
        <v>0.8</v>
      </c>
      <c r="F31" s="549" t="s">
        <v>2631</v>
      </c>
      <c r="G31" s="550"/>
      <c r="H31" s="518"/>
      <c r="I31" s="518"/>
    </row>
    <row r="32" spans="1:13" s="517" customFormat="1" ht="19.5" customHeight="1">
      <c r="A32" s="3602"/>
      <c r="B32" s="3597"/>
      <c r="C32" s="551" t="s">
        <v>2632</v>
      </c>
      <c r="D32" s="552"/>
      <c r="E32" s="553">
        <v>0.7</v>
      </c>
      <c r="F32" s="549" t="s">
        <v>2633</v>
      </c>
      <c r="G32" s="550"/>
      <c r="H32" s="518"/>
      <c r="I32" s="518"/>
    </row>
    <row r="33" spans="1:9" s="517" customFormat="1" ht="19.5" customHeight="1">
      <c r="A33" s="3602"/>
      <c r="B33" s="3597"/>
      <c r="C33" s="551" t="s">
        <v>2634</v>
      </c>
      <c r="D33" s="552"/>
      <c r="E33" s="553">
        <v>0.8</v>
      </c>
      <c r="F33" s="549" t="s">
        <v>2635</v>
      </c>
      <c r="G33" s="550"/>
      <c r="H33" s="518"/>
      <c r="I33" s="518"/>
    </row>
    <row r="34" spans="1:9" s="517" customFormat="1" ht="19.5" customHeight="1">
      <c r="A34" s="3602"/>
      <c r="B34" s="3597"/>
      <c r="C34" s="551" t="s">
        <v>2636</v>
      </c>
      <c r="D34" s="552"/>
      <c r="E34" s="553">
        <v>0.6</v>
      </c>
      <c r="F34" s="549" t="s">
        <v>2637</v>
      </c>
      <c r="G34" s="550"/>
      <c r="H34" s="518"/>
      <c r="I34" s="518"/>
    </row>
    <row r="35" spans="1:9" s="517" customFormat="1" ht="19.5" customHeight="1">
      <c r="A35" s="3602"/>
      <c r="B35" s="3597"/>
      <c r="C35" s="551" t="s">
        <v>2638</v>
      </c>
      <c r="D35" s="552"/>
      <c r="E35" s="553">
        <v>0.2</v>
      </c>
      <c r="F35" s="549" t="s">
        <v>2639</v>
      </c>
      <c r="G35" s="550"/>
      <c r="H35" s="518"/>
      <c r="I35" s="518"/>
    </row>
    <row r="36" spans="1:9" s="517" customFormat="1" ht="19.5" customHeight="1">
      <c r="A36" s="3602"/>
      <c r="B36" s="3597"/>
      <c r="C36" s="551" t="s">
        <v>2640</v>
      </c>
      <c r="D36" s="552"/>
      <c r="E36" s="553">
        <v>0.2</v>
      </c>
      <c r="F36" s="549" t="s">
        <v>2641</v>
      </c>
      <c r="G36" s="550"/>
      <c r="H36" s="518"/>
      <c r="I36" s="518"/>
    </row>
    <row r="37" spans="1:9" s="517" customFormat="1" ht="19.5" customHeight="1">
      <c r="A37" s="3602"/>
      <c r="B37" s="3595" t="s">
        <v>2642</v>
      </c>
      <c r="C37" s="551" t="s">
        <v>2643</v>
      </c>
      <c r="D37" s="552"/>
      <c r="E37" s="553">
        <v>0.6</v>
      </c>
      <c r="F37" s="549" t="s">
        <v>2644</v>
      </c>
      <c r="G37" s="550"/>
      <c r="H37" s="518"/>
      <c r="I37" s="518"/>
    </row>
    <row r="38" spans="1:9" s="517" customFormat="1" ht="19.5" customHeight="1">
      <c r="A38" s="3602"/>
      <c r="B38" s="3597"/>
      <c r="C38" s="551" t="s">
        <v>2645</v>
      </c>
      <c r="D38" s="552"/>
      <c r="E38" s="553">
        <v>0.6</v>
      </c>
      <c r="F38" s="549" t="s">
        <v>2646</v>
      </c>
      <c r="G38" s="550"/>
      <c r="H38" s="518"/>
      <c r="I38" s="518"/>
    </row>
    <row r="39" spans="1:9" s="517" customFormat="1" ht="19.5" customHeight="1">
      <c r="A39" s="3603"/>
      <c r="B39" s="3605"/>
      <c r="C39" s="554" t="s">
        <v>2647</v>
      </c>
      <c r="D39" s="555"/>
      <c r="E39" s="556">
        <v>0.6</v>
      </c>
      <c r="F39" s="549" t="s">
        <v>2648</v>
      </c>
      <c r="G39" s="550"/>
      <c r="H39" s="518"/>
      <c r="I39" s="518"/>
    </row>
    <row r="40" spans="1:9" s="517" customFormat="1" ht="19.5" customHeight="1">
      <c r="A40" s="557" t="s">
        <v>2589</v>
      </c>
      <c r="B40" s="558" t="s">
        <v>2589</v>
      </c>
      <c r="C40" s="559" t="s">
        <v>2649</v>
      </c>
      <c r="D40" s="560"/>
      <c r="E40" s="561">
        <v>1</v>
      </c>
      <c r="F40" s="549" t="s">
        <v>2650</v>
      </c>
      <c r="G40" s="550"/>
      <c r="H40" s="518"/>
      <c r="I40" s="518"/>
    </row>
    <row r="41" spans="1:9" s="517" customFormat="1" ht="19.5" customHeight="1">
      <c r="A41" s="3598" t="s">
        <v>2590</v>
      </c>
      <c r="B41" s="3604" t="s">
        <v>2651</v>
      </c>
      <c r="C41" s="546" t="s">
        <v>2652</v>
      </c>
      <c r="D41" s="547"/>
      <c r="E41" s="548">
        <v>1</v>
      </c>
      <c r="F41" s="549" t="s">
        <v>2653</v>
      </c>
      <c r="G41" s="550"/>
      <c r="H41" s="518"/>
      <c r="I41" s="518"/>
    </row>
    <row r="42" spans="1:9" s="517" customFormat="1" ht="19.5" customHeight="1">
      <c r="A42" s="3599"/>
      <c r="B42" s="3597"/>
      <c r="C42" s="551" t="s">
        <v>2654</v>
      </c>
      <c r="D42" s="552"/>
      <c r="E42" s="553">
        <v>1</v>
      </c>
      <c r="F42" s="549" t="s">
        <v>2655</v>
      </c>
      <c r="G42" s="550"/>
      <c r="H42" s="518"/>
      <c r="I42" s="518"/>
    </row>
    <row r="43" spans="1:9" s="517" customFormat="1" ht="19.5" customHeight="1">
      <c r="A43" s="3599"/>
      <c r="B43" s="3596"/>
      <c r="C43" s="551" t="s">
        <v>2656</v>
      </c>
      <c r="D43" s="552"/>
      <c r="E43" s="553">
        <v>1.5</v>
      </c>
      <c r="F43" s="549" t="s">
        <v>2657</v>
      </c>
      <c r="G43" s="550"/>
      <c r="H43" s="518"/>
      <c r="I43" s="518"/>
    </row>
    <row r="44" spans="1:9" s="517" customFormat="1" ht="19.5" customHeight="1">
      <c r="A44" s="3599"/>
      <c r="B44" s="562" t="s">
        <v>2592</v>
      </c>
      <c r="C44" s="551" t="s">
        <v>2591</v>
      </c>
      <c r="D44" s="552"/>
      <c r="E44" s="553">
        <v>2</v>
      </c>
      <c r="F44" s="549" t="s">
        <v>2658</v>
      </c>
      <c r="G44" s="550"/>
      <c r="H44" s="518"/>
      <c r="I44" s="518"/>
    </row>
    <row r="45" spans="1:9" s="517" customFormat="1" ht="19.5" customHeight="1">
      <c r="A45" s="3599"/>
      <c r="B45" s="3595" t="s">
        <v>2659</v>
      </c>
      <c r="C45" s="551" t="s">
        <v>2660</v>
      </c>
      <c r="D45" s="552"/>
      <c r="E45" s="553">
        <v>1</v>
      </c>
      <c r="F45" s="549" t="s">
        <v>2661</v>
      </c>
      <c r="G45" s="550"/>
      <c r="H45" s="518"/>
      <c r="I45" s="518"/>
    </row>
    <row r="46" spans="1:9" s="517" customFormat="1" ht="19.5" customHeight="1">
      <c r="A46" s="3599"/>
      <c r="B46" s="3597"/>
      <c r="C46" s="551" t="s">
        <v>2662</v>
      </c>
      <c r="D46" s="552"/>
      <c r="E46" s="553">
        <v>1</v>
      </c>
      <c r="F46" s="549" t="s">
        <v>2663</v>
      </c>
      <c r="G46" s="550"/>
      <c r="H46" s="518"/>
      <c r="I46" s="518"/>
    </row>
    <row r="47" spans="1:9" s="517" customFormat="1" ht="19.5" customHeight="1">
      <c r="A47" s="3599"/>
      <c r="B47" s="3597"/>
      <c r="C47" s="551" t="s">
        <v>2664</v>
      </c>
      <c r="D47" s="552"/>
      <c r="E47" s="553">
        <v>1</v>
      </c>
      <c r="F47" s="549" t="s">
        <v>2665</v>
      </c>
      <c r="G47" s="550"/>
      <c r="H47" s="518"/>
      <c r="I47" s="518"/>
    </row>
    <row r="48" spans="1:9" s="517" customFormat="1" ht="19.5" customHeight="1">
      <c r="A48" s="3599"/>
      <c r="B48" s="3597"/>
      <c r="C48" s="551" t="s">
        <v>2666</v>
      </c>
      <c r="D48" s="552"/>
      <c r="E48" s="553">
        <v>1</v>
      </c>
      <c r="F48" s="549" t="s">
        <v>2667</v>
      </c>
      <c r="G48" s="550"/>
      <c r="H48" s="518"/>
      <c r="I48" s="518"/>
    </row>
    <row r="49" spans="1:9" s="517" customFormat="1" ht="19.5" customHeight="1">
      <c r="A49" s="3599"/>
      <c r="B49" s="3597"/>
      <c r="C49" s="551" t="s">
        <v>2668</v>
      </c>
      <c r="D49" s="552"/>
      <c r="E49" s="553">
        <v>1</v>
      </c>
      <c r="F49" s="549" t="s">
        <v>2669</v>
      </c>
      <c r="G49" s="550"/>
      <c r="H49" s="518"/>
      <c r="I49" s="518"/>
    </row>
    <row r="50" spans="1:9" s="517" customFormat="1" ht="19.5" customHeight="1">
      <c r="A50" s="3599"/>
      <c r="B50" s="3597"/>
      <c r="C50" s="551" t="s">
        <v>2670</v>
      </c>
      <c r="D50" s="552"/>
      <c r="E50" s="553">
        <v>1</v>
      </c>
      <c r="F50" s="549" t="s">
        <v>2671</v>
      </c>
      <c r="G50" s="550"/>
      <c r="H50" s="518"/>
      <c r="I50" s="518"/>
    </row>
    <row r="51" spans="1:9" s="517" customFormat="1" ht="19.5" customHeight="1">
      <c r="A51" s="3600"/>
      <c r="B51" s="3605"/>
      <c r="C51" s="554" t="s">
        <v>2672</v>
      </c>
      <c r="D51" s="555"/>
      <c r="E51" s="556">
        <v>1</v>
      </c>
      <c r="F51" s="549" t="s">
        <v>2673</v>
      </c>
      <c r="G51" s="550"/>
      <c r="H51" s="518"/>
      <c r="I51" s="518"/>
    </row>
    <row r="52" spans="1:9" s="517" customFormat="1" ht="19.5" customHeight="1">
      <c r="A52" s="563"/>
      <c r="B52" s="563"/>
      <c r="C52" s="563"/>
      <c r="D52" s="563"/>
      <c r="E52" s="563"/>
      <c r="F52" s="564"/>
      <c r="G52" s="564"/>
      <c r="H52" s="518"/>
      <c r="I52" s="518"/>
    </row>
    <row r="54" spans="1:9" ht="19.5" customHeight="1">
      <c r="A54" s="565"/>
      <c r="B54" s="538" t="s">
        <v>445</v>
      </c>
      <c r="C54" s="538" t="s">
        <v>445</v>
      </c>
      <c r="D54" s="538" t="s">
        <v>445</v>
      </c>
      <c r="E54" s="566" t="s">
        <v>445</v>
      </c>
      <c r="F54" s="566" t="s">
        <v>2674</v>
      </c>
      <c r="G54" s="566" t="s">
        <v>445</v>
      </c>
      <c r="I54" s="519"/>
    </row>
    <row r="55" spans="1:9" ht="19.5" customHeight="1">
      <c r="A55" s="567"/>
      <c r="B55" s="566" t="s">
        <v>451</v>
      </c>
      <c r="C55" s="566" t="s">
        <v>451</v>
      </c>
      <c r="D55" s="566" t="s">
        <v>451</v>
      </c>
      <c r="E55" s="538" t="s">
        <v>2588</v>
      </c>
      <c r="F55" s="538" t="s">
        <v>2590</v>
      </c>
      <c r="G55" s="538" t="s">
        <v>579</v>
      </c>
      <c r="I55" s="519"/>
    </row>
    <row r="56" spans="1:9" ht="19.5" customHeight="1">
      <c r="A56" s="568"/>
      <c r="B56" s="538">
        <v>1</v>
      </c>
      <c r="C56" s="538">
        <v>2</v>
      </c>
      <c r="D56" s="538">
        <v>3</v>
      </c>
      <c r="E56" s="569" t="s">
        <v>2675</v>
      </c>
      <c r="F56" s="569" t="s">
        <v>2675</v>
      </c>
      <c r="G56" s="569" t="s">
        <v>2675</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2676</v>
      </c>
      <c r="E70" s="540"/>
      <c r="F70" s="540"/>
    </row>
    <row r="71" spans="1:7" s="518" customFormat="1" ht="19.5" customHeight="1">
      <c r="A71" s="581" t="s">
        <v>1270</v>
      </c>
      <c r="B71" s="581" t="s">
        <v>2677</v>
      </c>
      <c r="C71" s="581" t="s">
        <v>2678</v>
      </c>
      <c r="D71" s="581" t="s">
        <v>2679</v>
      </c>
      <c r="E71" s="581" t="s">
        <v>2680</v>
      </c>
      <c r="F71" s="581" t="s">
        <v>2681</v>
      </c>
    </row>
    <row r="72" spans="1:7" ht="13.5">
      <c r="A72" s="581"/>
      <c r="B72" s="581"/>
      <c r="C72" s="581" t="s">
        <v>2682</v>
      </c>
      <c r="D72" s="581"/>
      <c r="E72" s="582" t="s">
        <v>124</v>
      </c>
      <c r="F72" s="581" t="s">
        <v>124</v>
      </c>
    </row>
    <row r="73" spans="1:7" s="518" customFormat="1" ht="13.5">
      <c r="A73" s="562">
        <v>1</v>
      </c>
      <c r="B73" s="3595" t="s">
        <v>2683</v>
      </c>
      <c r="C73" s="535" t="s">
        <v>2684</v>
      </c>
      <c r="D73" s="535" t="s">
        <v>2685</v>
      </c>
      <c r="E73" s="583">
        <v>0.2</v>
      </c>
      <c r="F73" s="562">
        <v>25</v>
      </c>
    </row>
    <row r="74" spans="1:7" s="518" customFormat="1" ht="24">
      <c r="A74" s="562">
        <v>2</v>
      </c>
      <c r="B74" s="3597"/>
      <c r="C74" s="535" t="s">
        <v>2686</v>
      </c>
      <c r="D74" s="535" t="s">
        <v>2687</v>
      </c>
      <c r="E74" s="583">
        <v>0.2</v>
      </c>
      <c r="F74" s="562">
        <v>25</v>
      </c>
    </row>
    <row r="75" spans="1:7" s="518" customFormat="1" ht="24">
      <c r="A75" s="562">
        <v>3</v>
      </c>
      <c r="B75" s="3597"/>
      <c r="C75" s="535" t="s">
        <v>2688</v>
      </c>
      <c r="D75" s="535" t="s">
        <v>2689</v>
      </c>
      <c r="E75" s="583">
        <v>0.2</v>
      </c>
      <c r="F75" s="562">
        <v>25</v>
      </c>
    </row>
    <row r="76" spans="1:7" s="518" customFormat="1" ht="13.5">
      <c r="A76" s="562">
        <v>4</v>
      </c>
      <c r="B76" s="3597"/>
      <c r="C76" s="535" t="s">
        <v>2690</v>
      </c>
      <c r="D76" s="535" t="s">
        <v>2691</v>
      </c>
      <c r="E76" s="583">
        <v>0.15</v>
      </c>
      <c r="F76" s="562">
        <v>20</v>
      </c>
    </row>
    <row r="77" spans="1:7" s="518" customFormat="1" ht="24">
      <c r="A77" s="562">
        <v>5</v>
      </c>
      <c r="B77" s="3597"/>
      <c r="C77" s="535" t="s">
        <v>2692</v>
      </c>
      <c r="D77" s="535" t="s">
        <v>2693</v>
      </c>
      <c r="E77" s="583">
        <v>0.15</v>
      </c>
      <c r="F77" s="562">
        <v>20</v>
      </c>
    </row>
    <row r="78" spans="1:7" s="518" customFormat="1" ht="24">
      <c r="A78" s="562">
        <v>6</v>
      </c>
      <c r="B78" s="3597"/>
      <c r="C78" s="535" t="s">
        <v>2694</v>
      </c>
      <c r="D78" s="535" t="s">
        <v>2695</v>
      </c>
      <c r="E78" s="583">
        <v>0.15</v>
      </c>
      <c r="F78" s="562">
        <v>20</v>
      </c>
    </row>
    <row r="79" spans="1:7" s="518" customFormat="1" ht="24">
      <c r="A79" s="562">
        <v>7</v>
      </c>
      <c r="B79" s="3597"/>
      <c r="C79" s="535" t="s">
        <v>2696</v>
      </c>
      <c r="D79" s="535" t="s">
        <v>2697</v>
      </c>
      <c r="E79" s="583">
        <v>0.15</v>
      </c>
      <c r="F79" s="562">
        <v>20</v>
      </c>
    </row>
    <row r="80" spans="1:7" s="518" customFormat="1" ht="24">
      <c r="A80" s="562">
        <v>8</v>
      </c>
      <c r="B80" s="3597"/>
      <c r="C80" s="535" t="s">
        <v>2698</v>
      </c>
      <c r="D80" s="535" t="s">
        <v>2699</v>
      </c>
      <c r="E80" s="583">
        <v>0.1</v>
      </c>
      <c r="F80" s="562">
        <v>15</v>
      </c>
    </row>
    <row r="81" spans="1:6" s="518" customFormat="1" ht="24">
      <c r="A81" s="562">
        <v>9</v>
      </c>
      <c r="B81" s="3597"/>
      <c r="C81" s="535" t="s">
        <v>2700</v>
      </c>
      <c r="D81" s="535" t="s">
        <v>2701</v>
      </c>
      <c r="E81" s="583">
        <v>0.1</v>
      </c>
      <c r="F81" s="562">
        <v>15</v>
      </c>
    </row>
    <row r="82" spans="1:6" s="518" customFormat="1" ht="24">
      <c r="A82" s="562">
        <v>10</v>
      </c>
      <c r="B82" s="3597"/>
      <c r="C82" s="535" t="s">
        <v>2702</v>
      </c>
      <c r="D82" s="535" t="s">
        <v>2703</v>
      </c>
      <c r="E82" s="583">
        <v>0.1</v>
      </c>
      <c r="F82" s="562">
        <v>15</v>
      </c>
    </row>
    <row r="83" spans="1:6" s="518" customFormat="1" ht="24">
      <c r="A83" s="562">
        <v>11</v>
      </c>
      <c r="B83" s="3597"/>
      <c r="C83" s="535" t="s">
        <v>2704</v>
      </c>
      <c r="D83" s="535" t="s">
        <v>2705</v>
      </c>
      <c r="E83" s="583">
        <v>0.1</v>
      </c>
      <c r="F83" s="562">
        <v>15</v>
      </c>
    </row>
    <row r="84" spans="1:6" s="518" customFormat="1" ht="24">
      <c r="A84" s="562">
        <v>12</v>
      </c>
      <c r="B84" s="3597"/>
      <c r="C84" s="535" t="s">
        <v>2706</v>
      </c>
      <c r="D84" s="535" t="s">
        <v>2707</v>
      </c>
      <c r="E84" s="583">
        <v>0.1</v>
      </c>
      <c r="F84" s="562">
        <v>15</v>
      </c>
    </row>
    <row r="85" spans="1:6" s="518" customFormat="1" ht="13.5">
      <c r="A85" s="562">
        <v>13</v>
      </c>
      <c r="B85" s="3597"/>
      <c r="C85" s="535" t="s">
        <v>2708</v>
      </c>
      <c r="D85" s="535" t="s">
        <v>2709</v>
      </c>
      <c r="E85" s="583">
        <v>0.1</v>
      </c>
      <c r="F85" s="562">
        <v>15</v>
      </c>
    </row>
    <row r="86" spans="1:6" s="518" customFormat="1" ht="13.5">
      <c r="A86" s="562">
        <v>14</v>
      </c>
      <c r="B86" s="3597"/>
      <c r="C86" s="535" t="s">
        <v>2710</v>
      </c>
      <c r="D86" s="535" t="s">
        <v>2711</v>
      </c>
      <c r="E86" s="583">
        <v>0.1</v>
      </c>
      <c r="F86" s="562">
        <v>15</v>
      </c>
    </row>
    <row r="87" spans="1:6" s="518" customFormat="1" ht="13.5">
      <c r="A87" s="562">
        <v>15</v>
      </c>
      <c r="B87" s="3597"/>
      <c r="C87" s="535" t="s">
        <v>2712</v>
      </c>
      <c r="D87" s="535" t="s">
        <v>2713</v>
      </c>
      <c r="E87" s="583">
        <v>0.1</v>
      </c>
      <c r="F87" s="562">
        <v>15</v>
      </c>
    </row>
    <row r="88" spans="1:6" s="518" customFormat="1" ht="24">
      <c r="A88" s="562">
        <v>16</v>
      </c>
      <c r="B88" s="3597"/>
      <c r="C88" s="535" t="s">
        <v>2714</v>
      </c>
      <c r="D88" s="535" t="s">
        <v>2715</v>
      </c>
      <c r="E88" s="583">
        <v>0.1</v>
      </c>
      <c r="F88" s="562">
        <v>15</v>
      </c>
    </row>
    <row r="89" spans="1:6" s="518" customFormat="1" ht="24">
      <c r="A89" s="562">
        <v>17</v>
      </c>
      <c r="B89" s="3596"/>
      <c r="C89" s="535" t="s">
        <v>2716</v>
      </c>
      <c r="D89" s="535" t="s">
        <v>2717</v>
      </c>
      <c r="E89" s="583">
        <v>0.1</v>
      </c>
      <c r="F89" s="562">
        <v>15</v>
      </c>
    </row>
    <row r="90" spans="1:6" s="518" customFormat="1" ht="13.5">
      <c r="A90" s="562">
        <v>18</v>
      </c>
      <c r="B90" s="3595" t="s">
        <v>2718</v>
      </c>
      <c r="C90" s="535" t="s">
        <v>2719</v>
      </c>
      <c r="D90" s="535" t="s">
        <v>2720</v>
      </c>
      <c r="E90" s="583">
        <v>0.2</v>
      </c>
      <c r="F90" s="562">
        <v>25</v>
      </c>
    </row>
    <row r="91" spans="1:6" s="518" customFormat="1" ht="24">
      <c r="A91" s="562">
        <v>19</v>
      </c>
      <c r="B91" s="3597"/>
      <c r="C91" s="535" t="s">
        <v>2721</v>
      </c>
      <c r="D91" s="535" t="s">
        <v>2722</v>
      </c>
      <c r="E91" s="583">
        <v>0.2</v>
      </c>
      <c r="F91" s="562">
        <v>25</v>
      </c>
    </row>
    <row r="92" spans="1:6" s="518" customFormat="1" ht="13.5">
      <c r="A92" s="562">
        <v>20</v>
      </c>
      <c r="B92" s="3597"/>
      <c r="C92" s="535" t="s">
        <v>2723</v>
      </c>
      <c r="D92" s="535" t="s">
        <v>2724</v>
      </c>
      <c r="E92" s="583">
        <v>0.15</v>
      </c>
      <c r="F92" s="562">
        <v>20</v>
      </c>
    </row>
    <row r="93" spans="1:6" s="518" customFormat="1" ht="24">
      <c r="A93" s="562">
        <v>21</v>
      </c>
      <c r="B93" s="3597"/>
      <c r="C93" s="535" t="s">
        <v>2725</v>
      </c>
      <c r="D93" s="535" t="s">
        <v>2726</v>
      </c>
      <c r="E93" s="583">
        <v>0.15</v>
      </c>
      <c r="F93" s="562">
        <v>20</v>
      </c>
    </row>
    <row r="94" spans="1:6" s="518" customFormat="1" ht="24">
      <c r="A94" s="562">
        <v>22</v>
      </c>
      <c r="B94" s="3597"/>
      <c r="C94" s="535" t="s">
        <v>2727</v>
      </c>
      <c r="D94" s="535" t="s">
        <v>2728</v>
      </c>
      <c r="E94" s="583">
        <v>0.15</v>
      </c>
      <c r="F94" s="562">
        <v>20</v>
      </c>
    </row>
    <row r="95" spans="1:6" s="518" customFormat="1" ht="36">
      <c r="A95" s="562">
        <v>23</v>
      </c>
      <c r="B95" s="3597"/>
      <c r="C95" s="535" t="s">
        <v>2729</v>
      </c>
      <c r="D95" s="535" t="s">
        <v>2730</v>
      </c>
      <c r="E95" s="583">
        <v>0.15</v>
      </c>
      <c r="F95" s="562">
        <v>20</v>
      </c>
    </row>
    <row r="96" spans="1:6" s="518" customFormat="1" ht="13.5">
      <c r="A96" s="562">
        <v>24</v>
      </c>
      <c r="B96" s="3597"/>
      <c r="C96" s="535" t="s">
        <v>2731</v>
      </c>
      <c r="D96" s="535" t="s">
        <v>2732</v>
      </c>
      <c r="E96" s="583">
        <v>0.1</v>
      </c>
      <c r="F96" s="562">
        <v>15</v>
      </c>
    </row>
    <row r="97" spans="1:6" s="518" customFormat="1" ht="24">
      <c r="A97" s="562">
        <v>25</v>
      </c>
      <c r="B97" s="3597"/>
      <c r="C97" s="535" t="s">
        <v>2733</v>
      </c>
      <c r="D97" s="535" t="s">
        <v>2734</v>
      </c>
      <c r="E97" s="583">
        <v>0.1</v>
      </c>
      <c r="F97" s="562">
        <v>15</v>
      </c>
    </row>
    <row r="98" spans="1:6" s="518" customFormat="1" ht="24">
      <c r="A98" s="562">
        <v>26</v>
      </c>
      <c r="B98" s="3597"/>
      <c r="C98" s="535" t="s">
        <v>2735</v>
      </c>
      <c r="D98" s="535" t="s">
        <v>2736</v>
      </c>
      <c r="E98" s="583">
        <v>0.1</v>
      </c>
      <c r="F98" s="562">
        <v>15</v>
      </c>
    </row>
    <row r="99" spans="1:6" s="518" customFormat="1" ht="24">
      <c r="A99" s="562">
        <v>27</v>
      </c>
      <c r="B99" s="3597"/>
      <c r="C99" s="535" t="s">
        <v>2737</v>
      </c>
      <c r="D99" s="535" t="s">
        <v>2738</v>
      </c>
      <c r="E99" s="583">
        <v>0.1</v>
      </c>
      <c r="F99" s="562">
        <v>15</v>
      </c>
    </row>
    <row r="100" spans="1:6" s="518" customFormat="1" ht="24">
      <c r="A100" s="562">
        <v>28</v>
      </c>
      <c r="B100" s="3597"/>
      <c r="C100" s="535" t="s">
        <v>2739</v>
      </c>
      <c r="D100" s="535" t="s">
        <v>2740</v>
      </c>
      <c r="E100" s="583">
        <v>0.1</v>
      </c>
      <c r="F100" s="562">
        <v>15</v>
      </c>
    </row>
    <row r="101" spans="1:6" s="518" customFormat="1" ht="24">
      <c r="A101" s="562">
        <v>29</v>
      </c>
      <c r="B101" s="3597"/>
      <c r="C101" s="535" t="s">
        <v>2741</v>
      </c>
      <c r="D101" s="535" t="s">
        <v>2742</v>
      </c>
      <c r="E101" s="583">
        <v>0.1</v>
      </c>
      <c r="F101" s="562">
        <v>15</v>
      </c>
    </row>
    <row r="102" spans="1:6" s="518" customFormat="1" ht="24">
      <c r="A102" s="562">
        <v>30</v>
      </c>
      <c r="B102" s="3597"/>
      <c r="C102" s="535" t="s">
        <v>2743</v>
      </c>
      <c r="D102" s="535" t="s">
        <v>2744</v>
      </c>
      <c r="E102" s="583">
        <v>0.1</v>
      </c>
      <c r="F102" s="562">
        <v>15</v>
      </c>
    </row>
    <row r="103" spans="1:6" s="518" customFormat="1" ht="24">
      <c r="A103" s="562">
        <v>31</v>
      </c>
      <c r="B103" s="3597"/>
      <c r="C103" s="535" t="s">
        <v>2745</v>
      </c>
      <c r="D103" s="535" t="s">
        <v>2746</v>
      </c>
      <c r="E103" s="583">
        <v>0.1</v>
      </c>
      <c r="F103" s="562">
        <v>15</v>
      </c>
    </row>
    <row r="104" spans="1:6" s="518" customFormat="1" ht="24">
      <c r="A104" s="562">
        <v>32</v>
      </c>
      <c r="B104" s="3597"/>
      <c r="C104" s="535" t="s">
        <v>2747</v>
      </c>
      <c r="D104" s="535" t="s">
        <v>2748</v>
      </c>
      <c r="E104" s="583">
        <v>0.1</v>
      </c>
      <c r="F104" s="562">
        <v>15</v>
      </c>
    </row>
    <row r="105" spans="1:6" s="518" customFormat="1" ht="24">
      <c r="A105" s="562">
        <v>33</v>
      </c>
      <c r="B105" s="3597"/>
      <c r="C105" s="535" t="s">
        <v>2749</v>
      </c>
      <c r="D105" s="535" t="s">
        <v>2750</v>
      </c>
      <c r="E105" s="583">
        <v>0.1</v>
      </c>
      <c r="F105" s="562">
        <v>15</v>
      </c>
    </row>
    <row r="106" spans="1:6" s="518" customFormat="1" ht="24">
      <c r="A106" s="562">
        <v>34</v>
      </c>
      <c r="B106" s="3596"/>
      <c r="C106" s="535" t="s">
        <v>2751</v>
      </c>
      <c r="D106" s="535" t="s">
        <v>2752</v>
      </c>
      <c r="E106" s="583">
        <v>0.1</v>
      </c>
      <c r="F106" s="562">
        <v>15</v>
      </c>
    </row>
    <row r="107" spans="1:6" s="518" customFormat="1" ht="24">
      <c r="A107" s="562">
        <v>35</v>
      </c>
      <c r="B107" s="3595" t="s">
        <v>2753</v>
      </c>
      <c r="C107" s="562" t="s">
        <v>2754</v>
      </c>
      <c r="D107" s="535" t="s">
        <v>2755</v>
      </c>
      <c r="E107" s="583">
        <v>0.15</v>
      </c>
      <c r="F107" s="562">
        <v>20</v>
      </c>
    </row>
    <row r="108" spans="1:6" s="518" customFormat="1" ht="24">
      <c r="A108" s="562">
        <v>36</v>
      </c>
      <c r="B108" s="3597"/>
      <c r="C108" s="562" t="s">
        <v>2756</v>
      </c>
      <c r="D108" s="535" t="s">
        <v>2757</v>
      </c>
      <c r="E108" s="583">
        <v>0.15</v>
      </c>
      <c r="F108" s="562">
        <v>20</v>
      </c>
    </row>
    <row r="109" spans="1:6" s="518" customFormat="1" ht="24">
      <c r="A109" s="562">
        <v>37</v>
      </c>
      <c r="B109" s="3597"/>
      <c r="C109" s="562" t="s">
        <v>2758</v>
      </c>
      <c r="D109" s="535" t="s">
        <v>2759</v>
      </c>
      <c r="E109" s="583">
        <v>0.15</v>
      </c>
      <c r="F109" s="562">
        <v>20</v>
      </c>
    </row>
    <row r="110" spans="1:6" s="518" customFormat="1" ht="13.5">
      <c r="A110" s="562">
        <v>38</v>
      </c>
      <c r="B110" s="3597"/>
      <c r="C110" s="562" t="s">
        <v>2760</v>
      </c>
      <c r="D110" s="535" t="s">
        <v>2761</v>
      </c>
      <c r="E110" s="583">
        <v>0.1</v>
      </c>
      <c r="F110" s="562">
        <v>15</v>
      </c>
    </row>
    <row r="111" spans="1:6" s="518" customFormat="1" ht="24">
      <c r="A111" s="562">
        <v>39</v>
      </c>
      <c r="B111" s="3597"/>
      <c r="C111" s="562" t="s">
        <v>2762</v>
      </c>
      <c r="D111" s="535" t="s">
        <v>2763</v>
      </c>
      <c r="E111" s="583">
        <v>0.1</v>
      </c>
      <c r="F111" s="562">
        <v>15</v>
      </c>
    </row>
    <row r="112" spans="1:6" s="518" customFormat="1" ht="24">
      <c r="A112" s="562">
        <v>40</v>
      </c>
      <c r="B112" s="3596"/>
      <c r="C112" s="562" t="s">
        <v>2764</v>
      </c>
      <c r="D112" s="535" t="s">
        <v>2765</v>
      </c>
      <c r="E112" s="583">
        <v>0.1</v>
      </c>
      <c r="F112" s="562">
        <v>15</v>
      </c>
    </row>
    <row r="113" spans="1:6" s="518" customFormat="1" ht="24">
      <c r="A113" s="562">
        <v>41</v>
      </c>
      <c r="B113" s="3594" t="s">
        <v>2766</v>
      </c>
      <c r="C113" s="562" t="s">
        <v>2767</v>
      </c>
      <c r="D113" s="535" t="s">
        <v>2768</v>
      </c>
      <c r="E113" s="583">
        <v>0.1</v>
      </c>
      <c r="F113" s="562">
        <v>15</v>
      </c>
    </row>
    <row r="114" spans="1:6" s="518" customFormat="1" ht="13.5">
      <c r="A114" s="562">
        <v>42</v>
      </c>
      <c r="B114" s="3594"/>
      <c r="C114" s="562" t="s">
        <v>2769</v>
      </c>
      <c r="D114" s="535" t="s">
        <v>2770</v>
      </c>
      <c r="E114" s="583">
        <v>0.1</v>
      </c>
      <c r="F114" s="562">
        <v>15</v>
      </c>
    </row>
    <row r="115" spans="1:6" s="518" customFormat="1" ht="24">
      <c r="A115" s="562">
        <v>43</v>
      </c>
      <c r="B115" s="3594"/>
      <c r="C115" s="562" t="s">
        <v>2771</v>
      </c>
      <c r="D115" s="535" t="s">
        <v>2772</v>
      </c>
      <c r="E115" s="583">
        <v>0.1</v>
      </c>
      <c r="F115" s="562">
        <v>15</v>
      </c>
    </row>
    <row r="116" spans="1:6" s="518" customFormat="1" ht="24">
      <c r="A116" s="562">
        <v>44</v>
      </c>
      <c r="B116" s="3595" t="s">
        <v>2773</v>
      </c>
      <c r="C116" s="562" t="s">
        <v>2774</v>
      </c>
      <c r="D116" s="535" t="s">
        <v>2775</v>
      </c>
      <c r="E116" s="583">
        <v>0.1</v>
      </c>
      <c r="F116" s="562">
        <v>15</v>
      </c>
    </row>
    <row r="117" spans="1:6" s="518" customFormat="1" ht="24">
      <c r="A117" s="562">
        <v>45</v>
      </c>
      <c r="B117" s="3596"/>
      <c r="C117" s="535" t="s">
        <v>2776</v>
      </c>
      <c r="D117" s="535" t="s">
        <v>2777</v>
      </c>
      <c r="E117" s="583">
        <v>0.1</v>
      </c>
      <c r="F117" s="562">
        <v>15</v>
      </c>
    </row>
    <row r="118" spans="1:6" s="518" customFormat="1" ht="24">
      <c r="A118" s="562">
        <v>46</v>
      </c>
      <c r="B118" s="3595" t="s">
        <v>2778</v>
      </c>
      <c r="C118" s="562" t="s">
        <v>2779</v>
      </c>
      <c r="D118" s="535" t="s">
        <v>2780</v>
      </c>
      <c r="E118" s="583">
        <v>0.1</v>
      </c>
      <c r="F118" s="562">
        <v>15</v>
      </c>
    </row>
    <row r="119" spans="1:6" s="518" customFormat="1" ht="24">
      <c r="A119" s="562">
        <v>47</v>
      </c>
      <c r="B119" s="3596"/>
      <c r="C119" s="562" t="s">
        <v>2781</v>
      </c>
      <c r="D119" s="535" t="s">
        <v>2782</v>
      </c>
      <c r="E119" s="583">
        <v>0.1</v>
      </c>
      <c r="F119" s="562">
        <v>15</v>
      </c>
    </row>
    <row r="120" spans="1:6" s="518" customFormat="1" ht="24">
      <c r="A120" s="562">
        <v>48</v>
      </c>
      <c r="B120" s="3595" t="s">
        <v>2783</v>
      </c>
      <c r="C120" s="562" t="s">
        <v>2784</v>
      </c>
      <c r="D120" s="535" t="s">
        <v>2785</v>
      </c>
      <c r="E120" s="583">
        <v>0.1</v>
      </c>
      <c r="F120" s="562">
        <v>15</v>
      </c>
    </row>
    <row r="121" spans="1:6" s="518" customFormat="1" ht="13.5">
      <c r="A121" s="562">
        <v>49</v>
      </c>
      <c r="B121" s="3596"/>
      <c r="C121" s="562" t="s">
        <v>2786</v>
      </c>
      <c r="D121" s="535" t="s">
        <v>2787</v>
      </c>
      <c r="E121" s="583">
        <v>0.1</v>
      </c>
      <c r="F121" s="562">
        <v>15</v>
      </c>
    </row>
    <row r="122" spans="1:6" s="518" customFormat="1" ht="24">
      <c r="A122" s="562">
        <v>50</v>
      </c>
      <c r="B122" s="3594" t="s">
        <v>2788</v>
      </c>
      <c r="C122" s="562" t="s">
        <v>2789</v>
      </c>
      <c r="D122" s="535" t="s">
        <v>2790</v>
      </c>
      <c r="E122" s="583">
        <v>0.1</v>
      </c>
      <c r="F122" s="562">
        <v>15</v>
      </c>
    </row>
    <row r="123" spans="1:6" s="518" customFormat="1" ht="24">
      <c r="A123" s="562">
        <v>51</v>
      </c>
      <c r="B123" s="3594"/>
      <c r="C123" s="562" t="s">
        <v>2791</v>
      </c>
      <c r="D123" s="535" t="s">
        <v>2792</v>
      </c>
      <c r="E123" s="583">
        <v>0.1</v>
      </c>
      <c r="F123" s="562">
        <v>15</v>
      </c>
    </row>
    <row r="124" spans="1:6" s="518" customFormat="1" ht="24">
      <c r="A124" s="562">
        <v>52</v>
      </c>
      <c r="B124" s="3594" t="s">
        <v>2793</v>
      </c>
      <c r="C124" s="562" t="s">
        <v>2794</v>
      </c>
      <c r="D124" s="535" t="s">
        <v>2795</v>
      </c>
      <c r="E124" s="583">
        <v>0.1</v>
      </c>
      <c r="F124" s="562">
        <v>15</v>
      </c>
    </row>
    <row r="125" spans="1:6" s="518" customFormat="1" ht="24">
      <c r="A125" s="562">
        <v>53</v>
      </c>
      <c r="B125" s="3594"/>
      <c r="C125" s="562" t="s">
        <v>2796</v>
      </c>
      <c r="D125" s="535" t="s">
        <v>2797</v>
      </c>
      <c r="E125" s="583">
        <v>0.1</v>
      </c>
      <c r="F125" s="562">
        <v>15</v>
      </c>
    </row>
    <row r="126" spans="1:6" ht="24">
      <c r="A126" s="562">
        <v>54</v>
      </c>
      <c r="B126" s="562" t="s">
        <v>2798</v>
      </c>
      <c r="C126" s="562" t="s">
        <v>2799</v>
      </c>
      <c r="D126" s="535" t="s">
        <v>2800</v>
      </c>
      <c r="E126" s="583">
        <v>0.1</v>
      </c>
      <c r="F126" s="562">
        <v>15</v>
      </c>
    </row>
    <row r="127" spans="1:6" ht="13.5">
      <c r="A127" s="562">
        <v>55</v>
      </c>
      <c r="B127" s="3594" t="s">
        <v>2801</v>
      </c>
      <c r="C127" s="562" t="s">
        <v>2802</v>
      </c>
      <c r="D127" s="535" t="s">
        <v>2803</v>
      </c>
      <c r="E127" s="583">
        <v>0.1</v>
      </c>
      <c r="F127" s="562">
        <v>15</v>
      </c>
    </row>
    <row r="128" spans="1:6" ht="13.5">
      <c r="A128" s="562">
        <v>56</v>
      </c>
      <c r="B128" s="3594"/>
      <c r="C128" s="562" t="s">
        <v>2804</v>
      </c>
      <c r="D128" s="535" t="s">
        <v>2805</v>
      </c>
      <c r="E128" s="583">
        <v>0.1</v>
      </c>
      <c r="F128" s="562">
        <v>15</v>
      </c>
    </row>
    <row r="129" spans="1:6" ht="24">
      <c r="A129" s="562">
        <v>57</v>
      </c>
      <c r="B129" s="3594"/>
      <c r="C129" s="562" t="s">
        <v>2806</v>
      </c>
      <c r="D129" s="535" t="s">
        <v>2807</v>
      </c>
      <c r="E129" s="583">
        <v>0.1</v>
      </c>
      <c r="F129" s="562">
        <v>15</v>
      </c>
    </row>
    <row r="130" spans="1:6" ht="24">
      <c r="A130" s="562">
        <v>58</v>
      </c>
      <c r="B130" s="3594" t="s">
        <v>2808</v>
      </c>
      <c r="C130" s="562" t="s">
        <v>2809</v>
      </c>
      <c r="D130" s="535" t="s">
        <v>2810</v>
      </c>
      <c r="E130" s="583">
        <v>0.1</v>
      </c>
      <c r="F130" s="562">
        <v>15</v>
      </c>
    </row>
    <row r="131" spans="1:6" ht="24">
      <c r="A131" s="562">
        <v>59</v>
      </c>
      <c r="B131" s="3594"/>
      <c r="C131" s="562" t="s">
        <v>2811</v>
      </c>
      <c r="D131" s="535" t="s">
        <v>2812</v>
      </c>
      <c r="E131" s="583">
        <v>0.1</v>
      </c>
      <c r="F131" s="562">
        <v>15</v>
      </c>
    </row>
    <row r="132" spans="1:6" ht="24">
      <c r="A132" s="562">
        <v>60</v>
      </c>
      <c r="B132" s="3595" t="s">
        <v>2813</v>
      </c>
      <c r="C132" s="562" t="s">
        <v>2814</v>
      </c>
      <c r="D132" s="535" t="s">
        <v>2815</v>
      </c>
      <c r="E132" s="583">
        <v>0.1</v>
      </c>
      <c r="F132" s="562">
        <v>15</v>
      </c>
    </row>
    <row r="133" spans="1:6" ht="24">
      <c r="A133" s="562">
        <v>61</v>
      </c>
      <c r="B133" s="3596"/>
      <c r="C133" s="562" t="s">
        <v>2816</v>
      </c>
      <c r="D133" s="535" t="s">
        <v>2817</v>
      </c>
      <c r="E133" s="583">
        <v>0.1</v>
      </c>
      <c r="F133" s="562">
        <v>15</v>
      </c>
    </row>
    <row r="134" spans="1:6" ht="24">
      <c r="A134" s="562">
        <v>62</v>
      </c>
      <c r="B134" s="562" t="s">
        <v>2818</v>
      </c>
      <c r="C134" s="562" t="s">
        <v>2819</v>
      </c>
      <c r="D134" s="535" t="s">
        <v>2820</v>
      </c>
      <c r="E134" s="583">
        <v>0.1</v>
      </c>
      <c r="F134" s="562">
        <v>15</v>
      </c>
    </row>
    <row r="135" spans="1:6" ht="24">
      <c r="A135" s="562">
        <v>63</v>
      </c>
      <c r="B135" s="3594" t="s">
        <v>2821</v>
      </c>
      <c r="C135" s="562" t="s">
        <v>2822</v>
      </c>
      <c r="D135" s="535" t="s">
        <v>2823</v>
      </c>
      <c r="E135" s="583">
        <v>0.1</v>
      </c>
      <c r="F135" s="562">
        <v>15</v>
      </c>
    </row>
    <row r="136" spans="1:6" ht="13.5">
      <c r="A136" s="562">
        <v>64</v>
      </c>
      <c r="B136" s="3594"/>
      <c r="C136" s="562" t="s">
        <v>2824</v>
      </c>
      <c r="D136" s="535" t="s">
        <v>2825</v>
      </c>
      <c r="E136" s="583">
        <v>0.1</v>
      </c>
      <c r="F136" s="562">
        <v>15</v>
      </c>
    </row>
    <row r="137" spans="1:6" ht="24">
      <c r="A137" s="562">
        <v>65</v>
      </c>
      <c r="B137" s="562" t="s">
        <v>2826</v>
      </c>
      <c r="C137" s="562" t="s">
        <v>2827</v>
      </c>
      <c r="D137" s="535" t="s">
        <v>2828</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8"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2829</v>
      </c>
      <c r="B1" s="509"/>
      <c r="C1" s="509"/>
      <c r="D1" s="509"/>
      <c r="E1" s="509"/>
      <c r="F1" s="509"/>
      <c r="G1" s="509"/>
      <c r="H1" s="509"/>
      <c r="I1" s="509"/>
      <c r="J1" s="509"/>
      <c r="K1" s="509"/>
      <c r="L1" s="509"/>
      <c r="M1" s="509"/>
      <c r="N1" s="509"/>
    </row>
    <row r="2" spans="1:14">
      <c r="A2" s="510" t="s">
        <v>2830</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2831</v>
      </c>
      <c r="B103" s="509"/>
      <c r="C103" s="509"/>
      <c r="D103" s="509"/>
      <c r="E103" s="509"/>
      <c r="F103" s="509"/>
      <c r="G103" s="509"/>
      <c r="H103" s="509"/>
      <c r="I103" s="509"/>
      <c r="J103" s="509"/>
      <c r="K103" s="509"/>
      <c r="L103" s="509"/>
      <c r="M103" s="509"/>
      <c r="N103" s="509"/>
    </row>
    <row r="104" spans="1:14" ht="14.25">
      <c r="A104" s="510" t="s">
        <v>2830</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2832</v>
      </c>
      <c r="B205" s="509"/>
      <c r="C205" s="509"/>
      <c r="D205" s="509"/>
      <c r="E205" s="509"/>
      <c r="F205" s="509"/>
      <c r="G205" s="509"/>
      <c r="H205" s="509"/>
      <c r="I205" s="509"/>
      <c r="J205" s="509"/>
      <c r="K205" s="509"/>
      <c r="L205" s="509"/>
      <c r="M205" s="509"/>
    </row>
    <row r="206" spans="1:13">
      <c r="A206" s="510" t="s">
        <v>2830</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2833</v>
      </c>
      <c r="B307" s="509"/>
      <c r="C307" s="509"/>
      <c r="D307" s="509"/>
      <c r="E307" s="509"/>
      <c r="F307" s="509"/>
      <c r="G307" s="509"/>
      <c r="H307" s="509"/>
      <c r="I307" s="509"/>
      <c r="J307" s="509"/>
      <c r="K307" s="509"/>
      <c r="L307" s="509"/>
      <c r="M307" s="509"/>
    </row>
    <row r="308" spans="1:13">
      <c r="A308" s="510" t="s">
        <v>2830</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2834</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2835</v>
      </c>
      <c r="D2" s="497" t="s">
        <v>2836</v>
      </c>
      <c r="E2" s="499">
        <f ca="1">SUMIF(E6:E13,"&lt;&gt;#ref!",E6:E13)</f>
        <v>0</v>
      </c>
      <c r="F2" s="496"/>
      <c r="G2" s="496"/>
      <c r="H2" s="496"/>
      <c r="I2" s="496"/>
      <c r="J2" s="496"/>
      <c r="K2" s="496"/>
      <c r="L2" s="496"/>
      <c r="M2" s="496"/>
      <c r="N2" s="496"/>
      <c r="O2" s="496"/>
      <c r="P2" s="496"/>
    </row>
    <row r="3" spans="1:16" ht="15.75">
      <c r="A3" s="497" t="s">
        <v>2837</v>
      </c>
      <c r="B3" s="498" t="e">
        <f ca="1">ROUND(B2*10000/E2,0)</f>
        <v>#DIV/0!</v>
      </c>
      <c r="C3" s="497" t="s">
        <v>2838</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2839</v>
      </c>
      <c r="B5" s="502" t="s">
        <v>2840</v>
      </c>
      <c r="C5" s="503"/>
      <c r="D5" s="496"/>
      <c r="E5" s="504" t="s">
        <v>2841</v>
      </c>
      <c r="F5" s="496"/>
      <c r="G5" s="496"/>
      <c r="H5" s="496"/>
      <c r="I5" s="496"/>
      <c r="J5" s="496"/>
      <c r="K5" s="496"/>
      <c r="L5" s="496"/>
      <c r="M5" s="496"/>
      <c r="N5" s="496"/>
      <c r="O5" s="496"/>
      <c r="P5" s="496"/>
    </row>
    <row r="6" spans="1:16" ht="15.75">
      <c r="A6" s="505" t="s">
        <v>2842</v>
      </c>
      <c r="B6" s="498" t="e">
        <f ca="1">SUMIF(INDIRECT("'"&amp;A6&amp;"'"&amp;"!A:A"),"总价",INDIRECT("'"&amp;A6&amp;"'"&amp;"!B:B"))</f>
        <v>#DIV/0!</v>
      </c>
      <c r="C6" s="497" t="s">
        <v>2835</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2835</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2835</v>
      </c>
      <c r="D8" s="496"/>
      <c r="E8" s="499" t="e">
        <f t="shared" ca="1" si="0"/>
        <v>#REF!</v>
      </c>
      <c r="F8" s="496"/>
      <c r="G8" s="496"/>
      <c r="H8" s="496"/>
      <c r="I8" s="496"/>
      <c r="J8" s="496"/>
      <c r="K8" s="496"/>
      <c r="L8" s="496"/>
      <c r="M8" s="496"/>
      <c r="N8" s="496"/>
      <c r="O8" s="496"/>
      <c r="P8" s="496"/>
    </row>
    <row r="9" spans="1:16" ht="15.75">
      <c r="A9" s="505"/>
      <c r="B9" s="498" t="e">
        <f t="shared" ca="1" si="1"/>
        <v>#REF!</v>
      </c>
      <c r="C9" s="497" t="s">
        <v>2835</v>
      </c>
      <c r="D9" s="496"/>
      <c r="E9" s="499" t="e">
        <f t="shared" ca="1" si="0"/>
        <v>#REF!</v>
      </c>
      <c r="F9" s="496"/>
      <c r="G9" s="496"/>
      <c r="H9" s="496"/>
      <c r="I9" s="496"/>
      <c r="J9" s="496"/>
      <c r="K9" s="496"/>
      <c r="L9" s="496"/>
      <c r="M9" s="496"/>
      <c r="N9" s="496"/>
      <c r="O9" s="496"/>
      <c r="P9" s="496"/>
    </row>
    <row r="10" spans="1:16" ht="15.75">
      <c r="A10" s="505"/>
      <c r="B10" s="498" t="e">
        <f t="shared" ca="1" si="1"/>
        <v>#REF!</v>
      </c>
      <c r="C10" s="497" t="s">
        <v>2835</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2835</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2835</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2835</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616" t="s">
        <v>2843</v>
      </c>
      <c r="C1" s="3616"/>
      <c r="D1" s="3616"/>
      <c r="E1" s="3616"/>
      <c r="F1" s="3616"/>
      <c r="G1" s="3613" t="s">
        <v>2844</v>
      </c>
      <c r="H1" s="3613"/>
      <c r="I1" s="3613"/>
      <c r="J1" s="3613"/>
      <c r="K1" s="3613"/>
      <c r="L1" s="3613"/>
      <c r="N1" s="3613" t="s">
        <v>2845</v>
      </c>
      <c r="O1" s="3613"/>
      <c r="P1" s="3613"/>
      <c r="Q1" s="3613"/>
      <c r="S1" s="3613" t="s">
        <v>2846</v>
      </c>
      <c r="T1" s="3613"/>
      <c r="U1" s="3613"/>
      <c r="V1" s="3613"/>
      <c r="X1" s="3612" t="s">
        <v>2847</v>
      </c>
      <c r="Y1" s="3613"/>
      <c r="Z1" s="3613"/>
      <c r="AA1" s="3613"/>
      <c r="AB1" s="3613"/>
      <c r="AD1" s="3612" t="s">
        <v>2848</v>
      </c>
      <c r="AE1" s="3613"/>
      <c r="AF1" s="3613"/>
      <c r="AG1" s="3613"/>
      <c r="AH1" s="3613"/>
    </row>
    <row r="2" spans="1:34" s="360" customFormat="1" ht="13.5">
      <c r="B2" s="370" t="s">
        <v>2849</v>
      </c>
      <c r="C2" s="370" t="s">
        <v>2850</v>
      </c>
      <c r="D2" s="371" t="s">
        <v>2588</v>
      </c>
      <c r="E2" s="371" t="s">
        <v>2589</v>
      </c>
      <c r="F2" s="370" t="s">
        <v>2851</v>
      </c>
      <c r="G2" s="372"/>
      <c r="I2" s="370" t="s">
        <v>2849</v>
      </c>
      <c r="J2" s="371" t="s">
        <v>2607</v>
      </c>
      <c r="K2" s="371" t="s">
        <v>2589</v>
      </c>
      <c r="L2" s="370" t="s">
        <v>2851</v>
      </c>
      <c r="N2" s="370" t="s">
        <v>2849</v>
      </c>
      <c r="O2" s="371" t="s">
        <v>2607</v>
      </c>
      <c r="P2" s="371" t="s">
        <v>2589</v>
      </c>
      <c r="Q2" s="370" t="s">
        <v>2851</v>
      </c>
      <c r="S2" s="370" t="s">
        <v>2849</v>
      </c>
      <c r="T2" s="371" t="s">
        <v>2607</v>
      </c>
      <c r="U2" s="371" t="s">
        <v>2589</v>
      </c>
      <c r="V2" s="370" t="s">
        <v>2851</v>
      </c>
      <c r="X2" s="370" t="s">
        <v>2849</v>
      </c>
      <c r="Y2" s="370" t="s">
        <v>2850</v>
      </c>
      <c r="Z2" s="371" t="s">
        <v>2588</v>
      </c>
      <c r="AA2" s="371" t="s">
        <v>2589</v>
      </c>
      <c r="AB2" s="370" t="s">
        <v>2851</v>
      </c>
      <c r="AD2" s="370" t="s">
        <v>2849</v>
      </c>
      <c r="AE2" s="370" t="s">
        <v>2850</v>
      </c>
      <c r="AF2" s="371" t="s">
        <v>2588</v>
      </c>
      <c r="AG2" s="371" t="s">
        <v>2589</v>
      </c>
      <c r="AH2" s="370" t="s">
        <v>2851</v>
      </c>
    </row>
    <row r="3" spans="1:34" s="361" customFormat="1" ht="14.25">
      <c r="A3" s="373" t="s">
        <v>2852</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2853</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2854</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2855</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2856</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2857</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2858</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2859</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2860</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2861</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2862</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2863</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2864</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2865</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2866</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2867</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607">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2868</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607"/>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2869</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607"/>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2870</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614"/>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2871</v>
      </c>
      <c r="B22" s="393">
        <v>439</v>
      </c>
      <c r="C22" s="393">
        <v>327</v>
      </c>
      <c r="D22" s="393">
        <f t="shared" si="184"/>
        <v>327</v>
      </c>
      <c r="E22" s="393">
        <v>627</v>
      </c>
      <c r="F22" s="394">
        <v>283</v>
      </c>
      <c r="G22" s="3615">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2872</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607"/>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2873</v>
      </c>
      <c r="B24" s="387">
        <f t="shared" si="199"/>
        <v>419.31181600000002</v>
      </c>
      <c r="C24" s="387">
        <f t="shared" si="200"/>
        <v>313.95436800000004</v>
      </c>
      <c r="D24" s="387">
        <f t="shared" si="201"/>
        <v>313.95436800000004</v>
      </c>
      <c r="E24" s="387">
        <f t="shared" si="202"/>
        <v>596.63028431999999</v>
      </c>
      <c r="F24" s="387">
        <f t="shared" si="203"/>
        <v>274.74220703999998</v>
      </c>
      <c r="G24" s="3607"/>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2874</v>
      </c>
      <c r="B25" s="387">
        <f t="shared" si="199"/>
        <v>405.524</v>
      </c>
      <c r="C25" s="387">
        <f t="shared" si="200"/>
        <v>307.79840000000002</v>
      </c>
      <c r="D25" s="387">
        <f t="shared" si="201"/>
        <v>307.79840000000002</v>
      </c>
      <c r="E25" s="387">
        <f t="shared" si="202"/>
        <v>574.67759999999998</v>
      </c>
      <c r="F25" s="387">
        <f t="shared" si="203"/>
        <v>270.20280000000002</v>
      </c>
      <c r="G25" s="3614"/>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2875</v>
      </c>
      <c r="B26" s="393">
        <v>392</v>
      </c>
      <c r="C26" s="393">
        <v>302</v>
      </c>
      <c r="D26" s="393">
        <f t="shared" si="201"/>
        <v>302</v>
      </c>
      <c r="E26" s="393">
        <v>553</v>
      </c>
      <c r="F26" s="394">
        <v>266</v>
      </c>
      <c r="G26" s="3615">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2876</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607"/>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2877</v>
      </c>
      <c r="B28" s="387">
        <f t="shared" si="212"/>
        <v>360.06949782209392</v>
      </c>
      <c r="C28" s="387">
        <f t="shared" si="212"/>
        <v>289.84672674747821</v>
      </c>
      <c r="D28" s="387">
        <f t="shared" si="213"/>
        <v>289.84672674747821</v>
      </c>
      <c r="E28" s="387">
        <f t="shared" si="214"/>
        <v>501.06543001181495</v>
      </c>
      <c r="F28" s="387">
        <f t="shared" si="214"/>
        <v>256.82882500744967</v>
      </c>
      <c r="G28" s="3607"/>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2878</v>
      </c>
      <c r="B29" s="387">
        <f t="shared" si="212"/>
        <v>346.720748986128</v>
      </c>
      <c r="C29" s="387">
        <f t="shared" si="212"/>
        <v>284.30282172386285</v>
      </c>
      <c r="D29" s="387">
        <f t="shared" si="213"/>
        <v>284.30282172386285</v>
      </c>
      <c r="E29" s="387">
        <f t="shared" si="214"/>
        <v>479.58023546306947</v>
      </c>
      <c r="F29" s="387">
        <f t="shared" si="214"/>
        <v>253.25788877571213</v>
      </c>
      <c r="G29" s="3608"/>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2879</v>
      </c>
      <c r="B30" s="393">
        <v>333</v>
      </c>
      <c r="C30" s="393">
        <v>277</v>
      </c>
      <c r="D30" s="393">
        <f t="shared" si="213"/>
        <v>277</v>
      </c>
      <c r="E30" s="393">
        <v>459</v>
      </c>
      <c r="F30" s="394">
        <v>249</v>
      </c>
      <c r="G30" s="3606">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2880</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607"/>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2881</v>
      </c>
      <c r="B32" s="387">
        <f t="shared" si="216"/>
        <v>322.34053690220776</v>
      </c>
      <c r="C32" s="387">
        <f t="shared" si="216"/>
        <v>271.46160770422546</v>
      </c>
      <c r="D32" s="387">
        <f t="shared" si="213"/>
        <v>271.46160770422546</v>
      </c>
      <c r="E32" s="387">
        <f t="shared" si="217"/>
        <v>442.69434542172456</v>
      </c>
      <c r="F32" s="387">
        <f t="shared" si="217"/>
        <v>241.34030753190925</v>
      </c>
      <c r="G32" s="3607"/>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2882</v>
      </c>
      <c r="B33" s="387">
        <f t="shared" si="216"/>
        <v>319.87748030386797</v>
      </c>
      <c r="C33" s="387">
        <f t="shared" si="216"/>
        <v>269.60135833173649</v>
      </c>
      <c r="D33" s="387">
        <f t="shared" si="213"/>
        <v>269.60135833173649</v>
      </c>
      <c r="E33" s="387">
        <f t="shared" si="217"/>
        <v>439.18089823583784</v>
      </c>
      <c r="F33" s="387">
        <f t="shared" si="217"/>
        <v>239.23503918706311</v>
      </c>
      <c r="G33" s="3608"/>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2883</v>
      </c>
      <c r="B34" s="397">
        <v>318</v>
      </c>
      <c r="C34" s="397">
        <v>268</v>
      </c>
      <c r="D34" s="397">
        <f t="shared" si="213"/>
        <v>268</v>
      </c>
      <c r="E34" s="397">
        <v>437</v>
      </c>
      <c r="F34" s="398">
        <v>237</v>
      </c>
      <c r="G34" s="3606">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2884</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607"/>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2885</v>
      </c>
      <c r="B36" s="387">
        <f t="shared" si="218"/>
        <v>314.72141172386546</v>
      </c>
      <c r="C36" s="387">
        <f t="shared" si="218"/>
        <v>263.03901319069001</v>
      </c>
      <c r="D36" s="387">
        <f t="shared" si="213"/>
        <v>263.03901319069001</v>
      </c>
      <c r="E36" s="387">
        <f t="shared" si="219"/>
        <v>433.65745506782821</v>
      </c>
      <c r="F36" s="387">
        <f t="shared" si="219"/>
        <v>233.23005080045735</v>
      </c>
      <c r="G36" s="3607"/>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2886</v>
      </c>
      <c r="B37" s="401">
        <f t="shared" si="218"/>
        <v>307.34512863658733</v>
      </c>
      <c r="C37" s="401">
        <f t="shared" si="218"/>
        <v>257.80556031626975</v>
      </c>
      <c r="D37" s="401">
        <f t="shared" si="213"/>
        <v>257.80556031626975</v>
      </c>
      <c r="E37" s="401">
        <f t="shared" si="219"/>
        <v>422.70928459677179</v>
      </c>
      <c r="F37" s="401">
        <f t="shared" si="219"/>
        <v>229.73803270336617</v>
      </c>
      <c r="G37" s="3608"/>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2887</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2888</v>
      </c>
      <c r="B38" s="393">
        <v>299</v>
      </c>
      <c r="C38" s="393">
        <v>252</v>
      </c>
      <c r="D38" s="393">
        <f t="shared" si="213"/>
        <v>252</v>
      </c>
      <c r="E38" s="393">
        <v>409</v>
      </c>
      <c r="F38" s="394">
        <v>227</v>
      </c>
      <c r="G38" s="3609">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2889</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610"/>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2890</v>
      </c>
      <c r="B40" s="387">
        <f t="shared" si="222"/>
        <v>288.2649053828776</v>
      </c>
      <c r="C40" s="387">
        <f t="shared" si="222"/>
        <v>243.64564425013293</v>
      </c>
      <c r="D40" s="387">
        <f t="shared" si="213"/>
        <v>243.64564425013293</v>
      </c>
      <c r="E40" s="387">
        <f t="shared" si="223"/>
        <v>393.31080825986544</v>
      </c>
      <c r="F40" s="387">
        <f t="shared" si="223"/>
        <v>223.07903790551154</v>
      </c>
      <c r="G40" s="3610"/>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2891</v>
      </c>
      <c r="B41" s="387">
        <f t="shared" si="222"/>
        <v>282.50186729015837</v>
      </c>
      <c r="C41" s="387">
        <f t="shared" si="222"/>
        <v>238.09796174155468</v>
      </c>
      <c r="D41" s="387">
        <f t="shared" si="213"/>
        <v>238.09796174155468</v>
      </c>
      <c r="E41" s="387">
        <f t="shared" si="223"/>
        <v>385.33438646014054</v>
      </c>
      <c r="F41" s="387">
        <f t="shared" si="223"/>
        <v>221.55034055567739</v>
      </c>
      <c r="G41" s="3611"/>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2892</v>
      </c>
      <c r="B42" s="404">
        <v>278</v>
      </c>
      <c r="C42" s="404">
        <v>234</v>
      </c>
      <c r="D42" s="404">
        <f t="shared" si="213"/>
        <v>234</v>
      </c>
      <c r="E42" s="404">
        <v>379</v>
      </c>
      <c r="F42" s="405">
        <v>220</v>
      </c>
      <c r="G42" s="3606">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2893</v>
      </c>
      <c r="B43" s="387">
        <f>B42/(1+N42)</f>
        <v>275.49301357645425</v>
      </c>
      <c r="C43" s="387">
        <f>C42/(1+O42)</f>
        <v>232.41954707985698</v>
      </c>
      <c r="D43" s="387">
        <f t="shared" si="213"/>
        <v>232.41954707985698</v>
      </c>
      <c r="E43" s="387">
        <f t="shared" ref="E43:F45" si="224">E42/(1+P42)</f>
        <v>375.32184591008121</v>
      </c>
      <c r="F43" s="387">
        <f t="shared" si="224"/>
        <v>218.03766105054513</v>
      </c>
      <c r="G43" s="3607"/>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2894</v>
      </c>
      <c r="B44" s="387">
        <f>B43/(1+N43)</f>
        <v>275.24529281292263</v>
      </c>
      <c r="C44" s="387">
        <f>C43/(1+O43)</f>
        <v>231.74747938962707</v>
      </c>
      <c r="D44" s="387">
        <f t="shared" si="213"/>
        <v>231.74747938962707</v>
      </c>
      <c r="E44" s="387">
        <f t="shared" si="224"/>
        <v>375.35938184826603</v>
      </c>
      <c r="F44" s="387">
        <f t="shared" si="224"/>
        <v>216.78033510692495</v>
      </c>
      <c r="G44" s="3607"/>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2895</v>
      </c>
      <c r="B45" s="387">
        <f>B44/(1+N44)</f>
        <v>275.19025476197027</v>
      </c>
      <c r="C45" s="406">
        <v>232</v>
      </c>
      <c r="D45" s="406">
        <f t="shared" si="213"/>
        <v>232</v>
      </c>
      <c r="E45" s="387">
        <f t="shared" si="224"/>
        <v>375.65990977608692</v>
      </c>
      <c r="F45" s="387">
        <f t="shared" si="224"/>
        <v>214.12518283971252</v>
      </c>
      <c r="G45" s="3608"/>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2896</v>
      </c>
      <c r="B46" s="393">
        <v>275</v>
      </c>
      <c r="C46" s="393">
        <v>232</v>
      </c>
      <c r="D46" s="393">
        <f t="shared" si="213"/>
        <v>232</v>
      </c>
      <c r="E46" s="393">
        <v>376</v>
      </c>
      <c r="F46" s="394">
        <v>213</v>
      </c>
      <c r="G46" s="3606">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2897</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607">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2898</v>
      </c>
      <c r="B48" s="387">
        <f t="shared" si="225"/>
        <v>275.19335084830601</v>
      </c>
      <c r="C48" s="387">
        <f t="shared" si="225"/>
        <v>230.18088050139744</v>
      </c>
      <c r="D48" s="387">
        <f t="shared" si="213"/>
        <v>230.18088050139744</v>
      </c>
      <c r="E48" s="387">
        <f t="shared" si="226"/>
        <v>377.58482925212331</v>
      </c>
      <c r="F48" s="387">
        <f t="shared" si="226"/>
        <v>210.90687997847917</v>
      </c>
      <c r="G48" s="3607">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2899</v>
      </c>
      <c r="B49" s="387">
        <f t="shared" si="225"/>
        <v>276.29854502841971</v>
      </c>
      <c r="C49" s="387">
        <f t="shared" si="225"/>
        <v>229.79023709833027</v>
      </c>
      <c r="D49" s="387">
        <f t="shared" si="213"/>
        <v>229.79023709833027</v>
      </c>
      <c r="E49" s="387">
        <f t="shared" si="226"/>
        <v>379.78759731655936</v>
      </c>
      <c r="F49" s="387">
        <f t="shared" si="226"/>
        <v>211.32953905659235</v>
      </c>
      <c r="G49" s="3608">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2900</v>
      </c>
      <c r="B50" s="393">
        <v>269</v>
      </c>
      <c r="C50" s="393">
        <v>221</v>
      </c>
      <c r="D50" s="393">
        <f t="shared" si="213"/>
        <v>221</v>
      </c>
      <c r="E50" s="393">
        <v>373</v>
      </c>
      <c r="F50" s="394">
        <v>196</v>
      </c>
      <c r="G50" s="3606">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2901</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607">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2902</v>
      </c>
      <c r="B52" s="387">
        <f t="shared" si="227"/>
        <v>242.95398227588385</v>
      </c>
      <c r="C52" s="387">
        <f t="shared" si="227"/>
        <v>199.59137053614126</v>
      </c>
      <c r="D52" s="387">
        <f t="shared" si="213"/>
        <v>199.59137053614126</v>
      </c>
      <c r="E52" s="387">
        <f t="shared" si="228"/>
        <v>335.92189522342125</v>
      </c>
      <c r="F52" s="387">
        <f t="shared" si="228"/>
        <v>183.10139991109489</v>
      </c>
      <c r="G52" s="3607">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2903</v>
      </c>
      <c r="B53" s="387">
        <f t="shared" si="227"/>
        <v>232.06990378821649</v>
      </c>
      <c r="C53" s="387">
        <f t="shared" si="227"/>
        <v>192.74878854286936</v>
      </c>
      <c r="D53" s="387">
        <f t="shared" si="213"/>
        <v>192.74878854286936</v>
      </c>
      <c r="E53" s="387">
        <f t="shared" si="228"/>
        <v>319.71247284992984</v>
      </c>
      <c r="F53" s="387">
        <f t="shared" si="228"/>
        <v>175.67053622862409</v>
      </c>
      <c r="G53" s="3608">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2904</v>
      </c>
      <c r="B54" s="393">
        <v>220</v>
      </c>
      <c r="C54" s="393">
        <v>187</v>
      </c>
      <c r="D54" s="393">
        <f t="shared" si="213"/>
        <v>187</v>
      </c>
      <c r="E54" s="393">
        <v>301</v>
      </c>
      <c r="F54" s="394">
        <v>168</v>
      </c>
      <c r="G54" s="3606">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2905</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607">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2906</v>
      </c>
      <c r="B56" s="387">
        <f t="shared" si="229"/>
        <v>210.630522469011</v>
      </c>
      <c r="C56" s="387">
        <f t="shared" si="229"/>
        <v>181.69567812247232</v>
      </c>
      <c r="D56" s="387">
        <f t="shared" si="213"/>
        <v>181.69567812247232</v>
      </c>
      <c r="E56" s="387">
        <f t="shared" si="230"/>
        <v>286.13517466736738</v>
      </c>
      <c r="F56" s="387">
        <f t="shared" si="230"/>
        <v>165.47535084591149</v>
      </c>
      <c r="G56" s="3607">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2907</v>
      </c>
      <c r="B57" s="387">
        <f t="shared" si="229"/>
        <v>208.83454537875372</v>
      </c>
      <c r="C57" s="387">
        <f t="shared" si="229"/>
        <v>183.77230517090351</v>
      </c>
      <c r="D57" s="387">
        <f t="shared" si="213"/>
        <v>183.77230517090351</v>
      </c>
      <c r="E57" s="387">
        <f t="shared" si="230"/>
        <v>281.10342338870947</v>
      </c>
      <c r="F57" s="387">
        <f t="shared" si="230"/>
        <v>168.97309388942256</v>
      </c>
      <c r="G57" s="3608">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2908</v>
      </c>
      <c r="B58" s="404">
        <v>214</v>
      </c>
      <c r="C58" s="404">
        <v>188</v>
      </c>
      <c r="D58" s="404">
        <f t="shared" si="213"/>
        <v>188</v>
      </c>
      <c r="E58" s="404">
        <v>289</v>
      </c>
      <c r="F58" s="405">
        <v>166</v>
      </c>
      <c r="G58" s="3606">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2909</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607">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2910</v>
      </c>
      <c r="B60" s="387">
        <f t="shared" si="231"/>
        <v>206.31694671589116</v>
      </c>
      <c r="C60" s="387">
        <f t="shared" si="231"/>
        <v>183.61041121036101</v>
      </c>
      <c r="D60" s="387">
        <f t="shared" si="213"/>
        <v>183.61041121036101</v>
      </c>
      <c r="E60" s="387">
        <f t="shared" si="232"/>
        <v>276.66850301795557</v>
      </c>
      <c r="F60" s="387">
        <f t="shared" si="232"/>
        <v>165.1360938278614</v>
      </c>
      <c r="G60" s="3607">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2911</v>
      </c>
      <c r="B61" s="407">
        <f t="shared" si="231"/>
        <v>196.62341248059772</v>
      </c>
      <c r="C61" s="407">
        <f t="shared" si="231"/>
        <v>170.99125648199012</v>
      </c>
      <c r="D61" s="407">
        <f t="shared" si="213"/>
        <v>170.99125648199012</v>
      </c>
      <c r="E61" s="407">
        <f t="shared" si="232"/>
        <v>266.07857570490052</v>
      </c>
      <c r="F61" s="407">
        <f t="shared" si="232"/>
        <v>154.53499328828505</v>
      </c>
      <c r="G61" s="3608">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2912</v>
      </c>
      <c r="B62" s="393">
        <v>188</v>
      </c>
      <c r="C62" s="393">
        <v>165</v>
      </c>
      <c r="D62" s="393">
        <f t="shared" si="213"/>
        <v>165</v>
      </c>
      <c r="E62" s="393">
        <v>254</v>
      </c>
      <c r="F62" s="394">
        <v>148</v>
      </c>
      <c r="G62" s="3606">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2913</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607">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2914</v>
      </c>
      <c r="B64" s="387">
        <f t="shared" si="235"/>
        <v>168.82017748715555</v>
      </c>
      <c r="C64" s="387">
        <f t="shared" si="235"/>
        <v>148.06267029972753</v>
      </c>
      <c r="D64" s="387">
        <f t="shared" si="213"/>
        <v>148.06267029972753</v>
      </c>
      <c r="E64" s="387">
        <f t="shared" si="236"/>
        <v>216.46288379323747</v>
      </c>
      <c r="F64" s="387">
        <f t="shared" si="236"/>
        <v>134.23529411764704</v>
      </c>
      <c r="G64" s="3607">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2915</v>
      </c>
      <c r="B65" s="387">
        <f t="shared" si="235"/>
        <v>163.84913591779542</v>
      </c>
      <c r="C65" s="387">
        <f t="shared" si="235"/>
        <v>145.0283378746594</v>
      </c>
      <c r="D65" s="387">
        <f t="shared" si="213"/>
        <v>145.0283378746594</v>
      </c>
      <c r="E65" s="387">
        <f t="shared" si="236"/>
        <v>204.95180722891567</v>
      </c>
      <c r="F65" s="387">
        <f t="shared" si="236"/>
        <v>125.95920303605313</v>
      </c>
      <c r="G65" s="3608">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2916</v>
      </c>
      <c r="B66" s="397">
        <v>159</v>
      </c>
      <c r="C66" s="397">
        <v>141</v>
      </c>
      <c r="D66" s="397">
        <f t="shared" si="213"/>
        <v>141</v>
      </c>
      <c r="E66" s="397">
        <v>195</v>
      </c>
      <c r="F66" s="398">
        <v>122</v>
      </c>
      <c r="G66" s="3606">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2917</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607">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2918</v>
      </c>
      <c r="B68" s="387">
        <f t="shared" si="239"/>
        <v>146.57412060301507</v>
      </c>
      <c r="C68" s="387">
        <f t="shared" si="239"/>
        <v>136.46831955922866</v>
      </c>
      <c r="D68" s="387">
        <f t="shared" si="213"/>
        <v>136.46831955922866</v>
      </c>
      <c r="E68" s="387">
        <f t="shared" si="240"/>
        <v>166.73864894795128</v>
      </c>
      <c r="F68" s="387">
        <f t="shared" si="240"/>
        <v>115.05882352941177</v>
      </c>
      <c r="G68" s="3607">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2919</v>
      </c>
      <c r="B69" s="387">
        <f t="shared" si="239"/>
        <v>144.04145728643215</v>
      </c>
      <c r="C69" s="387">
        <f t="shared" si="239"/>
        <v>136.12396694214877</v>
      </c>
      <c r="D69" s="387">
        <f t="shared" si="213"/>
        <v>136.12396694214877</v>
      </c>
      <c r="E69" s="387">
        <f t="shared" si="240"/>
        <v>158.32225913621264</v>
      </c>
      <c r="F69" s="387">
        <f t="shared" si="240"/>
        <v>114.04278074866311</v>
      </c>
      <c r="G69" s="3608">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2920</v>
      </c>
      <c r="B70" s="397">
        <v>138</v>
      </c>
      <c r="C70" s="397">
        <v>131</v>
      </c>
      <c r="D70" s="397">
        <f t="shared" si="213"/>
        <v>131</v>
      </c>
      <c r="E70" s="397">
        <v>155</v>
      </c>
      <c r="F70" s="398">
        <v>114</v>
      </c>
      <c r="G70" s="3606">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2921</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607">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2922</v>
      </c>
      <c r="B72" s="387">
        <f t="shared" si="243"/>
        <v>124.29032258064517</v>
      </c>
      <c r="C72" s="387">
        <f t="shared" si="243"/>
        <v>123.8968609865471</v>
      </c>
      <c r="D72" s="387">
        <f t="shared" si="213"/>
        <v>123.8968609865471</v>
      </c>
      <c r="E72" s="387">
        <f t="shared" si="244"/>
        <v>138.00507614213197</v>
      </c>
      <c r="F72" s="387">
        <f t="shared" si="244"/>
        <v>107.96106557377048</v>
      </c>
      <c r="G72" s="3607">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2923</v>
      </c>
      <c r="B73" s="387">
        <f t="shared" si="243"/>
        <v>122.57204301075269</v>
      </c>
      <c r="C73" s="387">
        <f t="shared" si="243"/>
        <v>123.4932735426009</v>
      </c>
      <c r="D73" s="387">
        <f t="shared" si="213"/>
        <v>123.4932735426009</v>
      </c>
      <c r="E73" s="387">
        <f t="shared" si="244"/>
        <v>129.82233502538071</v>
      </c>
      <c r="F73" s="387">
        <f t="shared" si="244"/>
        <v>107.39446721311475</v>
      </c>
      <c r="G73" s="3608">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2924</v>
      </c>
      <c r="B74" s="404">
        <v>121</v>
      </c>
      <c r="C74" s="404">
        <v>122</v>
      </c>
      <c r="D74" s="404">
        <f t="shared" si="213"/>
        <v>122</v>
      </c>
      <c r="E74" s="404">
        <v>124</v>
      </c>
      <c r="F74" s="405">
        <v>107</v>
      </c>
      <c r="G74" s="3606">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2925</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607">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2926</v>
      </c>
      <c r="B76" s="387">
        <f t="shared" si="247"/>
        <v>116.99099099099099</v>
      </c>
      <c r="C76" s="387">
        <f t="shared" si="247"/>
        <v>118.84848484848486</v>
      </c>
      <c r="D76" s="387">
        <f t="shared" si="213"/>
        <v>118.84848484848486</v>
      </c>
      <c r="E76" s="387">
        <f t="shared" si="248"/>
        <v>117.60960960960961</v>
      </c>
      <c r="F76" s="387">
        <f t="shared" si="248"/>
        <v>104</v>
      </c>
      <c r="G76" s="3607">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2927</v>
      </c>
      <c r="B77" s="407">
        <f t="shared" si="247"/>
        <v>112.48648648648648</v>
      </c>
      <c r="C77" s="407">
        <f t="shared" si="247"/>
        <v>115.21212121212122</v>
      </c>
      <c r="D77" s="407">
        <f t="shared" si="213"/>
        <v>115.21212121212122</v>
      </c>
      <c r="E77" s="407">
        <f t="shared" si="248"/>
        <v>110.4024024024024</v>
      </c>
      <c r="F77" s="407">
        <f t="shared" si="248"/>
        <v>104</v>
      </c>
      <c r="G77" s="3608">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2928</v>
      </c>
      <c r="B78" s="461">
        <v>111</v>
      </c>
      <c r="C78" s="461">
        <v>114</v>
      </c>
      <c r="D78" s="461">
        <f t="shared" si="213"/>
        <v>114</v>
      </c>
      <c r="E78" s="461">
        <v>108</v>
      </c>
      <c r="F78" s="462">
        <v>104</v>
      </c>
      <c r="G78" s="3606">
        <v>2003</v>
      </c>
      <c r="H78" s="409">
        <v>4</v>
      </c>
      <c r="I78" s="477"/>
      <c r="J78" s="477"/>
      <c r="K78" s="477"/>
      <c r="L78" s="477"/>
      <c r="N78" s="478"/>
      <c r="O78" s="477"/>
      <c r="P78" s="477"/>
      <c r="Q78" s="477"/>
      <c r="S78" s="478"/>
      <c r="T78" s="477"/>
      <c r="U78" s="477"/>
      <c r="V78" s="477"/>
      <c r="X78" s="456"/>
      <c r="Y78" s="456"/>
      <c r="Z78" s="456"/>
    </row>
    <row r="79" spans="1:26">
      <c r="A79" s="386" t="s">
        <v>2929</v>
      </c>
      <c r="B79" s="463">
        <f t="shared" ref="B79:C81" si="249">B80+(B$78-B$82)/4</f>
        <v>109.75</v>
      </c>
      <c r="C79" s="463">
        <f t="shared" si="249"/>
        <v>112.25</v>
      </c>
      <c r="D79" s="463">
        <f t="shared" si="213"/>
        <v>112.25</v>
      </c>
      <c r="E79" s="463">
        <f t="shared" ref="E79:F81" si="250">E80+(E$78-E$82)/4</f>
        <v>107.25</v>
      </c>
      <c r="F79" s="463">
        <f t="shared" si="250"/>
        <v>103.5</v>
      </c>
      <c r="G79" s="3607">
        <v>2003</v>
      </c>
      <c r="H79" s="396">
        <v>3</v>
      </c>
      <c r="I79" s="477"/>
      <c r="J79" s="477"/>
      <c r="K79" s="477"/>
      <c r="L79" s="477"/>
      <c r="X79" s="456"/>
      <c r="Y79" s="456"/>
      <c r="Z79" s="456"/>
    </row>
    <row r="80" spans="1:26">
      <c r="A80" s="386" t="s">
        <v>2930</v>
      </c>
      <c r="B80" s="463">
        <f t="shared" si="249"/>
        <v>108.5</v>
      </c>
      <c r="C80" s="463">
        <f t="shared" si="249"/>
        <v>110.5</v>
      </c>
      <c r="D80" s="463">
        <f t="shared" si="213"/>
        <v>110.5</v>
      </c>
      <c r="E80" s="463">
        <f t="shared" si="250"/>
        <v>106.5</v>
      </c>
      <c r="F80" s="463">
        <f t="shared" si="250"/>
        <v>103</v>
      </c>
      <c r="G80" s="3607">
        <v>2003</v>
      </c>
      <c r="H80" s="392">
        <v>2</v>
      </c>
      <c r="I80" s="477"/>
      <c r="J80" s="477"/>
      <c r="K80" s="477"/>
      <c r="L80" s="477"/>
      <c r="X80" s="456"/>
      <c r="Y80" s="456"/>
      <c r="Z80" s="456"/>
    </row>
    <row r="81" spans="1:26">
      <c r="A81" s="386" t="s">
        <v>2931</v>
      </c>
      <c r="B81" s="463">
        <f t="shared" si="249"/>
        <v>107.25</v>
      </c>
      <c r="C81" s="463">
        <f t="shared" si="249"/>
        <v>108.75</v>
      </c>
      <c r="D81" s="463">
        <f t="shared" si="213"/>
        <v>108.75</v>
      </c>
      <c r="E81" s="463">
        <f t="shared" si="250"/>
        <v>105.75</v>
      </c>
      <c r="F81" s="463">
        <f t="shared" si="250"/>
        <v>102.5</v>
      </c>
      <c r="G81" s="3608">
        <v>2003</v>
      </c>
      <c r="H81" s="464">
        <v>1</v>
      </c>
      <c r="I81" s="477"/>
      <c r="J81" s="477"/>
      <c r="K81" s="477"/>
      <c r="L81" s="477"/>
      <c r="S81" s="416"/>
      <c r="T81" s="417"/>
      <c r="U81" s="417"/>
      <c r="X81" s="456"/>
      <c r="Y81" s="456"/>
      <c r="Z81" s="456"/>
    </row>
    <row r="82" spans="1:26">
      <c r="A82" s="386" t="s">
        <v>2932</v>
      </c>
      <c r="B82" s="465">
        <v>106</v>
      </c>
      <c r="C82" s="465">
        <v>107</v>
      </c>
      <c r="D82" s="465">
        <f t="shared" si="213"/>
        <v>107</v>
      </c>
      <c r="E82" s="465">
        <v>105</v>
      </c>
      <c r="F82" s="466">
        <v>102</v>
      </c>
      <c r="G82" s="3606">
        <v>2002</v>
      </c>
      <c r="H82" s="395">
        <v>4</v>
      </c>
      <c r="I82" s="477"/>
      <c r="J82" s="477"/>
      <c r="K82" s="477"/>
      <c r="L82" s="477"/>
      <c r="N82" s="478"/>
      <c r="O82" s="477"/>
      <c r="P82" s="477"/>
      <c r="Q82" s="477"/>
      <c r="S82" s="478"/>
      <c r="T82" s="477"/>
      <c r="U82" s="477"/>
      <c r="V82" s="477"/>
      <c r="X82" s="456"/>
      <c r="Y82" s="456"/>
      <c r="Z82" s="456"/>
    </row>
    <row r="83" spans="1:26">
      <c r="A83" s="386" t="s">
        <v>2933</v>
      </c>
      <c r="B83" s="463">
        <f t="shared" ref="B83:C85" si="251">B84+(B$82-B$86)/4</f>
        <v>105</v>
      </c>
      <c r="C83" s="463">
        <f t="shared" si="251"/>
        <v>106</v>
      </c>
      <c r="D83" s="463">
        <f t="shared" si="213"/>
        <v>106</v>
      </c>
      <c r="E83" s="463">
        <f t="shared" ref="E83:F85" si="252">E84+(E$82-E$86)/4</f>
        <v>104.5</v>
      </c>
      <c r="F83" s="463">
        <f t="shared" si="252"/>
        <v>101.5</v>
      </c>
      <c r="G83" s="3607">
        <v>2002</v>
      </c>
      <c r="H83" s="396">
        <v>3</v>
      </c>
      <c r="I83" s="477"/>
      <c r="J83" s="477"/>
      <c r="K83" s="477"/>
      <c r="L83" s="477"/>
      <c r="X83" s="456"/>
      <c r="Y83" s="456"/>
      <c r="Z83" s="456"/>
    </row>
    <row r="84" spans="1:26">
      <c r="A84" s="386" t="s">
        <v>2934</v>
      </c>
      <c r="B84" s="463">
        <f t="shared" si="251"/>
        <v>104</v>
      </c>
      <c r="C84" s="463">
        <f t="shared" si="251"/>
        <v>105</v>
      </c>
      <c r="D84" s="463">
        <f t="shared" si="213"/>
        <v>105</v>
      </c>
      <c r="E84" s="463">
        <f t="shared" si="252"/>
        <v>104</v>
      </c>
      <c r="F84" s="463">
        <f t="shared" si="252"/>
        <v>101</v>
      </c>
      <c r="G84" s="3607">
        <v>2002</v>
      </c>
      <c r="H84" s="392">
        <v>2</v>
      </c>
      <c r="I84" s="477"/>
      <c r="J84" s="477"/>
      <c r="K84" s="477"/>
      <c r="L84" s="477"/>
      <c r="X84" s="456"/>
      <c r="Y84" s="456"/>
      <c r="Z84" s="456"/>
    </row>
    <row r="85" spans="1:26" s="365" customFormat="1">
      <c r="A85" s="400" t="s">
        <v>2935</v>
      </c>
      <c r="B85" s="448">
        <f t="shared" si="251"/>
        <v>103</v>
      </c>
      <c r="C85" s="448">
        <f t="shared" si="251"/>
        <v>104</v>
      </c>
      <c r="D85" s="448">
        <f t="shared" si="213"/>
        <v>104</v>
      </c>
      <c r="E85" s="448">
        <f t="shared" si="252"/>
        <v>103.5</v>
      </c>
      <c r="F85" s="448">
        <f t="shared" si="252"/>
        <v>100.5</v>
      </c>
      <c r="G85" s="3608">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2936</v>
      </c>
      <c r="G88" s="472"/>
      <c r="N88" s="472"/>
      <c r="S88" s="472"/>
    </row>
    <row r="89" spans="1:26" s="367" customFormat="1">
      <c r="A89" s="367" t="s">
        <v>2937</v>
      </c>
      <c r="G89" s="472"/>
      <c r="N89" s="472"/>
      <c r="S89" s="472"/>
    </row>
    <row r="90" spans="1:26" s="367" customFormat="1">
      <c r="A90" s="367" t="s">
        <v>2938</v>
      </c>
      <c r="G90" s="472"/>
      <c r="I90" s="481"/>
      <c r="J90" s="481"/>
      <c r="K90" s="481"/>
      <c r="L90" s="481"/>
      <c r="N90" s="482"/>
      <c r="O90" s="481"/>
      <c r="P90" s="481"/>
      <c r="Q90" s="481"/>
      <c r="S90" s="482"/>
      <c r="T90" s="481"/>
      <c r="U90" s="481"/>
      <c r="V90" s="481"/>
    </row>
    <row r="91" spans="1:26" s="367" customFormat="1">
      <c r="A91" s="367" t="s">
        <v>2939</v>
      </c>
      <c r="G91" s="472"/>
      <c r="N91" s="472"/>
      <c r="S91" s="472"/>
    </row>
    <row r="99" spans="7:22">
      <c r="G99" s="368"/>
      <c r="S99" s="485" t="s">
        <v>2940</v>
      </c>
      <c r="T99" s="486" t="s">
        <v>2941</v>
      </c>
      <c r="U99" s="486" t="s">
        <v>2942</v>
      </c>
      <c r="V99" s="486" t="s">
        <v>2943</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18" customWidth="1"/>
    <col min="2" max="2" width="37.25" style="3218" customWidth="1"/>
    <col min="3" max="3" width="11.375" style="3218" customWidth="1"/>
    <col min="4" max="4" width="31.75" style="3218" customWidth="1"/>
    <col min="5" max="5" width="0.5" style="3218" customWidth="1"/>
    <col min="6" max="7" width="13" style="3218" customWidth="1"/>
    <col min="8" max="16384" width="9" style="3218"/>
  </cols>
  <sheetData>
    <row r="1" spans="1:5" ht="18.75">
      <c r="A1" s="3219" t="s">
        <v>94</v>
      </c>
      <c r="B1" s="3220"/>
      <c r="C1" s="3220"/>
      <c r="D1" s="3220"/>
      <c r="E1" s="3220"/>
    </row>
    <row r="2" spans="1:5" ht="78" customHeight="1">
      <c r="A2" s="32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7"/>
      <c r="C2" s="3287"/>
      <c r="D2" s="3287"/>
      <c r="E2" s="3287"/>
    </row>
    <row r="3" spans="1:5" ht="18">
      <c r="A3" s="3288" t="str">
        <f>IF(项目基本情况!B9="房地产市场价值","估价结果一览表（市场价值不需“结果表-1”）","估价结果一览表")</f>
        <v>估价结果一览表</v>
      </c>
      <c r="B3" s="3288"/>
      <c r="C3" s="3288"/>
      <c r="D3" s="3288"/>
      <c r="E3" s="3288"/>
    </row>
    <row r="4" spans="1:5" ht="18.75">
      <c r="A4" s="3221"/>
      <c r="B4" s="3289" t="s">
        <v>95</v>
      </c>
      <c r="C4" s="3289"/>
      <c r="D4" s="3289"/>
      <c r="E4" s="3221"/>
    </row>
    <row r="5" spans="1:5" ht="15.75">
      <c r="A5" s="3220"/>
      <c r="B5" s="3281" t="s">
        <v>96</v>
      </c>
      <c r="C5" s="3222" t="s">
        <v>97</v>
      </c>
      <c r="D5" s="3223">
        <f ca="1">结果表!H101</f>
        <v>23305</v>
      </c>
      <c r="E5" s="3220"/>
    </row>
    <row r="6" spans="1:5" ht="15.75">
      <c r="A6" s="3220"/>
      <c r="B6" s="3281"/>
      <c r="C6" s="3222" t="s">
        <v>98</v>
      </c>
      <c r="D6" s="3223" t="str">
        <f ca="1">NUMBERSTRING(INT(D5*10000),2)&amp;"元整"</f>
        <v>贰亿叁仟叁佰零伍万元整</v>
      </c>
      <c r="E6" s="3220"/>
    </row>
    <row r="7" spans="1:5" ht="15.75">
      <c r="A7" s="3220"/>
      <c r="B7" s="3282"/>
      <c r="C7" s="3224" t="s">
        <v>99</v>
      </c>
      <c r="D7" s="3225">
        <f ca="1">结果表!H102</f>
        <v>14058</v>
      </c>
      <c r="E7" s="3220"/>
    </row>
    <row r="8" spans="1:5" ht="15.75">
      <c r="A8" s="3220"/>
      <c r="B8" s="3283" t="str">
        <f>结果表!E103</f>
        <v>2.估价师知悉的法定优先受偿款</v>
      </c>
      <c r="C8" s="3226" t="s">
        <v>100</v>
      </c>
      <c r="D8" s="3225">
        <f>结果表!H103</f>
        <v>0</v>
      </c>
      <c r="E8" s="3220"/>
    </row>
    <row r="9" spans="1:5" ht="15.75">
      <c r="A9" s="3220"/>
      <c r="B9" s="3285"/>
      <c r="C9" s="3222" t="s">
        <v>98</v>
      </c>
      <c r="D9" s="3223" t="str">
        <f>NUMBERSTRING(INT(D8*10000),2)&amp;"元整"</f>
        <v>零元整</v>
      </c>
      <c r="E9" s="3220"/>
    </row>
    <row r="10" spans="1:5" ht="15">
      <c r="A10" s="3220"/>
      <c r="B10" s="3227" t="s">
        <v>101</v>
      </c>
      <c r="C10" s="3228" t="s">
        <v>102</v>
      </c>
      <c r="D10" s="3229">
        <f>结果表!H104</f>
        <v>0</v>
      </c>
      <c r="E10" s="3220"/>
    </row>
    <row r="11" spans="1:5" ht="15">
      <c r="A11" s="3220"/>
      <c r="B11" s="3227" t="s">
        <v>103</v>
      </c>
      <c r="C11" s="3228" t="s">
        <v>102</v>
      </c>
      <c r="D11" s="3229">
        <f>结果表!H105</f>
        <v>0</v>
      </c>
      <c r="E11" s="3220"/>
    </row>
    <row r="12" spans="1:5" ht="15">
      <c r="A12" s="3220"/>
      <c r="B12" s="3227" t="s">
        <v>104</v>
      </c>
      <c r="C12" s="3228" t="s">
        <v>102</v>
      </c>
      <c r="D12" s="3229">
        <f>结果表!H106</f>
        <v>0</v>
      </c>
      <c r="E12" s="3220"/>
    </row>
    <row r="13" spans="1:5" ht="15.75">
      <c r="A13" s="3220"/>
      <c r="B13" s="3280" t="str">
        <f>结果表!E107</f>
        <v>3.房地产抵押价值</v>
      </c>
      <c r="C13" s="3230" t="s">
        <v>97</v>
      </c>
      <c r="D13" s="3231">
        <f ca="1">结果表!H107</f>
        <v>23305</v>
      </c>
      <c r="E13" s="3220"/>
    </row>
    <row r="14" spans="1:5" ht="15.75">
      <c r="A14" s="3220"/>
      <c r="B14" s="3281"/>
      <c r="C14" s="3222" t="s">
        <v>98</v>
      </c>
      <c r="D14" s="3223" t="str">
        <f ca="1">NUMBERSTRING(INT(D13*10000),2)&amp;"元整"</f>
        <v>贰亿叁仟叁佰零伍万元整</v>
      </c>
      <c r="E14" s="3220"/>
    </row>
    <row r="15" spans="1:5" ht="15">
      <c r="A15" s="3220"/>
      <c r="B15" s="3282"/>
      <c r="C15" s="3224" t="s">
        <v>99</v>
      </c>
      <c r="D15" s="3232">
        <f ca="1">结果表!H108</f>
        <v>14058</v>
      </c>
      <c r="E15" s="3220"/>
    </row>
    <row r="16" spans="1:5" ht="15">
      <c r="A16" s="3220"/>
      <c r="B16" s="3283" t="str">
        <f>结果表!E109</f>
        <v>——</v>
      </c>
      <c r="C16" s="3230" t="s">
        <v>97</v>
      </c>
      <c r="D16" s="3233" t="str">
        <f>结果表!H109</f>
        <v>——</v>
      </c>
      <c r="E16" s="3220"/>
    </row>
    <row r="17" spans="1:5" ht="15.75">
      <c r="A17" s="3220"/>
      <c r="B17" s="3284"/>
      <c r="C17" s="3222" t="s">
        <v>98</v>
      </c>
      <c r="D17" s="3223" t="e">
        <f>NUMBERSTRING(INT(D16*10000),2)&amp;"元整"</f>
        <v>#VALUE!</v>
      </c>
      <c r="E17" s="3220"/>
    </row>
    <row r="18" spans="1:5" ht="15">
      <c r="A18" s="3220"/>
      <c r="B18" s="3285"/>
      <c r="C18" s="3224" t="s">
        <v>99</v>
      </c>
      <c r="D18" s="3232" t="str">
        <f>结果表!H110</f>
        <v>——</v>
      </c>
      <c r="E18" s="3220"/>
    </row>
    <row r="19" spans="1:5" ht="15.75">
      <c r="A19" s="3220"/>
      <c r="B19" s="3280" t="str">
        <f>结果表!E111</f>
        <v>4.抵押净值</v>
      </c>
      <c r="C19" s="3230" t="s">
        <v>97</v>
      </c>
      <c r="D19" s="3225">
        <f ca="1">结果表!H111</f>
        <v>9891</v>
      </c>
      <c r="E19" s="3220"/>
    </row>
    <row r="20" spans="1:5" ht="15.75">
      <c r="A20" s="3220"/>
      <c r="B20" s="3281"/>
      <c r="C20" s="3222" t="s">
        <v>98</v>
      </c>
      <c r="D20" s="3223" t="str">
        <f ca="1">NUMBERSTRING(INT(D19*10000),2)&amp;"元整"</f>
        <v>玖仟捌佰玖拾壹万元整</v>
      </c>
      <c r="E20" s="3220"/>
    </row>
    <row r="21" spans="1:5" ht="15">
      <c r="A21" s="3220"/>
      <c r="B21" s="3286"/>
      <c r="C21" s="3234" t="s">
        <v>99</v>
      </c>
      <c r="D21" s="3235">
        <f ca="1">结果表!H112</f>
        <v>5966</v>
      </c>
      <c r="E21" s="3220"/>
    </row>
    <row r="22" spans="1:5">
      <c r="A22" s="3220"/>
      <c r="B22" s="3236" t="s">
        <v>105</v>
      </c>
      <c r="C22" s="3220"/>
      <c r="D22" s="3220"/>
      <c r="E22" s="3220"/>
    </row>
    <row r="23" spans="1:5">
      <c r="A23" s="3220"/>
      <c r="B23" s="3220"/>
      <c r="C23" s="3220"/>
      <c r="D23" s="3220"/>
      <c r="E23" s="3220"/>
    </row>
    <row r="24" spans="1:5" ht="18.75">
      <c r="A24" s="3237"/>
      <c r="B24" s="3238" t="s">
        <v>106</v>
      </c>
      <c r="C24" s="3237"/>
      <c r="D24" s="3237"/>
      <c r="E24" s="3237"/>
    </row>
    <row r="25" spans="1:5">
      <c r="A25" s="3237"/>
      <c r="B25" s="3237"/>
      <c r="C25" s="3237"/>
      <c r="D25" s="3237"/>
      <c r="E25" s="3237"/>
    </row>
    <row r="26" spans="1:5">
      <c r="A26" s="3237"/>
      <c r="B26" s="3237"/>
      <c r="C26" s="3237"/>
      <c r="D26" s="3237"/>
      <c r="E26" s="3237"/>
    </row>
    <row r="27" spans="1:5">
      <c r="A27" s="3237"/>
      <c r="B27" s="3237"/>
      <c r="C27" s="3237"/>
      <c r="D27" s="3237"/>
      <c r="E27" s="3237"/>
    </row>
    <row r="28" spans="1:5">
      <c r="A28" s="3237"/>
      <c r="B28" s="3237"/>
      <c r="C28" s="3237"/>
      <c r="D28" s="3237"/>
      <c r="E28" s="3237"/>
    </row>
    <row r="29" spans="1:5">
      <c r="A29" s="3237"/>
      <c r="B29" s="3237"/>
      <c r="C29" s="3237"/>
      <c r="D29" s="3237"/>
      <c r="E29" s="3237"/>
    </row>
    <row r="30" spans="1:5">
      <c r="A30" s="3237"/>
      <c r="B30" s="3237"/>
      <c r="C30" s="3237"/>
      <c r="D30" s="3237"/>
      <c r="E30" s="3237"/>
    </row>
    <row r="31" spans="1:5">
      <c r="A31" s="3237"/>
      <c r="B31" s="3237"/>
      <c r="C31" s="3237"/>
      <c r="D31" s="3237"/>
      <c r="E31" s="3237"/>
    </row>
    <row r="32" spans="1:5">
      <c r="A32" s="3237"/>
      <c r="B32" s="3237"/>
      <c r="C32" s="3237"/>
      <c r="D32" s="3237"/>
      <c r="E32" s="3237"/>
    </row>
    <row r="33" spans="1:5">
      <c r="A33" s="3237"/>
      <c r="B33" s="3237"/>
      <c r="C33" s="3237"/>
      <c r="D33" s="3237"/>
      <c r="E33" s="3237"/>
    </row>
    <row r="34" spans="1:5">
      <c r="A34" s="3237"/>
      <c r="B34" s="3237"/>
      <c r="C34" s="3237"/>
      <c r="D34" s="3237"/>
      <c r="E34" s="3237"/>
    </row>
    <row r="35" spans="1:5">
      <c r="A35" s="3237"/>
      <c r="B35" s="3237"/>
      <c r="C35" s="3237"/>
      <c r="D35" s="3237"/>
      <c r="E35" s="3237"/>
    </row>
    <row r="36" spans="1:5">
      <c r="A36" s="3237"/>
      <c r="B36" s="3237"/>
      <c r="C36" s="3237"/>
      <c r="D36" s="3237"/>
      <c r="E36" s="3237"/>
    </row>
    <row r="37" spans="1:5">
      <c r="A37" s="3237"/>
      <c r="B37" s="3237"/>
      <c r="C37" s="3237"/>
      <c r="D37" s="3237"/>
      <c r="E37" s="3237"/>
    </row>
    <row r="38" spans="1:5">
      <c r="A38" s="3237"/>
      <c r="B38" s="3237"/>
      <c r="C38" s="3237"/>
      <c r="D38" s="3237"/>
      <c r="E38" s="3237"/>
    </row>
    <row r="39" spans="1:5">
      <c r="A39" s="3237"/>
      <c r="B39" s="3237"/>
      <c r="C39" s="3237"/>
      <c r="D39" s="3237"/>
      <c r="E39" s="3237"/>
    </row>
    <row r="40" spans="1:5">
      <c r="A40" s="3237"/>
      <c r="B40" s="3237"/>
      <c r="C40" s="3237"/>
      <c r="D40" s="3237"/>
      <c r="E40" s="3237"/>
    </row>
    <row r="41" spans="1:5">
      <c r="A41" s="3237"/>
      <c r="B41" s="3237"/>
      <c r="C41" s="3237"/>
      <c r="D41" s="3237"/>
      <c r="E41" s="3237"/>
    </row>
    <row r="42" spans="1:5">
      <c r="A42" s="3237"/>
      <c r="B42" s="3237"/>
      <c r="C42" s="3237"/>
      <c r="D42" s="3237"/>
      <c r="E42" s="32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2944</v>
      </c>
      <c r="C1" s="3617" t="s">
        <v>2945</v>
      </c>
      <c r="D1" s="3618"/>
      <c r="E1" s="3618"/>
      <c r="F1" s="3618"/>
      <c r="G1" s="3618"/>
      <c r="H1" s="3618"/>
      <c r="I1" s="3618"/>
      <c r="J1" s="3618"/>
      <c r="K1" s="3618"/>
      <c r="L1" s="3618"/>
      <c r="M1" s="3618"/>
      <c r="N1" s="3618"/>
      <c r="O1" s="3618"/>
      <c r="P1" s="3618"/>
      <c r="Q1" s="3618"/>
      <c r="R1" s="3618"/>
      <c r="S1" s="3619"/>
      <c r="T1" s="241" t="s">
        <v>2471</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2946</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2947</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2948</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2949</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2950</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2951</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2952</v>
      </c>
      <c r="B17" s="275" t="s">
        <v>2953</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2954</v>
      </c>
      <c r="E19" s="285"/>
      <c r="F19" s="285"/>
      <c r="G19" s="285"/>
      <c r="H19" s="286"/>
      <c r="I19" s="283"/>
      <c r="J19" s="283"/>
      <c r="K19" s="283"/>
      <c r="L19" s="283"/>
      <c r="M19" s="283"/>
      <c r="N19" s="283"/>
      <c r="O19" s="283"/>
      <c r="P19" s="283"/>
      <c r="Q19" s="283"/>
      <c r="R19" s="351"/>
      <c r="S19" s="282"/>
    </row>
    <row r="20" spans="1:45" ht="15.75">
      <c r="A20" s="287" t="s">
        <v>2955</v>
      </c>
      <c r="B20" s="288" t="e">
        <f ca="1">IF(D20="——",S22,S22-F20)</f>
        <v>#REF!</v>
      </c>
      <c r="C20" s="283"/>
      <c r="D20" s="289"/>
      <c r="E20" s="290"/>
      <c r="F20" s="241" t="e">
        <f ca="1">SUMIF(INDIRECT("'"&amp;H20&amp;"'"&amp;"!A:A"),"承租人权益价值",INDIRECT("'"&amp;H20&amp;"'"&amp;"!c:c"))</f>
        <v>#REF!</v>
      </c>
      <c r="G20" s="241" t="s">
        <v>731</v>
      </c>
      <c r="H20" s="291"/>
      <c r="I20" s="283"/>
      <c r="J20" s="283"/>
      <c r="K20" s="283"/>
      <c r="L20" s="283"/>
      <c r="M20" s="283"/>
      <c r="N20" s="283"/>
      <c r="O20" s="283"/>
      <c r="P20" s="283"/>
      <c r="Q20" s="283"/>
      <c r="R20" s="351"/>
      <c r="S20" s="282"/>
    </row>
    <row r="21" spans="1:45" ht="15.75">
      <c r="A21" s="287" t="s">
        <v>2956</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2957</v>
      </c>
      <c r="B22" s="293">
        <f>SUM(B24:B10000)</f>
        <v>100</v>
      </c>
      <c r="C22" s="3620" t="s">
        <v>124</v>
      </c>
      <c r="D22" s="3621"/>
      <c r="E22" s="3621"/>
      <c r="F22" s="3621"/>
      <c r="G22" s="3621"/>
      <c r="H22" s="3621"/>
      <c r="I22" s="3621"/>
      <c r="J22" s="3621"/>
      <c r="K22" s="3621"/>
      <c r="L22" s="3621"/>
      <c r="M22" s="3621"/>
      <c r="N22" s="3621"/>
      <c r="O22" s="3621"/>
      <c r="P22" s="3621"/>
      <c r="Q22" s="3622"/>
      <c r="R22" s="353">
        <f>ROUND(S22*10000/B22,0)</f>
        <v>10000</v>
      </c>
      <c r="S22" s="293">
        <f>SUM(S24:S10000)</f>
        <v>100</v>
      </c>
    </row>
    <row r="23" spans="1:45" s="234" customFormat="1" ht="24">
      <c r="A23" s="296" t="s">
        <v>2958</v>
      </c>
      <c r="B23" s="296" t="s">
        <v>361</v>
      </c>
      <c r="C23" s="296" t="s">
        <v>2471</v>
      </c>
      <c r="D23" s="296" t="str">
        <f>B5</f>
        <v>修正项2</v>
      </c>
      <c r="E23" s="296" t="s">
        <v>2471</v>
      </c>
      <c r="F23" s="296" t="str">
        <f>B7</f>
        <v>修正项3</v>
      </c>
      <c r="G23" s="296" t="s">
        <v>2471</v>
      </c>
      <c r="H23" s="296" t="str">
        <f>B9</f>
        <v>修正项4</v>
      </c>
      <c r="I23" s="296" t="s">
        <v>2471</v>
      </c>
      <c r="J23" s="296" t="str">
        <f>B11</f>
        <v>修正项5</v>
      </c>
      <c r="K23" s="296" t="s">
        <v>2471</v>
      </c>
      <c r="L23" s="296" t="str">
        <f>B13</f>
        <v>修正项6</v>
      </c>
      <c r="M23" s="296" t="s">
        <v>2471</v>
      </c>
      <c r="N23" s="296" t="str">
        <f>B15</f>
        <v>修正项7</v>
      </c>
      <c r="O23" s="296" t="s">
        <v>2471</v>
      </c>
      <c r="P23" s="296" t="str">
        <f>B17</f>
        <v>楼层</v>
      </c>
      <c r="Q23" s="296" t="s">
        <v>2471</v>
      </c>
      <c r="R23" s="354" t="s">
        <v>2959</v>
      </c>
      <c r="S23" s="296" t="s">
        <v>2960</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2961</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2962</v>
      </c>
      <c r="B1" s="147"/>
      <c r="C1" s="148"/>
      <c r="D1" s="148"/>
      <c r="E1" s="148"/>
      <c r="F1" s="148"/>
      <c r="G1" s="149"/>
    </row>
    <row r="2" spans="1:7" s="138" customFormat="1" ht="18" customHeight="1">
      <c r="A2" s="150" t="s">
        <v>2963</v>
      </c>
      <c r="B2" s="151">
        <f ca="1">C52</f>
        <v>32628</v>
      </c>
      <c r="C2" s="152" t="s">
        <v>2964</v>
      </c>
      <c r="D2" s="149"/>
      <c r="E2" s="149"/>
      <c r="F2" s="149"/>
      <c r="G2" s="149"/>
    </row>
    <row r="3" spans="1:7" s="138" customFormat="1" ht="18" customHeight="1">
      <c r="A3" s="153" t="s">
        <v>2965</v>
      </c>
      <c r="B3" s="154">
        <f ca="1">ROUND(B2*10000/'数据-汇总表'!E3,0)</f>
        <v>19681</v>
      </c>
      <c r="C3" s="152" t="s">
        <v>2966</v>
      </c>
      <c r="D3" s="149"/>
      <c r="E3" s="149"/>
      <c r="F3" s="149"/>
      <c r="G3" s="149"/>
    </row>
    <row r="4" spans="1:7" s="139" customFormat="1" ht="15.75">
      <c r="A4" s="155" t="s">
        <v>2967</v>
      </c>
      <c r="B4" s="156"/>
      <c r="C4" s="156"/>
      <c r="D4" s="156"/>
      <c r="E4" s="156"/>
      <c r="F4" s="156"/>
      <c r="G4" s="157"/>
    </row>
    <row r="5" spans="1:7" s="140" customFormat="1" ht="13.5" customHeight="1">
      <c r="A5" s="158" t="s">
        <v>920</v>
      </c>
      <c r="B5" s="159" t="s">
        <v>2968</v>
      </c>
      <c r="C5" s="160">
        <f>C6+C7+C8</f>
        <v>20610</v>
      </c>
      <c r="D5" s="160" t="s">
        <v>2969</v>
      </c>
      <c r="E5" s="161" t="s">
        <v>2970</v>
      </c>
      <c r="F5" s="161" t="s">
        <v>2971</v>
      </c>
      <c r="G5" s="162"/>
    </row>
    <row r="6" spans="1:7" s="140" customFormat="1" ht="13.5" customHeight="1">
      <c r="A6" s="163" t="s">
        <v>924</v>
      </c>
      <c r="B6" s="164" t="s">
        <v>2972</v>
      </c>
      <c r="C6" s="165">
        <v>20000</v>
      </c>
      <c r="D6" s="166"/>
      <c r="E6" s="167"/>
      <c r="F6" s="167"/>
      <c r="G6" s="168"/>
    </row>
    <row r="7" spans="1:7" s="140" customFormat="1" ht="13.5" customHeight="1">
      <c r="A7" s="163" t="s">
        <v>926</v>
      </c>
      <c r="B7" s="164" t="s">
        <v>2973</v>
      </c>
      <c r="C7" s="169">
        <f>ROUND(C6*F7,0)</f>
        <v>610</v>
      </c>
      <c r="D7" s="169"/>
      <c r="E7" s="167"/>
      <c r="F7" s="170">
        <f>'数据-取费表'!B48+'数据-取费表'!B49</f>
        <v>3.0499999999999999E-2</v>
      </c>
      <c r="G7" s="168"/>
    </row>
    <row r="8" spans="1:7" s="141" customFormat="1">
      <c r="A8" s="163" t="s">
        <v>928</v>
      </c>
      <c r="B8" s="164" t="s">
        <v>2974</v>
      </c>
      <c r="C8" s="169" t="str">
        <f>IF(G8="已包含在土地购买价格中","0",'数据-取费表'!B29)</f>
        <v>0</v>
      </c>
      <c r="D8" s="171"/>
      <c r="E8" s="169"/>
      <c r="F8" s="170"/>
      <c r="G8" s="172" t="s">
        <v>2975</v>
      </c>
    </row>
    <row r="9" spans="1:7" s="140" customFormat="1" ht="13.5" customHeight="1">
      <c r="A9" s="173" t="s">
        <v>931</v>
      </c>
      <c r="B9" s="174" t="s">
        <v>2976</v>
      </c>
      <c r="C9" s="175">
        <f>ROUND(D9*E9/10000,0)</f>
        <v>0</v>
      </c>
      <c r="D9" s="176">
        <f>'数据-汇总表'!E5</f>
        <v>0</v>
      </c>
      <c r="E9" s="175">
        <f>'数据-取费表'!B27</f>
        <v>0</v>
      </c>
      <c r="F9" s="170"/>
      <c r="G9" s="177"/>
    </row>
    <row r="10" spans="1:7" s="140" customFormat="1" ht="13.5" customHeight="1">
      <c r="A10" s="173" t="s">
        <v>935</v>
      </c>
      <c r="B10" s="174" t="s">
        <v>2977</v>
      </c>
      <c r="C10" s="175">
        <f>ROUND(D10*E10/10000,0)</f>
        <v>332</v>
      </c>
      <c r="D10" s="176">
        <f>'数据-汇总表'!E6</f>
        <v>16578.28</v>
      </c>
      <c r="E10" s="175">
        <f>'数据-取费表'!B28</f>
        <v>200</v>
      </c>
      <c r="F10" s="170"/>
      <c r="G10" s="177"/>
    </row>
    <row r="11" spans="1:7" s="140" customFormat="1" ht="13.5" hidden="1" customHeight="1">
      <c r="A11" s="178" t="s">
        <v>937</v>
      </c>
      <c r="B11" s="164" t="s">
        <v>2978</v>
      </c>
      <c r="C11" s="160"/>
      <c r="D11" s="179"/>
      <c r="E11" s="167"/>
      <c r="F11" s="167"/>
      <c r="G11" s="168"/>
    </row>
    <row r="12" spans="1:7" s="140" customFormat="1" ht="13.5" hidden="1" customHeight="1">
      <c r="A12" s="178" t="s">
        <v>939</v>
      </c>
      <c r="B12" s="164" t="s">
        <v>2979</v>
      </c>
      <c r="C12" s="160">
        <v>0</v>
      </c>
      <c r="D12" s="179"/>
      <c r="E12" s="180"/>
      <c r="F12" s="170">
        <v>3.0499999999999999E-2</v>
      </c>
      <c r="G12" s="168"/>
    </row>
    <row r="13" spans="1:7" s="140" customFormat="1" ht="13.5" hidden="1" customHeight="1">
      <c r="A13" s="178" t="s">
        <v>940</v>
      </c>
      <c r="B13" s="164" t="s">
        <v>2980</v>
      </c>
      <c r="C13" s="160"/>
      <c r="D13" s="179"/>
      <c r="E13" s="167"/>
      <c r="F13" s="167"/>
      <c r="G13" s="168"/>
    </row>
    <row r="14" spans="1:7" s="140" customFormat="1" ht="13.5" hidden="1" customHeight="1">
      <c r="A14" s="178" t="s">
        <v>942</v>
      </c>
      <c r="B14" s="164" t="s">
        <v>2974</v>
      </c>
      <c r="C14" s="160"/>
      <c r="D14" s="179"/>
      <c r="E14" s="167"/>
      <c r="F14" s="167"/>
      <c r="G14" s="168" t="s">
        <v>2981</v>
      </c>
    </row>
    <row r="15" spans="1:7" s="140" customFormat="1" ht="13.5" hidden="1" customHeight="1">
      <c r="A15" s="178" t="s">
        <v>944</v>
      </c>
      <c r="B15" s="164" t="s">
        <v>2982</v>
      </c>
      <c r="C15" s="169"/>
      <c r="D15" s="179"/>
      <c r="E15" s="167"/>
      <c r="F15" s="167"/>
      <c r="G15" s="168" t="s">
        <v>2983</v>
      </c>
    </row>
    <row r="16" spans="1:7" s="140" customFormat="1" ht="13.5" hidden="1" customHeight="1">
      <c r="A16" s="178" t="s">
        <v>947</v>
      </c>
      <c r="B16" s="164" t="s">
        <v>2974</v>
      </c>
      <c r="C16" s="169"/>
      <c r="D16" s="179"/>
      <c r="E16" s="167"/>
      <c r="F16" s="167"/>
      <c r="G16" s="168"/>
    </row>
    <row r="17" spans="1:7" s="140" customFormat="1" ht="13.5" hidden="1" customHeight="1">
      <c r="A17" s="178" t="s">
        <v>948</v>
      </c>
      <c r="B17" s="164" t="s">
        <v>2984</v>
      </c>
      <c r="C17" s="181"/>
      <c r="D17" s="182"/>
      <c r="E17" s="181"/>
      <c r="F17" s="181"/>
      <c r="G17" s="168" t="s">
        <v>2983</v>
      </c>
    </row>
    <row r="18" spans="1:7" s="140" customFormat="1" ht="13.5" hidden="1" customHeight="1">
      <c r="A18" s="178" t="s">
        <v>950</v>
      </c>
      <c r="B18" s="164" t="s">
        <v>2985</v>
      </c>
      <c r="C18" s="169">
        <v>0</v>
      </c>
      <c r="D18" s="179"/>
      <c r="E18" s="167"/>
      <c r="F18" s="170">
        <v>3.0499999999999999E-2</v>
      </c>
      <c r="G18" s="168" t="s">
        <v>2986</v>
      </c>
    </row>
    <row r="19" spans="1:7" s="141" customFormat="1" ht="13.5" customHeight="1">
      <c r="A19" s="183" t="s">
        <v>2987</v>
      </c>
      <c r="B19" s="159" t="s">
        <v>2988</v>
      </c>
      <c r="C19" s="160">
        <f>IF(G19="已包含在土地取得成本中","0",ROUND(D19*E19/10000,0))</f>
        <v>332</v>
      </c>
      <c r="D19" s="184">
        <f>'数据-汇总表'!E3</f>
        <v>16578.28</v>
      </c>
      <c r="E19" s="160">
        <f>'数据-取费表'!B31</f>
        <v>200</v>
      </c>
      <c r="F19" s="185"/>
      <c r="G19" s="172" t="s">
        <v>2989</v>
      </c>
    </row>
    <row r="20" spans="1:7" s="140" customFormat="1" ht="13.5" customHeight="1">
      <c r="A20" s="183" t="s">
        <v>2990</v>
      </c>
      <c r="B20" s="159" t="s">
        <v>2991</v>
      </c>
      <c r="C20" s="186">
        <f>ROUND((C5+C19)*F20,0)</f>
        <v>419</v>
      </c>
      <c r="D20" s="186"/>
      <c r="E20" s="186"/>
      <c r="F20" s="187">
        <f>'数据-取费表'!B37</f>
        <v>0.02</v>
      </c>
      <c r="G20" s="188" t="s">
        <v>2992</v>
      </c>
    </row>
    <row r="21" spans="1:7" s="140" customFormat="1" ht="13.5" customHeight="1">
      <c r="A21" s="183" t="s">
        <v>2993</v>
      </c>
      <c r="B21" s="159" t="s">
        <v>2994</v>
      </c>
      <c r="C21" s="189">
        <f>F21</f>
        <v>0.02</v>
      </c>
      <c r="D21" s="190" t="s">
        <v>2995</v>
      </c>
      <c r="E21" s="186"/>
      <c r="F21" s="187">
        <f>'数据-取费表'!B38</f>
        <v>0.02</v>
      </c>
      <c r="G21" s="191" t="s">
        <v>2996</v>
      </c>
    </row>
    <row r="22" spans="1:7" s="140" customFormat="1" ht="13.5" customHeight="1">
      <c r="A22" s="183" t="s">
        <v>2997</v>
      </c>
      <c r="B22" s="159" t="s">
        <v>2998</v>
      </c>
      <c r="C22" s="192">
        <f ca="1">ROUND(SUM(C23:C25),0)</f>
        <v>1814</v>
      </c>
      <c r="D22" s="189">
        <f ca="1">C26</f>
        <v>8.0000000000000004E-4</v>
      </c>
      <c r="E22" s="190" t="s">
        <v>2995</v>
      </c>
      <c r="F22" s="193">
        <f ca="1">'数据-取费表'!B40</f>
        <v>4.2000000000000003E-2</v>
      </c>
      <c r="G22" s="188" t="str">
        <f>IF('数据-取费表'!B22&lt;=1,"单利计息","复利计息")</f>
        <v>复利计息</v>
      </c>
    </row>
    <row r="23" spans="1:7" s="140" customFormat="1" ht="13.5" customHeight="1">
      <c r="A23" s="194" t="s">
        <v>924</v>
      </c>
      <c r="B23" s="164" t="s">
        <v>2999</v>
      </c>
      <c r="C23" s="195">
        <f ca="1">ROUND(IF('数据-取费表'!B22&lt;=1,C5*F22*'数据-取费表'!B23,C5*(POWER((1+F22),'数据-取费表'!B23)-1)),0)</f>
        <v>1768</v>
      </c>
      <c r="D23" s="196"/>
      <c r="E23" s="196"/>
      <c r="F23" s="197"/>
      <c r="G23" s="198" t="s">
        <v>3000</v>
      </c>
    </row>
    <row r="24" spans="1:7" s="140" customFormat="1" ht="13.5" customHeight="1">
      <c r="A24" s="194" t="s">
        <v>926</v>
      </c>
      <c r="B24" s="164" t="s">
        <v>3001</v>
      </c>
      <c r="C24" s="195">
        <f ca="1">ROUND(IF('数据-取费表'!B22&lt;=1,C19*F22*('数据-取费表'!B19/2+'数据-取费表'!B21),C19*(POWER((1+F22),('数据-取费表'!B19/2+'数据-取费表'!B21))-1)),0)</f>
        <v>28</v>
      </c>
      <c r="D24" s="196"/>
      <c r="E24" s="196"/>
      <c r="F24" s="197"/>
      <c r="G24" s="198" t="s">
        <v>3002</v>
      </c>
    </row>
    <row r="25" spans="1:7" s="140" customFormat="1" ht="24">
      <c r="A25" s="194" t="s">
        <v>928</v>
      </c>
      <c r="B25" s="164" t="s">
        <v>3003</v>
      </c>
      <c r="C25" s="195">
        <f ca="1">ROUND(IF('数据-取费表'!B22&lt;=1,C20*F22*'数据-取费表'!B23/2,C20*(POWER((1+F22),'数据-取费表'!B23/2)-1)),0)</f>
        <v>18</v>
      </c>
      <c r="D25" s="196"/>
      <c r="E25" s="199"/>
      <c r="F25" s="197"/>
      <c r="G25" s="200" t="s">
        <v>3004</v>
      </c>
    </row>
    <row r="26" spans="1:7" s="140" customFormat="1">
      <c r="A26" s="194" t="s">
        <v>971</v>
      </c>
      <c r="B26" s="164" t="s">
        <v>3005</v>
      </c>
      <c r="C26" s="196">
        <f ca="1">ROUND(IF('数据-取费表'!B22&lt;=1,F21*F22*'数据-取费表'!B23/2,F21*(POWER((1+F22),'数据-取费表'!B23/2)-1)),4)</f>
        <v>8.0000000000000004E-4</v>
      </c>
      <c r="D26" s="196"/>
      <c r="E26" s="199"/>
      <c r="F26" s="197"/>
      <c r="G26" s="201"/>
    </row>
    <row r="27" spans="1:7" s="140" customFormat="1" ht="24.75">
      <c r="A27" s="183" t="s">
        <v>3006</v>
      </c>
      <c r="B27" s="202" t="s">
        <v>3007</v>
      </c>
      <c r="C27" s="203">
        <f>C28</f>
        <v>2350</v>
      </c>
      <c r="D27" s="189">
        <f>C29</f>
        <v>2.2000000000000001E-3</v>
      </c>
      <c r="E27" s="190" t="s">
        <v>2995</v>
      </c>
      <c r="F27" s="204">
        <f>'数据-取费表'!Q16</f>
        <v>0.11</v>
      </c>
      <c r="G27" s="205" t="s">
        <v>3008</v>
      </c>
    </row>
    <row r="28" spans="1:7" s="140" customFormat="1" ht="13.5" customHeight="1">
      <c r="A28" s="194" t="s">
        <v>924</v>
      </c>
      <c r="B28" s="206" t="s">
        <v>3009</v>
      </c>
      <c r="C28" s="207">
        <f>ROUND((C5+C19+C20)*F27*'数据-取费表'!B21/'数据-取费表'!B20,0)</f>
        <v>2350</v>
      </c>
      <c r="D28" s="189"/>
      <c r="E28" s="190"/>
      <c r="F28" s="204"/>
      <c r="G28" s="205"/>
    </row>
    <row r="29" spans="1:7" s="140" customFormat="1" ht="13.5" customHeight="1">
      <c r="A29" s="194" t="s">
        <v>926</v>
      </c>
      <c r="B29" s="206" t="s">
        <v>3010</v>
      </c>
      <c r="C29" s="196">
        <f>ROUND(C21*F27*'数据-取费表'!B21/'数据-取费表'!B20,4)</f>
        <v>2.2000000000000001E-3</v>
      </c>
      <c r="D29" s="189"/>
      <c r="E29" s="190"/>
      <c r="F29" s="204"/>
      <c r="G29" s="205"/>
    </row>
    <row r="30" spans="1:7" s="140" customFormat="1" ht="13.5" customHeight="1">
      <c r="A30" s="183" t="s">
        <v>3011</v>
      </c>
      <c r="B30" s="159" t="s">
        <v>3012</v>
      </c>
      <c r="C30" s="189">
        <f>F30</f>
        <v>5.6000000000000001E-2</v>
      </c>
      <c r="D30" s="190" t="s">
        <v>3013</v>
      </c>
      <c r="E30" s="199"/>
      <c r="F30" s="193">
        <f>'数据-取费表'!B41</f>
        <v>5.6000000000000001E-2</v>
      </c>
      <c r="G30" s="191" t="s">
        <v>3014</v>
      </c>
    </row>
    <row r="31" spans="1:7" ht="16.5" customHeight="1">
      <c r="A31" s="208">
        <v>1</v>
      </c>
      <c r="B31" s="159" t="s">
        <v>3015</v>
      </c>
      <c r="C31" s="160">
        <f ca="1">ROUND((C5+C19+C20+C22+C27)/(1-C21-D22-D27-C30/(1+'数据-取费表'!B42)),0)</f>
        <v>27634</v>
      </c>
      <c r="D31" s="209"/>
      <c r="E31" s="160"/>
      <c r="F31" s="210"/>
      <c r="G31" s="191" t="s">
        <v>3016</v>
      </c>
    </row>
    <row r="32" spans="1:7" s="139" customFormat="1" ht="15.75">
      <c r="A32" s="211" t="s">
        <v>3017</v>
      </c>
      <c r="B32" s="212"/>
      <c r="C32" s="212"/>
      <c r="D32" s="212"/>
      <c r="E32" s="212"/>
      <c r="F32" s="212"/>
      <c r="G32" s="213"/>
    </row>
    <row r="33" spans="1:7" s="140" customFormat="1" ht="13.5" customHeight="1">
      <c r="A33" s="158" t="s">
        <v>920</v>
      </c>
      <c r="B33" s="159" t="s">
        <v>3018</v>
      </c>
      <c r="C33" s="214">
        <f>SUM(C34:C38)</f>
        <v>5529</v>
      </c>
      <c r="D33" s="186"/>
      <c r="E33" s="161"/>
      <c r="F33" s="199"/>
      <c r="G33" s="191"/>
    </row>
    <row r="34" spans="1:7" s="142" customFormat="1" ht="13.5" customHeight="1">
      <c r="A34" s="194" t="s">
        <v>924</v>
      </c>
      <c r="B34" s="164" t="s">
        <v>3019</v>
      </c>
      <c r="C34" s="169">
        <f>IF(F34=100%,'数据-取费表'!M16-SUMIF('数据-取费表'!C:C,"公共配套",'数据-取费表'!M:M),'数据-取费表'!O16-SUMIF('数据-取费表'!C:C,"公共配套",'数据-取费表'!O:O))</f>
        <v>4973</v>
      </c>
      <c r="D34" s="166"/>
      <c r="E34" s="169"/>
      <c r="F34" s="215">
        <f>IF('数据-取费表'!B24=0,1,'数据-取费表'!N16)</f>
        <v>1</v>
      </c>
      <c r="G34" s="168" t="s">
        <v>3020</v>
      </c>
    </row>
    <row r="35" spans="1:7" ht="13.5" customHeight="1">
      <c r="A35" s="194" t="s">
        <v>926</v>
      </c>
      <c r="B35" s="164" t="s">
        <v>3021</v>
      </c>
      <c r="C35" s="169">
        <f>ROUND(C34*F35,0)</f>
        <v>149</v>
      </c>
      <c r="D35" s="169"/>
      <c r="E35" s="169"/>
      <c r="F35" s="216">
        <f>'数据-取费表'!B33</f>
        <v>0.03</v>
      </c>
      <c r="G35" s="168" t="s">
        <v>3022</v>
      </c>
    </row>
    <row r="36" spans="1:7" ht="24">
      <c r="A36" s="194" t="s">
        <v>928</v>
      </c>
      <c r="B36" s="164" t="s">
        <v>3023</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3024</v>
      </c>
    </row>
    <row r="37" spans="1:7" s="142" customFormat="1" ht="13.5" customHeight="1">
      <c r="A37" s="194" t="s">
        <v>971</v>
      </c>
      <c r="B37" s="164" t="s">
        <v>3025</v>
      </c>
      <c r="C37" s="207">
        <f>ROUND(E37*D37*F34/10000,0)</f>
        <v>332</v>
      </c>
      <c r="D37" s="166">
        <f>'数据-汇总表'!E3</f>
        <v>16578.28</v>
      </c>
      <c r="E37" s="207">
        <f>'数据-取费表'!B35</f>
        <v>200</v>
      </c>
      <c r="F37" s="216"/>
      <c r="G37" s="218" t="s">
        <v>3026</v>
      </c>
    </row>
    <row r="38" spans="1:7" ht="13.5" customHeight="1">
      <c r="A38" s="194" t="s">
        <v>993</v>
      </c>
      <c r="B38" s="164" t="s">
        <v>2979</v>
      </c>
      <c r="C38" s="169">
        <f>ROUND(C34*F38,0)</f>
        <v>75</v>
      </c>
      <c r="D38" s="169"/>
      <c r="E38" s="169"/>
      <c r="F38" s="216">
        <f>'数据-取费表'!B36</f>
        <v>1.4999999999999999E-2</v>
      </c>
      <c r="G38" s="168" t="s">
        <v>3022</v>
      </c>
    </row>
    <row r="39" spans="1:7" s="140" customFormat="1" ht="13.5" customHeight="1">
      <c r="A39" s="183" t="s">
        <v>2987</v>
      </c>
      <c r="B39" s="159" t="s">
        <v>2991</v>
      </c>
      <c r="C39" s="186">
        <f>ROUND(C33*F20,0)</f>
        <v>111</v>
      </c>
      <c r="D39" s="186"/>
      <c r="E39" s="186"/>
      <c r="F39" s="187"/>
      <c r="G39" s="188" t="s">
        <v>3027</v>
      </c>
    </row>
    <row r="40" spans="1:7" s="140" customFormat="1" ht="13.5" customHeight="1">
      <c r="A40" s="183" t="s">
        <v>2990</v>
      </c>
      <c r="B40" s="159" t="s">
        <v>2994</v>
      </c>
      <c r="C40" s="219">
        <f>F21</f>
        <v>0.02</v>
      </c>
      <c r="D40" s="190" t="s">
        <v>3028</v>
      </c>
      <c r="E40" s="186"/>
      <c r="F40" s="187"/>
      <c r="G40" s="191" t="s">
        <v>3029</v>
      </c>
    </row>
    <row r="41" spans="1:7" s="140" customFormat="1" ht="13.5" customHeight="1">
      <c r="A41" s="183" t="s">
        <v>2993</v>
      </c>
      <c r="B41" s="159" t="s">
        <v>2998</v>
      </c>
      <c r="C41" s="186">
        <f ca="1">ROUND(SUM(C42:C43),0)</f>
        <v>237</v>
      </c>
      <c r="D41" s="189">
        <f ca="1">C44</f>
        <v>8.0000000000000004E-4</v>
      </c>
      <c r="E41" s="190" t="s">
        <v>3028</v>
      </c>
      <c r="F41" s="193"/>
      <c r="G41" s="188" t="str">
        <f>IF('数据-取费表'!B22&lt;=1,"单利计息","复利计息")</f>
        <v>复利计息</v>
      </c>
    </row>
    <row r="42" spans="1:7" ht="13.5" customHeight="1">
      <c r="A42" s="194" t="s">
        <v>924</v>
      </c>
      <c r="B42" s="164" t="s">
        <v>2999</v>
      </c>
      <c r="C42" s="196">
        <f ca="1">ROUND(IF('数据-取费表'!B22&lt;=1,C33*F22*'数据-取费表'!B21/2,C33*(POWER((1+F22),'数据-取费表'!B21/2)-1)),0)</f>
        <v>232</v>
      </c>
      <c r="D42" s="196"/>
      <c r="E42" s="196"/>
      <c r="F42" s="197"/>
      <c r="G42" s="3468" t="s">
        <v>3030</v>
      </c>
    </row>
    <row r="43" spans="1:7" ht="13.5" customHeight="1">
      <c r="A43" s="194" t="s">
        <v>926</v>
      </c>
      <c r="B43" s="164" t="s">
        <v>3001</v>
      </c>
      <c r="C43" s="196">
        <f ca="1">ROUND(IF('数据-取费表'!B22&lt;=1,C39*F22*'数据-取费表'!B21/2,C39*(POWER((1+F22),'数据-取费表'!B21/2)-1)),0)</f>
        <v>5</v>
      </c>
      <c r="D43" s="196"/>
      <c r="E43" s="196"/>
      <c r="F43" s="197"/>
      <c r="G43" s="3469"/>
    </row>
    <row r="44" spans="1:7" ht="13.5" customHeight="1">
      <c r="A44" s="194" t="s">
        <v>928</v>
      </c>
      <c r="B44" s="164" t="s">
        <v>3003</v>
      </c>
      <c r="C44" s="196">
        <f ca="1">ROUND(IF('数据-取费表'!B22&lt;=1,C40*F22*'数据-取费表'!B21/2,C40*(POWER((1+F22),'数据-取费表'!B21/2)-1)),4)</f>
        <v>8.0000000000000004E-4</v>
      </c>
      <c r="D44" s="196"/>
      <c r="E44" s="196"/>
      <c r="F44" s="197"/>
      <c r="G44" s="3470"/>
    </row>
    <row r="45" spans="1:7" s="140" customFormat="1" ht="13.5" customHeight="1">
      <c r="A45" s="183" t="s">
        <v>2997</v>
      </c>
      <c r="B45" s="202" t="s">
        <v>3007</v>
      </c>
      <c r="C45" s="203">
        <f>C46</f>
        <v>620</v>
      </c>
      <c r="D45" s="189">
        <f>C47</f>
        <v>2.2000000000000001E-3</v>
      </c>
      <c r="E45" s="190" t="s">
        <v>3028</v>
      </c>
      <c r="F45" s="204"/>
      <c r="G45" s="205" t="s">
        <v>3031</v>
      </c>
    </row>
    <row r="46" spans="1:7" s="140" customFormat="1" ht="13.5" customHeight="1">
      <c r="A46" s="194" t="s">
        <v>924</v>
      </c>
      <c r="B46" s="206" t="s">
        <v>3032</v>
      </c>
      <c r="C46" s="207">
        <f>ROUND((C33+C39)*F27,0)</f>
        <v>620</v>
      </c>
      <c r="D46" s="220"/>
      <c r="E46" s="190"/>
      <c r="F46" s="204"/>
      <c r="G46" s="205"/>
    </row>
    <row r="47" spans="1:7" s="140" customFormat="1" ht="13.5" customHeight="1">
      <c r="A47" s="194" t="s">
        <v>926</v>
      </c>
      <c r="B47" s="206" t="s">
        <v>3033</v>
      </c>
      <c r="C47" s="196">
        <f>ROUND(C40*F27,4)</f>
        <v>2.2000000000000001E-3</v>
      </c>
      <c r="D47" s="220"/>
      <c r="E47" s="190"/>
      <c r="F47" s="204"/>
      <c r="G47" s="205"/>
    </row>
    <row r="48" spans="1:7" s="140" customFormat="1" ht="13.5" customHeight="1">
      <c r="A48" s="183" t="s">
        <v>3006</v>
      </c>
      <c r="B48" s="159" t="s">
        <v>3012</v>
      </c>
      <c r="C48" s="219">
        <f>F30</f>
        <v>5.6000000000000001E-2</v>
      </c>
      <c r="D48" s="190" t="s">
        <v>3034</v>
      </c>
      <c r="E48" s="186"/>
      <c r="F48" s="193"/>
      <c r="G48" s="191" t="s">
        <v>3035</v>
      </c>
    </row>
    <row r="49" spans="1:7" ht="16.5" customHeight="1">
      <c r="A49" s="183" t="s">
        <v>3011</v>
      </c>
      <c r="B49" s="159" t="s">
        <v>3036</v>
      </c>
      <c r="C49" s="186">
        <f ca="1">ROUND((C33+C39+C41+C45)/(1-C40-D41-D45-C48/(1+'数据-取费表'!B42)),0)</f>
        <v>7034</v>
      </c>
      <c r="D49" s="186"/>
      <c r="E49" s="186"/>
      <c r="F49" s="221"/>
      <c r="G49" s="191" t="s">
        <v>3037</v>
      </c>
    </row>
    <row r="50" spans="1:7" s="142" customFormat="1" ht="24">
      <c r="A50" s="183" t="s">
        <v>3038</v>
      </c>
      <c r="B50" s="159" t="s">
        <v>3039</v>
      </c>
      <c r="C50" s="186"/>
      <c r="D50" s="186"/>
      <c r="E50" s="186"/>
      <c r="F50" s="221">
        <f>IF('数据-取费表'!B24=0,'数据-取费表'!N16,1)</f>
        <v>0.71</v>
      </c>
      <c r="G50" s="205" t="s">
        <v>3040</v>
      </c>
    </row>
    <row r="51" spans="1:7" ht="16.5" customHeight="1">
      <c r="A51" s="183" t="s">
        <v>3041</v>
      </c>
      <c r="B51" s="159" t="s">
        <v>3042</v>
      </c>
      <c r="C51" s="186">
        <f ca="1">ROUND(C49*F50,0)</f>
        <v>4994</v>
      </c>
      <c r="D51" s="186"/>
      <c r="E51" s="186"/>
      <c r="F51" s="221"/>
      <c r="G51" s="191" t="s">
        <v>3043</v>
      </c>
    </row>
    <row r="52" spans="1:7" s="139" customFormat="1" ht="15.75">
      <c r="A52" s="222" t="s">
        <v>3044</v>
      </c>
      <c r="B52" s="223"/>
      <c r="C52" s="224">
        <f ca="1">C31+C51</f>
        <v>32628</v>
      </c>
      <c r="D52" s="223"/>
      <c r="E52" s="223"/>
      <c r="F52" s="223"/>
      <c r="G52" s="225"/>
    </row>
    <row r="55" spans="1:7" ht="15">
      <c r="B55" s="226" t="s">
        <v>3045</v>
      </c>
      <c r="C55" s="227"/>
    </row>
    <row r="56" spans="1:7">
      <c r="B56" s="228" t="s">
        <v>3046</v>
      </c>
      <c r="C56" s="229">
        <f ca="1">ROUND(C51/C52,3)</f>
        <v>0.153</v>
      </c>
    </row>
    <row r="57" spans="1:7">
      <c r="B57" s="228" t="s">
        <v>3047</v>
      </c>
      <c r="C57" s="230">
        <f ca="1">1-C56</f>
        <v>0.84699999999999998</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623" t="s">
        <v>3048</v>
      </c>
      <c r="B1" s="3623"/>
      <c r="C1" s="3623"/>
      <c r="D1" s="3623"/>
      <c r="E1" s="3623"/>
      <c r="F1" s="3623"/>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624" t="s">
        <v>3049</v>
      </c>
      <c r="B2" s="3624"/>
      <c r="C2" s="3624"/>
      <c r="D2" s="3624"/>
      <c r="E2" s="3624"/>
      <c r="F2" s="3624"/>
      <c r="H2" s="121" t="s">
        <v>3050</v>
      </c>
      <c r="I2" s="97" t="s">
        <v>3051</v>
      </c>
      <c r="J2" s="97" t="s">
        <v>3052</v>
      </c>
      <c r="K2" s="97" t="s">
        <v>3053</v>
      </c>
      <c r="L2" s="97" t="s">
        <v>3054</v>
      </c>
      <c r="M2" s="97" t="s">
        <v>3055</v>
      </c>
      <c r="N2" s="97" t="s">
        <v>3056</v>
      </c>
      <c r="O2" s="97" t="s">
        <v>3057</v>
      </c>
      <c r="P2" s="97" t="s">
        <v>3058</v>
      </c>
      <c r="Q2" s="97" t="s">
        <v>3059</v>
      </c>
      <c r="R2" s="97" t="s">
        <v>3060</v>
      </c>
      <c r="S2" s="97" t="s">
        <v>3061</v>
      </c>
    </row>
    <row r="3" spans="1:19" s="118" customFormat="1" ht="19.5" customHeight="1">
      <c r="A3" s="3625" t="s">
        <v>3062</v>
      </c>
      <c r="B3" s="122"/>
      <c r="C3" s="123" t="s">
        <v>451</v>
      </c>
      <c r="D3" s="123" t="s">
        <v>2588</v>
      </c>
      <c r="E3" s="123" t="s">
        <v>2589</v>
      </c>
      <c r="F3" s="123" t="s">
        <v>2590</v>
      </c>
      <c r="G3" s="124"/>
      <c r="H3" s="121" t="s">
        <v>3063</v>
      </c>
      <c r="I3" s="97" t="s">
        <v>3064</v>
      </c>
      <c r="J3" s="97" t="s">
        <v>3065</v>
      </c>
      <c r="K3" s="97" t="s">
        <v>3066</v>
      </c>
      <c r="L3" s="97" t="s">
        <v>3067</v>
      </c>
      <c r="M3" s="97" t="s">
        <v>3068</v>
      </c>
      <c r="N3" s="97" t="s">
        <v>3069</v>
      </c>
      <c r="O3" s="97" t="s">
        <v>3070</v>
      </c>
      <c r="P3" s="97" t="s">
        <v>3071</v>
      </c>
      <c r="Q3" s="97" t="s">
        <v>3072</v>
      </c>
      <c r="R3" s="97" t="s">
        <v>3073</v>
      </c>
      <c r="S3" s="97" t="s">
        <v>3074</v>
      </c>
    </row>
    <row r="4" spans="1:19" s="118" customFormat="1" ht="19.5" customHeight="1">
      <c r="A4" s="3626"/>
      <c r="B4" s="125" t="s">
        <v>3075</v>
      </c>
      <c r="C4" s="125" t="s">
        <v>3076</v>
      </c>
      <c r="D4" s="125" t="s">
        <v>3076</v>
      </c>
      <c r="E4" s="125" t="s">
        <v>3076</v>
      </c>
      <c r="F4" s="126" t="s">
        <v>3076</v>
      </c>
      <c r="G4" s="124"/>
      <c r="H4" s="121" t="s">
        <v>3077</v>
      </c>
      <c r="I4" s="97" t="s">
        <v>3078</v>
      </c>
      <c r="J4" s="97" t="s">
        <v>402</v>
      </c>
      <c r="K4" s="97" t="s">
        <v>3079</v>
      </c>
      <c r="L4" s="97" t="s">
        <v>3080</v>
      </c>
      <c r="M4" s="97" t="s">
        <v>3081</v>
      </c>
      <c r="N4" s="97" t="s">
        <v>3082</v>
      </c>
      <c r="O4" s="97" t="s">
        <v>3083</v>
      </c>
      <c r="P4" s="97" t="s">
        <v>3084</v>
      </c>
      <c r="Q4" s="97" t="s">
        <v>3085</v>
      </c>
      <c r="R4" s="97" t="s">
        <v>3086</v>
      </c>
      <c r="S4" s="97" t="s">
        <v>3087</v>
      </c>
    </row>
    <row r="5" spans="1:19" ht="14.25" customHeight="1">
      <c r="A5" s="93" t="s">
        <v>230</v>
      </c>
      <c r="B5" s="94" t="s">
        <v>3050</v>
      </c>
      <c r="C5" s="94">
        <v>29530</v>
      </c>
      <c r="D5" s="94">
        <v>28130</v>
      </c>
      <c r="E5" s="94">
        <v>27930</v>
      </c>
      <c r="F5" s="127">
        <v>11300</v>
      </c>
      <c r="G5" s="124"/>
      <c r="H5" s="121" t="s">
        <v>3088</v>
      </c>
      <c r="I5" s="97" t="s">
        <v>3089</v>
      </c>
      <c r="J5" s="97" t="s">
        <v>3090</v>
      </c>
      <c r="K5" s="97" t="s">
        <v>3091</v>
      </c>
      <c r="L5" s="97" t="s">
        <v>3092</v>
      </c>
      <c r="M5" s="97" t="s">
        <v>3093</v>
      </c>
      <c r="N5" s="97" t="s">
        <v>3094</v>
      </c>
      <c r="O5" s="97" t="s">
        <v>3095</v>
      </c>
      <c r="P5" s="97" t="s">
        <v>3096</v>
      </c>
      <c r="Q5" s="97" t="s">
        <v>3097</v>
      </c>
      <c r="R5" s="97" t="s">
        <v>3098</v>
      </c>
      <c r="S5" s="97" t="s">
        <v>3099</v>
      </c>
    </row>
    <row r="6" spans="1:19" ht="14.25" customHeight="1">
      <c r="A6" s="93" t="s">
        <v>230</v>
      </c>
      <c r="B6" s="97" t="s">
        <v>3063</v>
      </c>
      <c r="C6" s="97">
        <v>30290</v>
      </c>
      <c r="D6" s="97">
        <v>29210</v>
      </c>
      <c r="E6" s="97">
        <v>28860</v>
      </c>
      <c r="F6" s="128">
        <v>12600</v>
      </c>
      <c r="G6" s="124"/>
      <c r="H6" s="121" t="s">
        <v>3100</v>
      </c>
      <c r="I6" s="97" t="s">
        <v>3101</v>
      </c>
      <c r="J6" s="97" t="s">
        <v>3102</v>
      </c>
      <c r="K6" s="97" t="s">
        <v>3103</v>
      </c>
      <c r="L6" s="97" t="s">
        <v>3104</v>
      </c>
      <c r="M6" s="97" t="s">
        <v>3105</v>
      </c>
      <c r="N6" s="97" t="s">
        <v>3106</v>
      </c>
      <c r="O6" s="97" t="s">
        <v>3107</v>
      </c>
      <c r="P6" s="97" t="s">
        <v>3108</v>
      </c>
      <c r="Q6" s="97" t="s">
        <v>3109</v>
      </c>
      <c r="R6" s="97" t="s">
        <v>3110</v>
      </c>
      <c r="S6" s="97" t="s">
        <v>3111</v>
      </c>
    </row>
    <row r="7" spans="1:19" ht="14.25" customHeight="1">
      <c r="A7" s="93" t="s">
        <v>230</v>
      </c>
      <c r="B7" s="100" t="s">
        <v>3077</v>
      </c>
      <c r="C7" s="97">
        <v>29350</v>
      </c>
      <c r="D7" s="97">
        <v>28410</v>
      </c>
      <c r="E7" s="97">
        <v>27990</v>
      </c>
      <c r="F7" s="128">
        <v>12300</v>
      </c>
      <c r="G7" s="124"/>
      <c r="I7" s="97" t="s">
        <v>3112</v>
      </c>
      <c r="J7" s="97" t="s">
        <v>3113</v>
      </c>
      <c r="K7" s="97" t="s">
        <v>3114</v>
      </c>
      <c r="L7" s="97" t="s">
        <v>3115</v>
      </c>
      <c r="M7" s="97" t="s">
        <v>3116</v>
      </c>
      <c r="N7" s="97" t="s">
        <v>3117</v>
      </c>
      <c r="O7" s="97" t="s">
        <v>3118</v>
      </c>
      <c r="P7" s="97" t="s">
        <v>3119</v>
      </c>
      <c r="Q7" s="97" t="s">
        <v>3120</v>
      </c>
      <c r="R7" s="97" t="s">
        <v>3121</v>
      </c>
      <c r="S7" s="100" t="s">
        <v>3122</v>
      </c>
    </row>
    <row r="8" spans="1:19" ht="14.25" customHeight="1">
      <c r="A8" s="93" t="s">
        <v>230</v>
      </c>
      <c r="B8" s="97" t="s">
        <v>3088</v>
      </c>
      <c r="C8" s="97">
        <v>30890</v>
      </c>
      <c r="D8" s="97">
        <v>29780</v>
      </c>
      <c r="E8" s="97">
        <v>29270</v>
      </c>
      <c r="F8" s="128">
        <v>11600</v>
      </c>
      <c r="G8" s="124"/>
      <c r="I8" s="97" t="s">
        <v>3123</v>
      </c>
      <c r="J8" s="97" t="s">
        <v>3124</v>
      </c>
      <c r="K8" s="97" t="s">
        <v>3125</v>
      </c>
      <c r="L8" s="97" t="s">
        <v>3126</v>
      </c>
      <c r="M8" s="97" t="s">
        <v>3127</v>
      </c>
      <c r="N8" s="97" t="s">
        <v>3128</v>
      </c>
      <c r="O8" s="97" t="s">
        <v>3129</v>
      </c>
      <c r="P8" s="97" t="s">
        <v>3130</v>
      </c>
      <c r="Q8" s="97" t="s">
        <v>3131</v>
      </c>
      <c r="R8" s="97" t="s">
        <v>3132</v>
      </c>
      <c r="S8" s="97" t="s">
        <v>3133</v>
      </c>
    </row>
    <row r="9" spans="1:19" ht="14.25" customHeight="1">
      <c r="A9" s="93" t="s">
        <v>230</v>
      </c>
      <c r="B9" s="102" t="s">
        <v>3100</v>
      </c>
      <c r="C9" s="108">
        <v>28140</v>
      </c>
      <c r="D9" s="108"/>
      <c r="E9" s="108"/>
      <c r="F9" s="129"/>
      <c r="G9" s="124"/>
      <c r="I9" s="97" t="s">
        <v>3134</v>
      </c>
      <c r="J9" s="97" t="s">
        <v>3135</v>
      </c>
      <c r="K9" s="97" t="s">
        <v>3136</v>
      </c>
      <c r="L9" s="97" t="s">
        <v>3137</v>
      </c>
      <c r="M9" s="97" t="s">
        <v>3138</v>
      </c>
      <c r="N9" s="97" t="s">
        <v>3139</v>
      </c>
      <c r="O9" s="97" t="s">
        <v>3140</v>
      </c>
      <c r="P9" s="97" t="s">
        <v>3141</v>
      </c>
      <c r="Q9" s="97" t="s">
        <v>3142</v>
      </c>
      <c r="R9" s="97" t="s">
        <v>3143</v>
      </c>
    </row>
    <row r="10" spans="1:19" ht="14.25" customHeight="1">
      <c r="A10" s="93" t="s">
        <v>241</v>
      </c>
      <c r="B10" s="94" t="s">
        <v>3051</v>
      </c>
      <c r="C10" s="94">
        <v>27450</v>
      </c>
      <c r="D10" s="94">
        <v>26180</v>
      </c>
      <c r="E10" s="94">
        <v>25980</v>
      </c>
      <c r="F10" s="127">
        <v>8910</v>
      </c>
      <c r="G10" s="124"/>
      <c r="I10" s="97" t="s">
        <v>3144</v>
      </c>
      <c r="J10" s="97" t="s">
        <v>3145</v>
      </c>
      <c r="K10" s="97" t="s">
        <v>3146</v>
      </c>
      <c r="L10" s="97" t="s">
        <v>3147</v>
      </c>
      <c r="M10" s="97" t="s">
        <v>3148</v>
      </c>
      <c r="N10" s="97" t="s">
        <v>3149</v>
      </c>
      <c r="O10" s="97" t="s">
        <v>3150</v>
      </c>
      <c r="P10" s="97" t="s">
        <v>3151</v>
      </c>
      <c r="Q10" s="97" t="s">
        <v>3152</v>
      </c>
      <c r="R10" s="97" t="s">
        <v>3153</v>
      </c>
    </row>
    <row r="11" spans="1:19" ht="14.25" customHeight="1">
      <c r="A11" s="93" t="s">
        <v>241</v>
      </c>
      <c r="B11" s="100" t="s">
        <v>3064</v>
      </c>
      <c r="C11" s="97">
        <v>22950</v>
      </c>
      <c r="D11" s="97">
        <v>22630</v>
      </c>
      <c r="E11" s="97">
        <v>22030</v>
      </c>
      <c r="F11" s="130">
        <v>8330</v>
      </c>
      <c r="G11" s="124"/>
      <c r="I11" s="97" t="s">
        <v>3154</v>
      </c>
      <c r="J11" s="97" t="s">
        <v>3155</v>
      </c>
      <c r="K11" s="97" t="s">
        <v>3156</v>
      </c>
      <c r="L11" s="97" t="s">
        <v>3157</v>
      </c>
      <c r="M11" s="97" t="s">
        <v>3158</v>
      </c>
      <c r="N11" s="97" t="s">
        <v>3159</v>
      </c>
      <c r="O11" s="97" t="s">
        <v>3160</v>
      </c>
      <c r="P11" s="97" t="s">
        <v>3161</v>
      </c>
      <c r="Q11" s="97" t="s">
        <v>3162</v>
      </c>
      <c r="R11" s="97" t="s">
        <v>3163</v>
      </c>
    </row>
    <row r="12" spans="1:19" ht="14.25" customHeight="1">
      <c r="A12" s="93" t="s">
        <v>241</v>
      </c>
      <c r="B12" s="100" t="s">
        <v>3078</v>
      </c>
      <c r="C12" s="97">
        <v>24940</v>
      </c>
      <c r="D12" s="97">
        <v>23180</v>
      </c>
      <c r="E12" s="97">
        <v>22910</v>
      </c>
      <c r="F12" s="130">
        <v>7180</v>
      </c>
      <c r="G12" s="124"/>
      <c r="I12" s="97" t="s">
        <v>3164</v>
      </c>
      <c r="J12" s="97" t="s">
        <v>3165</v>
      </c>
      <c r="K12" s="97" t="s">
        <v>3166</v>
      </c>
      <c r="L12" s="97" t="s">
        <v>3167</v>
      </c>
      <c r="M12" s="97" t="s">
        <v>3168</v>
      </c>
      <c r="N12" s="97" t="s">
        <v>3169</v>
      </c>
      <c r="O12" s="97" t="s">
        <v>3170</v>
      </c>
      <c r="P12" s="97" t="s">
        <v>3171</v>
      </c>
      <c r="Q12" s="97" t="s">
        <v>3172</v>
      </c>
      <c r="R12" s="97" t="s">
        <v>3173</v>
      </c>
    </row>
    <row r="13" spans="1:19" ht="14.25" customHeight="1">
      <c r="A13" s="93" t="s">
        <v>241</v>
      </c>
      <c r="B13" s="100" t="s">
        <v>3089</v>
      </c>
      <c r="C13" s="97">
        <v>24140</v>
      </c>
      <c r="D13" s="97">
        <v>22270</v>
      </c>
      <c r="E13" s="97">
        <v>21950</v>
      </c>
      <c r="F13" s="130">
        <v>7600</v>
      </c>
      <c r="G13" s="124"/>
      <c r="I13" s="97" t="s">
        <v>3174</v>
      </c>
      <c r="J13" s="97" t="s">
        <v>3175</v>
      </c>
      <c r="K13" s="97" t="s">
        <v>3176</v>
      </c>
      <c r="L13" s="97" t="s">
        <v>3177</v>
      </c>
      <c r="M13" s="97" t="s">
        <v>3178</v>
      </c>
      <c r="N13" s="97" t="s">
        <v>3179</v>
      </c>
      <c r="O13" s="97" t="s">
        <v>3180</v>
      </c>
      <c r="P13" s="97" t="s">
        <v>3181</v>
      </c>
      <c r="Q13" s="97" t="s">
        <v>3182</v>
      </c>
      <c r="R13" s="97" t="s">
        <v>3183</v>
      </c>
    </row>
    <row r="14" spans="1:19" ht="14.25" customHeight="1">
      <c r="A14" s="93" t="s">
        <v>241</v>
      </c>
      <c r="B14" s="100" t="s">
        <v>3101</v>
      </c>
      <c r="C14" s="97">
        <v>25600</v>
      </c>
      <c r="D14" s="97">
        <v>22260</v>
      </c>
      <c r="E14" s="97">
        <v>22110</v>
      </c>
      <c r="F14" s="130">
        <v>7630</v>
      </c>
      <c r="G14" s="124"/>
      <c r="I14" s="97" t="s">
        <v>3184</v>
      </c>
      <c r="J14" s="97" t="s">
        <v>3185</v>
      </c>
      <c r="K14" s="97" t="s">
        <v>3186</v>
      </c>
      <c r="L14" s="97" t="s">
        <v>3187</v>
      </c>
      <c r="M14" s="97" t="s">
        <v>3188</v>
      </c>
      <c r="N14" s="97" t="s">
        <v>3189</v>
      </c>
      <c r="O14" s="97" t="s">
        <v>3190</v>
      </c>
      <c r="P14" s="97" t="s">
        <v>3191</v>
      </c>
      <c r="Q14" s="97" t="s">
        <v>3192</v>
      </c>
      <c r="R14" s="97" t="s">
        <v>3193</v>
      </c>
    </row>
    <row r="15" spans="1:19" ht="14.25" customHeight="1">
      <c r="A15" s="93" t="s">
        <v>241</v>
      </c>
      <c r="B15" s="100" t="s">
        <v>3112</v>
      </c>
      <c r="C15" s="97">
        <v>24760</v>
      </c>
      <c r="D15" s="97">
        <v>24440</v>
      </c>
      <c r="E15" s="97">
        <v>24130</v>
      </c>
      <c r="F15" s="130">
        <v>9480</v>
      </c>
      <c r="G15" s="124"/>
      <c r="I15" s="97" t="s">
        <v>3194</v>
      </c>
      <c r="J15" s="97" t="s">
        <v>3195</v>
      </c>
      <c r="K15" s="97" t="s">
        <v>3196</v>
      </c>
      <c r="L15" s="97" t="s">
        <v>3197</v>
      </c>
      <c r="M15" s="97" t="s">
        <v>3198</v>
      </c>
      <c r="N15" s="97" t="s">
        <v>3199</v>
      </c>
      <c r="O15" s="97" t="s">
        <v>3200</v>
      </c>
      <c r="P15" s="97" t="s">
        <v>3201</v>
      </c>
      <c r="Q15" s="97" t="s">
        <v>3202</v>
      </c>
      <c r="R15" s="97" t="s">
        <v>3203</v>
      </c>
    </row>
    <row r="16" spans="1:19" ht="14.25" customHeight="1">
      <c r="A16" s="93" t="s">
        <v>241</v>
      </c>
      <c r="B16" s="100" t="s">
        <v>3123</v>
      </c>
      <c r="C16" s="97">
        <v>22220</v>
      </c>
      <c r="D16" s="97">
        <v>22310</v>
      </c>
      <c r="E16" s="97">
        <v>22000</v>
      </c>
      <c r="F16" s="130">
        <v>8900</v>
      </c>
      <c r="G16" s="124"/>
      <c r="I16" s="97" t="s">
        <v>3204</v>
      </c>
      <c r="J16" s="97" t="s">
        <v>3205</v>
      </c>
      <c r="K16" s="97" t="s">
        <v>3206</v>
      </c>
      <c r="L16" s="97" t="s">
        <v>3207</v>
      </c>
      <c r="M16" s="97" t="s">
        <v>3208</v>
      </c>
      <c r="N16" s="97" t="s">
        <v>3209</v>
      </c>
      <c r="O16" s="97" t="s">
        <v>3210</v>
      </c>
      <c r="P16" s="97" t="s">
        <v>3211</v>
      </c>
      <c r="Q16" s="97" t="s">
        <v>3212</v>
      </c>
      <c r="R16" s="97" t="s">
        <v>3213</v>
      </c>
    </row>
    <row r="17" spans="1:18" ht="14.25" customHeight="1">
      <c r="A17" s="93" t="s">
        <v>241</v>
      </c>
      <c r="B17" s="100" t="s">
        <v>3134</v>
      </c>
      <c r="C17" s="97">
        <v>24700</v>
      </c>
      <c r="D17" s="97">
        <v>25150</v>
      </c>
      <c r="E17" s="97">
        <v>24700</v>
      </c>
      <c r="F17" s="131"/>
      <c r="G17" s="124"/>
      <c r="I17" s="97" t="s">
        <v>3214</v>
      </c>
      <c r="J17" s="97" t="s">
        <v>3215</v>
      </c>
      <c r="K17" s="97" t="s">
        <v>3216</v>
      </c>
      <c r="L17" s="97" t="s">
        <v>3217</v>
      </c>
      <c r="M17" s="97" t="s">
        <v>3218</v>
      </c>
      <c r="N17" s="97" t="s">
        <v>3219</v>
      </c>
      <c r="O17" s="97" t="s">
        <v>3220</v>
      </c>
      <c r="P17" s="97" t="s">
        <v>3221</v>
      </c>
      <c r="Q17" s="97" t="s">
        <v>3222</v>
      </c>
      <c r="R17" s="97" t="s">
        <v>3223</v>
      </c>
    </row>
    <row r="18" spans="1:18" ht="14.25" customHeight="1">
      <c r="A18" s="93" t="s">
        <v>241</v>
      </c>
      <c r="B18" s="100" t="s">
        <v>3144</v>
      </c>
      <c r="C18" s="97">
        <v>22350</v>
      </c>
      <c r="D18" s="97">
        <v>24340</v>
      </c>
      <c r="E18" s="97">
        <v>24100</v>
      </c>
      <c r="F18" s="131"/>
      <c r="G18" s="124"/>
      <c r="I18" s="97" t="s">
        <v>3224</v>
      </c>
      <c r="J18" s="97" t="s">
        <v>3225</v>
      </c>
      <c r="K18" s="97" t="s">
        <v>3226</v>
      </c>
      <c r="L18" s="97" t="s">
        <v>3227</v>
      </c>
      <c r="M18" s="97" t="s">
        <v>3228</v>
      </c>
      <c r="N18" s="97" t="s">
        <v>3229</v>
      </c>
      <c r="O18" s="97" t="s">
        <v>3230</v>
      </c>
      <c r="P18" s="97" t="s">
        <v>3231</v>
      </c>
      <c r="Q18" s="97" t="s">
        <v>3232</v>
      </c>
      <c r="R18" s="97" t="s">
        <v>3233</v>
      </c>
    </row>
    <row r="19" spans="1:18" ht="14.25" customHeight="1">
      <c r="A19" s="93" t="s">
        <v>241</v>
      </c>
      <c r="B19" s="100" t="s">
        <v>3154</v>
      </c>
      <c r="C19" s="97">
        <v>23430</v>
      </c>
      <c r="D19" s="97">
        <v>21580</v>
      </c>
      <c r="E19" s="97">
        <v>21350</v>
      </c>
      <c r="F19" s="131"/>
      <c r="G19" s="124"/>
      <c r="I19" s="97" t="s">
        <v>3234</v>
      </c>
      <c r="J19" s="97" t="s">
        <v>3235</v>
      </c>
      <c r="K19" s="97" t="s">
        <v>3236</v>
      </c>
      <c r="L19" s="97" t="s">
        <v>3237</v>
      </c>
      <c r="M19" s="97" t="s">
        <v>3238</v>
      </c>
      <c r="N19" s="97" t="s">
        <v>3239</v>
      </c>
      <c r="O19" s="97" t="s">
        <v>3240</v>
      </c>
      <c r="P19" s="97" t="s">
        <v>3241</v>
      </c>
      <c r="Q19" s="97" t="s">
        <v>3242</v>
      </c>
      <c r="R19" s="97" t="s">
        <v>3243</v>
      </c>
    </row>
    <row r="20" spans="1:18" ht="14.25" customHeight="1">
      <c r="A20" s="93" t="s">
        <v>241</v>
      </c>
      <c r="B20" s="100" t="s">
        <v>3164</v>
      </c>
      <c r="C20" s="97">
        <v>27660</v>
      </c>
      <c r="D20" s="97">
        <v>24240</v>
      </c>
      <c r="E20" s="97">
        <v>24020</v>
      </c>
      <c r="F20" s="131"/>
      <c r="I20" s="97" t="s">
        <v>3244</v>
      </c>
      <c r="J20" s="97" t="s">
        <v>3245</v>
      </c>
      <c r="K20" s="97" t="s">
        <v>3246</v>
      </c>
      <c r="L20" s="97" t="s">
        <v>3247</v>
      </c>
      <c r="M20" s="97" t="s">
        <v>3248</v>
      </c>
      <c r="N20" s="97" t="s">
        <v>3249</v>
      </c>
      <c r="O20" s="97" t="s">
        <v>3250</v>
      </c>
      <c r="P20" s="97" t="s">
        <v>3251</v>
      </c>
      <c r="Q20" s="97" t="s">
        <v>3252</v>
      </c>
      <c r="R20" s="97" t="s">
        <v>3253</v>
      </c>
    </row>
    <row r="21" spans="1:18" ht="14.25" customHeight="1">
      <c r="A21" s="93" t="s">
        <v>241</v>
      </c>
      <c r="B21" s="100" t="s">
        <v>3174</v>
      </c>
      <c r="C21" s="97">
        <v>24720</v>
      </c>
      <c r="D21" s="97">
        <v>21670</v>
      </c>
      <c r="E21" s="97">
        <v>21510</v>
      </c>
      <c r="F21" s="131"/>
      <c r="J21" s="97" t="s">
        <v>3254</v>
      </c>
      <c r="K21" s="97" t="s">
        <v>3255</v>
      </c>
      <c r="L21" s="97" t="s">
        <v>3256</v>
      </c>
      <c r="M21" s="97" t="s">
        <v>3257</v>
      </c>
      <c r="N21" s="97" t="s">
        <v>3258</v>
      </c>
      <c r="O21" s="97" t="s">
        <v>3259</v>
      </c>
      <c r="P21" s="97" t="s">
        <v>3260</v>
      </c>
      <c r="Q21" s="97" t="s">
        <v>3261</v>
      </c>
      <c r="R21" s="97" t="s">
        <v>3262</v>
      </c>
    </row>
    <row r="22" spans="1:18" ht="14.25" customHeight="1">
      <c r="A22" s="93" t="s">
        <v>241</v>
      </c>
      <c r="B22" s="100" t="s">
        <v>3184</v>
      </c>
      <c r="C22" s="97">
        <v>26530</v>
      </c>
      <c r="D22" s="97">
        <v>22980</v>
      </c>
      <c r="E22" s="97">
        <v>22650</v>
      </c>
      <c r="F22" s="131"/>
      <c r="K22" s="97" t="s">
        <v>3263</v>
      </c>
      <c r="L22" s="97" t="s">
        <v>3264</v>
      </c>
      <c r="M22" s="97" t="s">
        <v>3265</v>
      </c>
      <c r="N22" s="97" t="s">
        <v>3266</v>
      </c>
      <c r="O22" s="97" t="s">
        <v>3267</v>
      </c>
      <c r="P22" s="97" t="s">
        <v>3268</v>
      </c>
      <c r="Q22" s="97" t="s">
        <v>3269</v>
      </c>
      <c r="R22" s="100" t="s">
        <v>3270</v>
      </c>
    </row>
    <row r="23" spans="1:18" ht="14.25" customHeight="1">
      <c r="A23" s="93" t="s">
        <v>241</v>
      </c>
      <c r="B23" s="100" t="s">
        <v>3194</v>
      </c>
      <c r="C23" s="97">
        <v>24700</v>
      </c>
      <c r="D23" s="97">
        <v>27290</v>
      </c>
      <c r="E23" s="97">
        <v>26710</v>
      </c>
      <c r="F23" s="131"/>
      <c r="K23" s="97" t="s">
        <v>3271</v>
      </c>
      <c r="L23" s="97" t="s">
        <v>3272</v>
      </c>
      <c r="M23" s="97" t="s">
        <v>3273</v>
      </c>
      <c r="N23" s="97" t="s">
        <v>3274</v>
      </c>
      <c r="O23" s="97" t="s">
        <v>3275</v>
      </c>
      <c r="P23" s="97" t="s">
        <v>3276</v>
      </c>
      <c r="Q23" s="97" t="s">
        <v>3277</v>
      </c>
    </row>
    <row r="24" spans="1:18" ht="14.25" customHeight="1">
      <c r="A24" s="93" t="s">
        <v>241</v>
      </c>
      <c r="B24" s="100" t="s">
        <v>3204</v>
      </c>
      <c r="C24" s="97">
        <v>23070</v>
      </c>
      <c r="D24" s="97">
        <v>24130</v>
      </c>
      <c r="E24" s="97">
        <v>23860</v>
      </c>
      <c r="F24" s="131"/>
      <c r="K24" s="97" t="s">
        <v>3278</v>
      </c>
      <c r="L24" s="97" t="s">
        <v>3279</v>
      </c>
      <c r="M24" s="97" t="s">
        <v>3280</v>
      </c>
      <c r="N24" s="97" t="s">
        <v>3281</v>
      </c>
      <c r="O24" s="97" t="s">
        <v>3282</v>
      </c>
      <c r="P24" s="97" t="s">
        <v>3283</v>
      </c>
      <c r="Q24" s="97" t="s">
        <v>3284</v>
      </c>
    </row>
    <row r="25" spans="1:18" ht="14.25" customHeight="1">
      <c r="A25" s="93" t="s">
        <v>241</v>
      </c>
      <c r="B25" s="100" t="s">
        <v>3214</v>
      </c>
      <c r="C25" s="97">
        <v>27550</v>
      </c>
      <c r="D25" s="97">
        <v>25850</v>
      </c>
      <c r="E25" s="97">
        <v>25340</v>
      </c>
      <c r="F25" s="131"/>
      <c r="K25" s="97" t="s">
        <v>3285</v>
      </c>
      <c r="L25" s="97" t="s">
        <v>3286</v>
      </c>
      <c r="M25" s="97" t="s">
        <v>3287</v>
      </c>
      <c r="N25" s="97" t="s">
        <v>3288</v>
      </c>
      <c r="O25" s="97" t="s">
        <v>3289</v>
      </c>
      <c r="P25" s="97" t="s">
        <v>3290</v>
      </c>
      <c r="Q25" s="97" t="s">
        <v>3291</v>
      </c>
    </row>
    <row r="26" spans="1:18" ht="14.25" customHeight="1">
      <c r="A26" s="93" t="s">
        <v>241</v>
      </c>
      <c r="B26" s="100" t="s">
        <v>3224</v>
      </c>
      <c r="C26" s="97"/>
      <c r="D26" s="97">
        <v>23900</v>
      </c>
      <c r="E26" s="97">
        <v>23590</v>
      </c>
      <c r="F26" s="131"/>
      <c r="K26" s="97" t="s">
        <v>3292</v>
      </c>
      <c r="L26" s="97" t="s">
        <v>3293</v>
      </c>
      <c r="M26" s="97" t="s">
        <v>3294</v>
      </c>
      <c r="N26" s="97" t="s">
        <v>3295</v>
      </c>
      <c r="O26" s="97" t="s">
        <v>3296</v>
      </c>
      <c r="P26" s="97" t="s">
        <v>3297</v>
      </c>
      <c r="Q26" s="97" t="s">
        <v>3298</v>
      </c>
    </row>
    <row r="27" spans="1:18" ht="14.25" customHeight="1">
      <c r="A27" s="93" t="s">
        <v>241</v>
      </c>
      <c r="B27" s="100" t="s">
        <v>3234</v>
      </c>
      <c r="C27" s="97"/>
      <c r="D27" s="97">
        <v>22850</v>
      </c>
      <c r="E27" s="97">
        <v>21920</v>
      </c>
      <c r="F27" s="131"/>
      <c r="K27" s="97" t="s">
        <v>3299</v>
      </c>
      <c r="L27" s="97" t="s">
        <v>3300</v>
      </c>
      <c r="M27" s="97" t="s">
        <v>3301</v>
      </c>
      <c r="N27" s="97" t="s">
        <v>3302</v>
      </c>
      <c r="O27" s="97" t="s">
        <v>3303</v>
      </c>
      <c r="P27" s="97" t="s">
        <v>3304</v>
      </c>
      <c r="Q27" s="97" t="s">
        <v>3305</v>
      </c>
    </row>
    <row r="28" spans="1:18" ht="14.25" customHeight="1">
      <c r="A28" s="101" t="s">
        <v>241</v>
      </c>
      <c r="B28" s="102" t="s">
        <v>3244</v>
      </c>
      <c r="C28" s="108"/>
      <c r="D28" s="108">
        <v>26610</v>
      </c>
      <c r="E28" s="108">
        <v>26370</v>
      </c>
      <c r="F28" s="129"/>
      <c r="K28" s="97" t="s">
        <v>3306</v>
      </c>
      <c r="L28" s="97" t="s">
        <v>3307</v>
      </c>
      <c r="M28" s="97" t="s">
        <v>3308</v>
      </c>
      <c r="N28" s="97" t="s">
        <v>3309</v>
      </c>
      <c r="O28" s="97" t="s">
        <v>3310</v>
      </c>
      <c r="P28" s="97" t="s">
        <v>3311</v>
      </c>
    </row>
    <row r="29" spans="1:18" ht="14.25" customHeight="1">
      <c r="A29" s="93" t="s">
        <v>251</v>
      </c>
      <c r="B29" s="94" t="s">
        <v>3052</v>
      </c>
      <c r="C29" s="94">
        <v>22090</v>
      </c>
      <c r="D29" s="94">
        <v>21860</v>
      </c>
      <c r="E29" s="94">
        <v>19380</v>
      </c>
      <c r="F29" s="127">
        <v>6610</v>
      </c>
      <c r="L29" s="97" t="s">
        <v>3312</v>
      </c>
      <c r="M29" s="97" t="s">
        <v>3313</v>
      </c>
      <c r="N29" s="97" t="s">
        <v>3314</v>
      </c>
      <c r="O29" s="97" t="s">
        <v>3315</v>
      </c>
      <c r="P29" s="97" t="s">
        <v>3316</v>
      </c>
    </row>
    <row r="30" spans="1:18" ht="14.25" customHeight="1">
      <c r="A30" s="93" t="s">
        <v>251</v>
      </c>
      <c r="B30" s="100" t="s">
        <v>3065</v>
      </c>
      <c r="C30" s="97">
        <v>21380</v>
      </c>
      <c r="D30" s="97">
        <v>19930</v>
      </c>
      <c r="E30" s="97">
        <v>19860</v>
      </c>
      <c r="F30" s="130">
        <v>6010</v>
      </c>
      <c r="L30" s="97" t="s">
        <v>3317</v>
      </c>
      <c r="M30" s="97" t="s">
        <v>3318</v>
      </c>
      <c r="N30" s="97" t="s">
        <v>3319</v>
      </c>
      <c r="O30" s="97" t="s">
        <v>3320</v>
      </c>
      <c r="P30" s="97" t="s">
        <v>3321</v>
      </c>
    </row>
    <row r="31" spans="1:18" ht="14.25" customHeight="1">
      <c r="A31" s="93" t="s">
        <v>251</v>
      </c>
      <c r="B31" s="100" t="s">
        <v>402</v>
      </c>
      <c r="C31" s="97">
        <v>21670</v>
      </c>
      <c r="D31" s="97">
        <v>20660</v>
      </c>
      <c r="E31" s="97">
        <v>20290</v>
      </c>
      <c r="F31" s="130">
        <v>5840</v>
      </c>
      <c r="L31" s="97" t="s">
        <v>3322</v>
      </c>
      <c r="M31" s="97" t="s">
        <v>3323</v>
      </c>
      <c r="N31" s="97" t="s">
        <v>3324</v>
      </c>
      <c r="O31" s="97" t="s">
        <v>3325</v>
      </c>
      <c r="P31" s="97" t="s">
        <v>3326</v>
      </c>
    </row>
    <row r="32" spans="1:18" ht="14.25" customHeight="1">
      <c r="A32" s="93" t="s">
        <v>251</v>
      </c>
      <c r="B32" s="100" t="s">
        <v>3090</v>
      </c>
      <c r="C32" s="97">
        <v>22280</v>
      </c>
      <c r="D32" s="97">
        <v>21800</v>
      </c>
      <c r="E32" s="97">
        <v>17650</v>
      </c>
      <c r="F32" s="130">
        <v>4690</v>
      </c>
      <c r="L32" s="97" t="s">
        <v>3327</v>
      </c>
      <c r="M32" s="97" t="s">
        <v>3328</v>
      </c>
      <c r="N32" s="97" t="s">
        <v>3329</v>
      </c>
      <c r="O32" s="97" t="s">
        <v>3330</v>
      </c>
      <c r="P32" s="97" t="s">
        <v>3331</v>
      </c>
    </row>
    <row r="33" spans="1:16" ht="14.25" customHeight="1">
      <c r="A33" s="93" t="s">
        <v>251</v>
      </c>
      <c r="B33" s="100" t="s">
        <v>3102</v>
      </c>
      <c r="C33" s="97">
        <v>22130</v>
      </c>
      <c r="D33" s="97">
        <v>20460</v>
      </c>
      <c r="E33" s="97">
        <v>18500</v>
      </c>
      <c r="F33" s="130">
        <v>5340</v>
      </c>
      <c r="L33" s="97" t="s">
        <v>3332</v>
      </c>
      <c r="M33" s="97" t="s">
        <v>3333</v>
      </c>
      <c r="N33" s="97" t="s">
        <v>3334</v>
      </c>
      <c r="O33" s="97" t="s">
        <v>3335</v>
      </c>
      <c r="P33" s="97" t="s">
        <v>3336</v>
      </c>
    </row>
    <row r="34" spans="1:16" ht="14.25" customHeight="1">
      <c r="A34" s="93" t="s">
        <v>251</v>
      </c>
      <c r="B34" s="100" t="s">
        <v>3113</v>
      </c>
      <c r="C34" s="97">
        <v>22070</v>
      </c>
      <c r="D34" s="97">
        <v>20110</v>
      </c>
      <c r="E34" s="97">
        <v>18830</v>
      </c>
      <c r="F34" s="130">
        <v>5190</v>
      </c>
      <c r="L34" s="97" t="s">
        <v>3337</v>
      </c>
      <c r="M34" s="97" t="s">
        <v>3338</v>
      </c>
      <c r="N34" s="97" t="s">
        <v>3339</v>
      </c>
      <c r="O34" s="97" t="s">
        <v>3340</v>
      </c>
      <c r="P34" s="97" t="s">
        <v>3341</v>
      </c>
    </row>
    <row r="35" spans="1:16" ht="14.25" customHeight="1">
      <c r="A35" s="93" t="s">
        <v>251</v>
      </c>
      <c r="B35" s="100" t="s">
        <v>3124</v>
      </c>
      <c r="C35" s="97">
        <v>22240</v>
      </c>
      <c r="D35" s="97">
        <v>19550</v>
      </c>
      <c r="E35" s="97">
        <v>19220</v>
      </c>
      <c r="F35" s="130">
        <v>5800</v>
      </c>
      <c r="L35" s="97" t="s">
        <v>3342</v>
      </c>
      <c r="M35" s="97" t="s">
        <v>3343</v>
      </c>
      <c r="N35" s="97" t="s">
        <v>3344</v>
      </c>
      <c r="O35" s="97" t="s">
        <v>3345</v>
      </c>
      <c r="P35" s="97" t="s">
        <v>3346</v>
      </c>
    </row>
    <row r="36" spans="1:16" ht="14.25" customHeight="1">
      <c r="A36" s="93" t="s">
        <v>251</v>
      </c>
      <c r="B36" s="100" t="s">
        <v>3135</v>
      </c>
      <c r="C36" s="97">
        <v>19750</v>
      </c>
      <c r="D36" s="97">
        <v>19790</v>
      </c>
      <c r="E36" s="97">
        <v>18510</v>
      </c>
      <c r="F36" s="130">
        <v>6520</v>
      </c>
      <c r="M36" s="97" t="s">
        <v>3347</v>
      </c>
      <c r="N36" s="97" t="s">
        <v>3348</v>
      </c>
      <c r="O36" s="97" t="s">
        <v>3349</v>
      </c>
      <c r="P36" s="97" t="s">
        <v>3350</v>
      </c>
    </row>
    <row r="37" spans="1:16" ht="14.25" customHeight="1">
      <c r="A37" s="93" t="s">
        <v>251</v>
      </c>
      <c r="B37" s="100" t="s">
        <v>3145</v>
      </c>
      <c r="C37" s="97">
        <v>22380</v>
      </c>
      <c r="D37" s="97">
        <v>18530</v>
      </c>
      <c r="E37" s="97">
        <v>17930</v>
      </c>
      <c r="F37" s="130">
        <v>6270</v>
      </c>
      <c r="M37" s="97" t="s">
        <v>3351</v>
      </c>
      <c r="N37" s="97" t="s">
        <v>3352</v>
      </c>
      <c r="O37" s="97" t="s">
        <v>3353</v>
      </c>
      <c r="P37" s="97" t="s">
        <v>3354</v>
      </c>
    </row>
    <row r="38" spans="1:16" ht="14.25" customHeight="1">
      <c r="A38" s="93" t="s">
        <v>251</v>
      </c>
      <c r="B38" s="100" t="s">
        <v>3155</v>
      </c>
      <c r="C38" s="97">
        <v>20200</v>
      </c>
      <c r="D38" s="97">
        <v>20070</v>
      </c>
      <c r="E38" s="97">
        <v>19950</v>
      </c>
      <c r="F38" s="130"/>
      <c r="M38" s="97" t="s">
        <v>3355</v>
      </c>
      <c r="N38" s="97" t="s">
        <v>3356</v>
      </c>
      <c r="O38" s="97" t="s">
        <v>3357</v>
      </c>
      <c r="P38" s="97" t="s">
        <v>3358</v>
      </c>
    </row>
    <row r="39" spans="1:16" ht="14.25" customHeight="1">
      <c r="A39" s="93" t="s">
        <v>251</v>
      </c>
      <c r="B39" s="100" t="s">
        <v>3165</v>
      </c>
      <c r="C39" s="97">
        <v>19300</v>
      </c>
      <c r="D39" s="97">
        <v>20360</v>
      </c>
      <c r="E39" s="97">
        <v>20230</v>
      </c>
      <c r="F39" s="130"/>
      <c r="M39" s="97" t="s">
        <v>3359</v>
      </c>
      <c r="N39" s="97" t="s">
        <v>3360</v>
      </c>
      <c r="O39" s="97" t="s">
        <v>3361</v>
      </c>
      <c r="P39" s="97" t="s">
        <v>3362</v>
      </c>
    </row>
    <row r="40" spans="1:16" ht="14.25" customHeight="1">
      <c r="A40" s="93" t="s">
        <v>251</v>
      </c>
      <c r="B40" s="100" t="s">
        <v>3175</v>
      </c>
      <c r="C40" s="97">
        <v>20210</v>
      </c>
      <c r="D40" s="97">
        <v>19060</v>
      </c>
      <c r="E40" s="97">
        <v>18890</v>
      </c>
      <c r="F40" s="130"/>
      <c r="M40" s="97" t="s">
        <v>3363</v>
      </c>
      <c r="N40" s="97" t="s">
        <v>3364</v>
      </c>
      <c r="O40" s="97" t="s">
        <v>3365</v>
      </c>
      <c r="P40" s="97" t="s">
        <v>3366</v>
      </c>
    </row>
    <row r="41" spans="1:16" ht="14.25" customHeight="1">
      <c r="A41" s="93" t="s">
        <v>251</v>
      </c>
      <c r="B41" s="100" t="s">
        <v>3185</v>
      </c>
      <c r="C41" s="97">
        <v>20560</v>
      </c>
      <c r="D41" s="97">
        <v>21040</v>
      </c>
      <c r="E41" s="97">
        <v>20740</v>
      </c>
      <c r="F41" s="130"/>
      <c r="M41" s="100" t="s">
        <v>3367</v>
      </c>
      <c r="N41" s="100" t="s">
        <v>3368</v>
      </c>
      <c r="P41" s="100" t="s">
        <v>3369</v>
      </c>
    </row>
    <row r="42" spans="1:16" ht="14.25" customHeight="1">
      <c r="A42" s="93" t="s">
        <v>251</v>
      </c>
      <c r="B42" s="100" t="s">
        <v>3195</v>
      </c>
      <c r="C42" s="97">
        <v>19280</v>
      </c>
      <c r="D42" s="97">
        <v>22940</v>
      </c>
      <c r="E42" s="97">
        <v>22500</v>
      </c>
      <c r="F42" s="130"/>
      <c r="M42" s="97" t="s">
        <v>3370</v>
      </c>
      <c r="N42" s="97" t="s">
        <v>3371</v>
      </c>
      <c r="P42" s="97" t="s">
        <v>3372</v>
      </c>
    </row>
    <row r="43" spans="1:16" ht="14.25" customHeight="1">
      <c r="A43" s="93" t="s">
        <v>251</v>
      </c>
      <c r="B43" s="100" t="s">
        <v>3205</v>
      </c>
      <c r="C43" s="97">
        <v>21520</v>
      </c>
      <c r="D43" s="97">
        <v>19230</v>
      </c>
      <c r="E43" s="97">
        <v>18540</v>
      </c>
      <c r="F43" s="130"/>
      <c r="M43" s="97" t="s">
        <v>3373</v>
      </c>
      <c r="N43" s="97" t="s">
        <v>3374</v>
      </c>
      <c r="P43" s="97" t="s">
        <v>3375</v>
      </c>
    </row>
    <row r="44" spans="1:16" ht="14.25" customHeight="1">
      <c r="A44" s="93" t="s">
        <v>251</v>
      </c>
      <c r="B44" s="100" t="s">
        <v>3215</v>
      </c>
      <c r="C44" s="97">
        <v>23260</v>
      </c>
      <c r="D44" s="97">
        <v>21180</v>
      </c>
      <c r="E44" s="97">
        <v>20730</v>
      </c>
      <c r="F44" s="130"/>
      <c r="M44" s="97" t="s">
        <v>3376</v>
      </c>
      <c r="N44" s="97" t="s">
        <v>3377</v>
      </c>
      <c r="P44" s="97" t="s">
        <v>3378</v>
      </c>
    </row>
    <row r="45" spans="1:16" ht="14.25" customHeight="1">
      <c r="A45" s="93" t="s">
        <v>251</v>
      </c>
      <c r="B45" s="100" t="s">
        <v>3225</v>
      </c>
      <c r="C45" s="97">
        <v>19610</v>
      </c>
      <c r="D45" s="97">
        <v>18090</v>
      </c>
      <c r="E45" s="97">
        <v>17970</v>
      </c>
      <c r="F45" s="130"/>
      <c r="M45" s="97" t="s">
        <v>3379</v>
      </c>
      <c r="N45" s="97" t="s">
        <v>3380</v>
      </c>
      <c r="P45" s="97" t="s">
        <v>3381</v>
      </c>
    </row>
    <row r="46" spans="1:16" ht="14.25" customHeight="1">
      <c r="A46" s="93" t="s">
        <v>251</v>
      </c>
      <c r="B46" s="100" t="s">
        <v>3235</v>
      </c>
      <c r="C46" s="97">
        <v>21660</v>
      </c>
      <c r="D46" s="97">
        <v>19190</v>
      </c>
      <c r="E46" s="97">
        <v>19790</v>
      </c>
      <c r="F46" s="130"/>
      <c r="M46" s="97" t="s">
        <v>3382</v>
      </c>
      <c r="N46" s="97" t="s">
        <v>3383</v>
      </c>
      <c r="P46" s="97" t="s">
        <v>3384</v>
      </c>
    </row>
    <row r="47" spans="1:16" ht="14.25" customHeight="1">
      <c r="A47" s="93" t="s">
        <v>251</v>
      </c>
      <c r="B47" s="100" t="s">
        <v>3245</v>
      </c>
      <c r="C47" s="97">
        <v>18220</v>
      </c>
      <c r="D47" s="97"/>
      <c r="E47" s="97">
        <v>17220</v>
      </c>
      <c r="F47" s="130"/>
      <c r="M47" s="97" t="s">
        <v>3385</v>
      </c>
      <c r="N47" s="97" t="s">
        <v>3386</v>
      </c>
    </row>
    <row r="48" spans="1:16" ht="14.25" customHeight="1">
      <c r="A48" s="93" t="s">
        <v>251</v>
      </c>
      <c r="B48" s="102" t="s">
        <v>3254</v>
      </c>
      <c r="C48" s="108">
        <v>19430</v>
      </c>
      <c r="D48" s="108"/>
      <c r="E48" s="108">
        <v>17830</v>
      </c>
      <c r="F48" s="132"/>
      <c r="M48" s="97" t="s">
        <v>3387</v>
      </c>
      <c r="N48" s="97" t="s">
        <v>3388</v>
      </c>
    </row>
    <row r="49" spans="1:14" ht="14.25" customHeight="1">
      <c r="A49" s="93" t="s">
        <v>259</v>
      </c>
      <c r="B49" s="94" t="s">
        <v>3053</v>
      </c>
      <c r="C49" s="94">
        <v>17090</v>
      </c>
      <c r="D49" s="94">
        <v>16950</v>
      </c>
      <c r="E49" s="94">
        <v>16310</v>
      </c>
      <c r="F49" s="127">
        <v>4540</v>
      </c>
      <c r="M49" s="97" t="s">
        <v>3389</v>
      </c>
      <c r="N49" s="97" t="s">
        <v>3390</v>
      </c>
    </row>
    <row r="50" spans="1:14" ht="14.25" customHeight="1">
      <c r="A50" s="93" t="s">
        <v>259</v>
      </c>
      <c r="B50" s="97" t="s">
        <v>3066</v>
      </c>
      <c r="C50" s="97">
        <v>19040</v>
      </c>
      <c r="D50" s="97">
        <v>16960</v>
      </c>
      <c r="E50" s="97">
        <v>14800</v>
      </c>
      <c r="F50" s="130">
        <v>3940</v>
      </c>
    </row>
    <row r="51" spans="1:14" ht="14.25" customHeight="1">
      <c r="A51" s="93" t="s">
        <v>259</v>
      </c>
      <c r="B51" s="97" t="s">
        <v>3079</v>
      </c>
      <c r="C51" s="97">
        <v>17040</v>
      </c>
      <c r="D51" s="97">
        <v>16930</v>
      </c>
      <c r="E51" s="97">
        <v>15030</v>
      </c>
      <c r="F51" s="130">
        <v>4120</v>
      </c>
    </row>
    <row r="52" spans="1:14" ht="14.25" customHeight="1">
      <c r="A52" s="93" t="s">
        <v>259</v>
      </c>
      <c r="B52" s="97" t="s">
        <v>3091</v>
      </c>
      <c r="C52" s="97">
        <v>17110</v>
      </c>
      <c r="D52" s="97">
        <v>17750</v>
      </c>
      <c r="E52" s="97">
        <v>17310</v>
      </c>
      <c r="F52" s="130">
        <v>3220</v>
      </c>
    </row>
    <row r="53" spans="1:14" ht="14.25" customHeight="1">
      <c r="A53" s="93" t="s">
        <v>259</v>
      </c>
      <c r="B53" s="97" t="s">
        <v>3103</v>
      </c>
      <c r="C53" s="97">
        <v>17810</v>
      </c>
      <c r="D53" s="97">
        <v>17260</v>
      </c>
      <c r="E53" s="97">
        <v>17090</v>
      </c>
      <c r="F53" s="130">
        <v>3520</v>
      </c>
    </row>
    <row r="54" spans="1:14" ht="14.25" customHeight="1">
      <c r="A54" s="93" t="s">
        <v>259</v>
      </c>
      <c r="B54" s="97" t="s">
        <v>3114</v>
      </c>
      <c r="C54" s="97">
        <v>17410</v>
      </c>
      <c r="D54" s="97">
        <v>16780</v>
      </c>
      <c r="E54" s="97">
        <v>16370</v>
      </c>
      <c r="F54" s="130">
        <v>3410</v>
      </c>
    </row>
    <row r="55" spans="1:14" ht="14.25" customHeight="1">
      <c r="A55" s="93" t="s">
        <v>259</v>
      </c>
      <c r="B55" s="97" t="s">
        <v>3125</v>
      </c>
      <c r="C55" s="97">
        <v>16930</v>
      </c>
      <c r="D55" s="97">
        <v>14720</v>
      </c>
      <c r="E55" s="97">
        <v>15000</v>
      </c>
      <c r="F55" s="130">
        <v>3710</v>
      </c>
    </row>
    <row r="56" spans="1:14" ht="14.25" customHeight="1">
      <c r="A56" s="93" t="s">
        <v>259</v>
      </c>
      <c r="B56" s="97" t="s">
        <v>3136</v>
      </c>
      <c r="C56" s="97">
        <v>14930</v>
      </c>
      <c r="D56" s="97">
        <v>15850</v>
      </c>
      <c r="E56" s="97">
        <v>14320</v>
      </c>
      <c r="F56" s="130">
        <v>3960</v>
      </c>
    </row>
    <row r="57" spans="1:14" ht="14.25" customHeight="1">
      <c r="A57" s="93" t="s">
        <v>259</v>
      </c>
      <c r="B57" s="97" t="s">
        <v>3146</v>
      </c>
      <c r="C57" s="97">
        <v>16160</v>
      </c>
      <c r="D57" s="97">
        <v>16190</v>
      </c>
      <c r="E57" s="97">
        <v>15650</v>
      </c>
      <c r="F57" s="130">
        <v>4200</v>
      </c>
    </row>
    <row r="58" spans="1:14" ht="14.25" customHeight="1">
      <c r="A58" s="93" t="s">
        <v>259</v>
      </c>
      <c r="B58" s="97" t="s">
        <v>3156</v>
      </c>
      <c r="C58" s="97">
        <v>16360</v>
      </c>
      <c r="D58" s="97">
        <v>14050</v>
      </c>
      <c r="E58" s="97">
        <v>16070</v>
      </c>
      <c r="F58" s="130">
        <v>3990</v>
      </c>
    </row>
    <row r="59" spans="1:14" ht="14.25" customHeight="1">
      <c r="A59" s="93" t="s">
        <v>259</v>
      </c>
      <c r="B59" s="97" t="s">
        <v>3166</v>
      </c>
      <c r="C59" s="97">
        <v>14160</v>
      </c>
      <c r="D59" s="97">
        <v>16620</v>
      </c>
      <c r="E59" s="97">
        <v>13940</v>
      </c>
      <c r="F59" s="130">
        <v>4260</v>
      </c>
    </row>
    <row r="60" spans="1:14" ht="14.25" customHeight="1">
      <c r="A60" s="93" t="s">
        <v>259</v>
      </c>
      <c r="B60" s="97" t="s">
        <v>3176</v>
      </c>
      <c r="C60" s="97">
        <v>16750</v>
      </c>
      <c r="D60" s="97">
        <v>13910</v>
      </c>
      <c r="E60" s="97">
        <v>16550</v>
      </c>
      <c r="F60" s="130">
        <v>4550</v>
      </c>
    </row>
    <row r="61" spans="1:14" ht="14.25" customHeight="1">
      <c r="A61" s="93" t="s">
        <v>259</v>
      </c>
      <c r="B61" s="97" t="s">
        <v>3186</v>
      </c>
      <c r="C61" s="97">
        <v>14000</v>
      </c>
      <c r="D61" s="97">
        <v>14550</v>
      </c>
      <c r="E61" s="97">
        <v>13860</v>
      </c>
      <c r="F61" s="133"/>
    </row>
    <row r="62" spans="1:14" ht="14.25" customHeight="1">
      <c r="A62" s="93" t="s">
        <v>259</v>
      </c>
      <c r="B62" s="97" t="s">
        <v>3196</v>
      </c>
      <c r="C62" s="97">
        <v>14660</v>
      </c>
      <c r="D62" s="97">
        <v>17450</v>
      </c>
      <c r="E62" s="97">
        <v>14470</v>
      </c>
      <c r="F62" s="133"/>
    </row>
    <row r="63" spans="1:14" ht="14.25" customHeight="1">
      <c r="A63" s="93" t="s">
        <v>259</v>
      </c>
      <c r="B63" s="97" t="s">
        <v>3206</v>
      </c>
      <c r="C63" s="97">
        <v>17610</v>
      </c>
      <c r="D63" s="97">
        <v>16500</v>
      </c>
      <c r="E63" s="97">
        <v>17330</v>
      </c>
      <c r="F63" s="133"/>
    </row>
    <row r="64" spans="1:14" ht="14.25" customHeight="1">
      <c r="A64" s="93" t="s">
        <v>259</v>
      </c>
      <c r="B64" s="97" t="s">
        <v>3216</v>
      </c>
      <c r="C64" s="97">
        <v>16590</v>
      </c>
      <c r="D64" s="97">
        <v>15130</v>
      </c>
      <c r="E64" s="97">
        <v>16420</v>
      </c>
      <c r="F64" s="133"/>
    </row>
    <row r="65" spans="1:6" s="119" customFormat="1" ht="14.25" customHeight="1">
      <c r="A65" s="93" t="s">
        <v>259</v>
      </c>
      <c r="B65" s="97" t="s">
        <v>3226</v>
      </c>
      <c r="C65" s="97">
        <v>15220</v>
      </c>
      <c r="D65" s="97">
        <v>14660</v>
      </c>
      <c r="E65" s="97">
        <v>15060</v>
      </c>
      <c r="F65" s="130"/>
    </row>
    <row r="66" spans="1:6" s="119" customFormat="1" ht="14.25" customHeight="1">
      <c r="A66" s="93" t="s">
        <v>259</v>
      </c>
      <c r="B66" s="97" t="s">
        <v>3236</v>
      </c>
      <c r="C66" s="97">
        <v>14720</v>
      </c>
      <c r="D66" s="97">
        <v>15970</v>
      </c>
      <c r="E66" s="97">
        <v>14610</v>
      </c>
      <c r="F66" s="130"/>
    </row>
    <row r="67" spans="1:6" s="119" customFormat="1" ht="14.25" customHeight="1">
      <c r="A67" s="93" t="s">
        <v>259</v>
      </c>
      <c r="B67" s="97" t="s">
        <v>3246</v>
      </c>
      <c r="C67" s="97">
        <v>16080</v>
      </c>
      <c r="D67" s="97">
        <v>14840</v>
      </c>
      <c r="E67" s="97">
        <v>15630</v>
      </c>
      <c r="F67" s="130"/>
    </row>
    <row r="68" spans="1:6" s="119" customFormat="1" ht="14.25" customHeight="1">
      <c r="A68" s="93" t="s">
        <v>259</v>
      </c>
      <c r="B68" s="97" t="s">
        <v>3255</v>
      </c>
      <c r="C68" s="97">
        <v>14940</v>
      </c>
      <c r="D68" s="97">
        <v>18000</v>
      </c>
      <c r="E68" s="97">
        <v>14040</v>
      </c>
      <c r="F68" s="130"/>
    </row>
    <row r="69" spans="1:6" s="119" customFormat="1" ht="14.25" customHeight="1">
      <c r="A69" s="93" t="s">
        <v>259</v>
      </c>
      <c r="B69" s="97" t="s">
        <v>3263</v>
      </c>
      <c r="C69" s="97">
        <v>18810</v>
      </c>
      <c r="D69" s="97">
        <v>15100</v>
      </c>
      <c r="E69" s="97">
        <v>14710</v>
      </c>
      <c r="F69" s="130"/>
    </row>
    <row r="70" spans="1:6" s="119" customFormat="1" ht="14.25" customHeight="1">
      <c r="A70" s="93" t="s">
        <v>259</v>
      </c>
      <c r="B70" s="97" t="s">
        <v>3271</v>
      </c>
      <c r="C70" s="97">
        <v>18270</v>
      </c>
      <c r="D70" s="97"/>
      <c r="E70" s="97"/>
      <c r="F70" s="130"/>
    </row>
    <row r="71" spans="1:6" s="119" customFormat="1" ht="14.25" customHeight="1">
      <c r="A71" s="93" t="s">
        <v>259</v>
      </c>
      <c r="B71" s="97" t="s">
        <v>3278</v>
      </c>
      <c r="C71" s="97">
        <v>15230</v>
      </c>
      <c r="D71" s="97"/>
      <c r="E71" s="97"/>
      <c r="F71" s="130"/>
    </row>
    <row r="72" spans="1:6" s="119" customFormat="1" ht="14.25" customHeight="1">
      <c r="A72" s="93" t="s">
        <v>259</v>
      </c>
      <c r="B72" s="97" t="s">
        <v>3285</v>
      </c>
      <c r="C72" s="97"/>
      <c r="D72" s="97"/>
      <c r="E72" s="97"/>
      <c r="F72" s="130">
        <v>4120</v>
      </c>
    </row>
    <row r="73" spans="1:6" s="119" customFormat="1" ht="14.25" customHeight="1">
      <c r="A73" s="93" t="s">
        <v>259</v>
      </c>
      <c r="B73" s="97" t="s">
        <v>3292</v>
      </c>
      <c r="C73" s="97"/>
      <c r="D73" s="97"/>
      <c r="E73" s="97"/>
      <c r="F73" s="130">
        <v>3930</v>
      </c>
    </row>
    <row r="74" spans="1:6" s="119" customFormat="1" ht="14.25" customHeight="1">
      <c r="A74" s="93" t="s">
        <v>259</v>
      </c>
      <c r="B74" s="97" t="s">
        <v>3299</v>
      </c>
      <c r="C74" s="97"/>
      <c r="D74" s="97"/>
      <c r="E74" s="97"/>
      <c r="F74" s="130">
        <v>4060</v>
      </c>
    </row>
    <row r="75" spans="1:6" s="119" customFormat="1" ht="14.25" customHeight="1">
      <c r="A75" s="93" t="s">
        <v>259</v>
      </c>
      <c r="B75" s="108" t="s">
        <v>3306</v>
      </c>
      <c r="C75" s="108"/>
      <c r="D75" s="108"/>
      <c r="E75" s="108"/>
      <c r="F75" s="132">
        <v>3750</v>
      </c>
    </row>
    <row r="76" spans="1:6" s="119" customFormat="1" ht="14.25" customHeight="1">
      <c r="A76" s="93" t="s">
        <v>267</v>
      </c>
      <c r="B76" s="94" t="s">
        <v>3054</v>
      </c>
      <c r="C76" s="94">
        <v>14690</v>
      </c>
      <c r="D76" s="94">
        <v>14640</v>
      </c>
      <c r="E76" s="94">
        <v>14590</v>
      </c>
      <c r="F76" s="127">
        <v>3060</v>
      </c>
    </row>
    <row r="77" spans="1:6" s="119" customFormat="1" ht="14.25" customHeight="1">
      <c r="A77" s="93" t="s">
        <v>267</v>
      </c>
      <c r="B77" s="97" t="s">
        <v>3067</v>
      </c>
      <c r="C77" s="97">
        <v>12550</v>
      </c>
      <c r="D77" s="97">
        <v>12480</v>
      </c>
      <c r="E77" s="97">
        <v>12450</v>
      </c>
      <c r="F77" s="130">
        <v>2590</v>
      </c>
    </row>
    <row r="78" spans="1:6" s="119" customFormat="1" ht="14.25" customHeight="1">
      <c r="A78" s="93" t="s">
        <v>267</v>
      </c>
      <c r="B78" s="97" t="s">
        <v>3080</v>
      </c>
      <c r="C78" s="97">
        <v>14360</v>
      </c>
      <c r="D78" s="97">
        <v>14320</v>
      </c>
      <c r="E78" s="97">
        <v>12510</v>
      </c>
      <c r="F78" s="130">
        <v>2700</v>
      </c>
    </row>
    <row r="79" spans="1:6" s="119" customFormat="1" ht="14.25" customHeight="1">
      <c r="A79" s="93" t="s">
        <v>267</v>
      </c>
      <c r="B79" s="97" t="s">
        <v>3092</v>
      </c>
      <c r="C79" s="97">
        <v>12590</v>
      </c>
      <c r="D79" s="97">
        <v>12540</v>
      </c>
      <c r="E79" s="97">
        <v>12350</v>
      </c>
      <c r="F79" s="130">
        <v>2740</v>
      </c>
    </row>
    <row r="80" spans="1:6" s="119" customFormat="1" ht="14.25" customHeight="1">
      <c r="A80" s="93" t="s">
        <v>267</v>
      </c>
      <c r="B80" s="97" t="s">
        <v>3104</v>
      </c>
      <c r="C80" s="97">
        <v>12450</v>
      </c>
      <c r="D80" s="97">
        <v>12370</v>
      </c>
      <c r="E80" s="97">
        <v>10790</v>
      </c>
      <c r="F80" s="130">
        <v>2290</v>
      </c>
    </row>
    <row r="81" spans="1:6" s="119" customFormat="1" ht="14.25" customHeight="1">
      <c r="A81" s="93" t="s">
        <v>267</v>
      </c>
      <c r="B81" s="97" t="s">
        <v>3115</v>
      </c>
      <c r="C81" s="97">
        <v>14210</v>
      </c>
      <c r="D81" s="97">
        <v>14150</v>
      </c>
      <c r="E81" s="97">
        <v>12730</v>
      </c>
      <c r="F81" s="130">
        <v>2240</v>
      </c>
    </row>
    <row r="82" spans="1:6" s="119" customFormat="1" ht="14.25" customHeight="1">
      <c r="A82" s="93" t="s">
        <v>267</v>
      </c>
      <c r="B82" s="97" t="s">
        <v>3126</v>
      </c>
      <c r="C82" s="97">
        <v>10860</v>
      </c>
      <c r="D82" s="97">
        <v>10820</v>
      </c>
      <c r="E82" s="97">
        <v>14720</v>
      </c>
      <c r="F82" s="130">
        <v>2490</v>
      </c>
    </row>
    <row r="83" spans="1:6" s="119" customFormat="1" ht="14.25" customHeight="1">
      <c r="A83" s="93" t="s">
        <v>267</v>
      </c>
      <c r="B83" s="97" t="s">
        <v>3137</v>
      </c>
      <c r="C83" s="97">
        <v>12810</v>
      </c>
      <c r="D83" s="97">
        <v>12760</v>
      </c>
      <c r="E83" s="97">
        <v>14830</v>
      </c>
      <c r="F83" s="130">
        <v>2450</v>
      </c>
    </row>
    <row r="84" spans="1:6" s="119" customFormat="1" ht="14.25" customHeight="1">
      <c r="A84" s="93" t="s">
        <v>267</v>
      </c>
      <c r="B84" s="97" t="s">
        <v>3147</v>
      </c>
      <c r="C84" s="97">
        <v>14950</v>
      </c>
      <c r="D84" s="97">
        <v>14810</v>
      </c>
      <c r="E84" s="97">
        <v>12590</v>
      </c>
      <c r="F84" s="130">
        <v>2540</v>
      </c>
    </row>
    <row r="85" spans="1:6" s="119" customFormat="1" ht="14.25" customHeight="1">
      <c r="A85" s="93" t="s">
        <v>267</v>
      </c>
      <c r="B85" s="97" t="s">
        <v>3157</v>
      </c>
      <c r="C85" s="97">
        <v>14960</v>
      </c>
      <c r="D85" s="97">
        <v>14890</v>
      </c>
      <c r="E85" s="97">
        <v>12840</v>
      </c>
      <c r="F85" s="130">
        <v>2840</v>
      </c>
    </row>
    <row r="86" spans="1:6" s="119" customFormat="1" ht="14.25" customHeight="1">
      <c r="A86" s="93" t="s">
        <v>267</v>
      </c>
      <c r="B86" s="97" t="s">
        <v>3167</v>
      </c>
      <c r="C86" s="97">
        <v>12730</v>
      </c>
      <c r="D86" s="97">
        <v>12660</v>
      </c>
      <c r="E86" s="97">
        <v>13310</v>
      </c>
      <c r="F86" s="130">
        <v>3140</v>
      </c>
    </row>
    <row r="87" spans="1:6" s="119" customFormat="1" ht="14.25" customHeight="1">
      <c r="A87" s="93" t="s">
        <v>267</v>
      </c>
      <c r="B87" s="97" t="s">
        <v>3177</v>
      </c>
      <c r="C87" s="97">
        <v>12940</v>
      </c>
      <c r="D87" s="97">
        <v>12890</v>
      </c>
      <c r="E87" s="97">
        <v>11580</v>
      </c>
      <c r="F87" s="133"/>
    </row>
    <row r="88" spans="1:6" s="119" customFormat="1" ht="14.25" customHeight="1">
      <c r="A88" s="93" t="s">
        <v>267</v>
      </c>
      <c r="B88" s="97" t="s">
        <v>3187</v>
      </c>
      <c r="C88" s="97">
        <v>13430</v>
      </c>
      <c r="D88" s="97">
        <v>13360</v>
      </c>
      <c r="E88" s="97">
        <v>12790</v>
      </c>
      <c r="F88" s="133"/>
    </row>
    <row r="89" spans="1:6" s="119" customFormat="1" ht="14.25" customHeight="1">
      <c r="A89" s="93" t="s">
        <v>267</v>
      </c>
      <c r="B89" s="97" t="s">
        <v>3197</v>
      </c>
      <c r="C89" s="97">
        <v>11680</v>
      </c>
      <c r="D89" s="97">
        <v>11630</v>
      </c>
      <c r="E89" s="97">
        <v>11320</v>
      </c>
      <c r="F89" s="133"/>
    </row>
    <row r="90" spans="1:6" s="119" customFormat="1" ht="14.25" customHeight="1">
      <c r="A90" s="93" t="s">
        <v>267</v>
      </c>
      <c r="B90" s="97" t="s">
        <v>3207</v>
      </c>
      <c r="C90" s="97">
        <v>12890</v>
      </c>
      <c r="D90" s="97">
        <v>12820</v>
      </c>
      <c r="E90" s="97">
        <v>12710</v>
      </c>
      <c r="F90" s="133"/>
    </row>
    <row r="91" spans="1:6" s="119" customFormat="1" ht="14.25" customHeight="1">
      <c r="A91" s="93" t="s">
        <v>267</v>
      </c>
      <c r="B91" s="97" t="s">
        <v>3217</v>
      </c>
      <c r="C91" s="97">
        <v>11410</v>
      </c>
      <c r="D91" s="97">
        <v>11360</v>
      </c>
      <c r="E91" s="97">
        <v>12670</v>
      </c>
      <c r="F91" s="133"/>
    </row>
    <row r="92" spans="1:6" s="119" customFormat="1" ht="14.25" customHeight="1">
      <c r="A92" s="93" t="s">
        <v>267</v>
      </c>
      <c r="B92" s="97" t="s">
        <v>3227</v>
      </c>
      <c r="C92" s="97">
        <v>12770</v>
      </c>
      <c r="D92" s="97">
        <v>12740</v>
      </c>
      <c r="E92" s="97">
        <v>11970</v>
      </c>
      <c r="F92" s="133"/>
    </row>
    <row r="93" spans="1:6" s="119" customFormat="1" ht="14.25" customHeight="1">
      <c r="A93" s="93" t="s">
        <v>267</v>
      </c>
      <c r="B93" s="97" t="s">
        <v>3237</v>
      </c>
      <c r="C93" s="97">
        <v>12740</v>
      </c>
      <c r="D93" s="97">
        <v>12700</v>
      </c>
      <c r="E93" s="97">
        <v>12540</v>
      </c>
      <c r="F93" s="133"/>
    </row>
    <row r="94" spans="1:6" s="119" customFormat="1" ht="14.25" customHeight="1">
      <c r="A94" s="93" t="s">
        <v>267</v>
      </c>
      <c r="B94" s="97" t="s">
        <v>3247</v>
      </c>
      <c r="C94" s="97">
        <v>12020</v>
      </c>
      <c r="D94" s="97">
        <v>11990</v>
      </c>
      <c r="E94" s="97">
        <v>13110</v>
      </c>
      <c r="F94" s="133"/>
    </row>
    <row r="95" spans="1:6" s="119" customFormat="1" ht="14.25" customHeight="1">
      <c r="A95" s="93" t="s">
        <v>267</v>
      </c>
      <c r="B95" s="97" t="s">
        <v>3256</v>
      </c>
      <c r="C95" s="97">
        <v>12620</v>
      </c>
      <c r="D95" s="97">
        <v>12580</v>
      </c>
      <c r="E95" s="97">
        <v>13160</v>
      </c>
      <c r="F95" s="130"/>
    </row>
    <row r="96" spans="1:6" s="119" customFormat="1" ht="14.25" customHeight="1">
      <c r="A96" s="93" t="s">
        <v>267</v>
      </c>
      <c r="B96" s="97" t="s">
        <v>3264</v>
      </c>
      <c r="C96" s="97">
        <v>13200</v>
      </c>
      <c r="D96" s="97">
        <v>13150</v>
      </c>
      <c r="E96" s="97">
        <v>12900</v>
      </c>
      <c r="F96" s="130"/>
    </row>
    <row r="97" spans="1:6" s="119" customFormat="1" ht="14.25" customHeight="1">
      <c r="A97" s="93" t="s">
        <v>267</v>
      </c>
      <c r="B97" s="97" t="s">
        <v>3272</v>
      </c>
      <c r="C97" s="97">
        <v>13270</v>
      </c>
      <c r="D97" s="97">
        <v>13210</v>
      </c>
      <c r="E97" s="97">
        <v>11080</v>
      </c>
      <c r="F97" s="130"/>
    </row>
    <row r="98" spans="1:6" s="119" customFormat="1" ht="14.25" customHeight="1">
      <c r="A98" s="93" t="s">
        <v>267</v>
      </c>
      <c r="B98" s="97" t="s">
        <v>3279</v>
      </c>
      <c r="C98" s="97">
        <v>13010</v>
      </c>
      <c r="D98" s="97">
        <v>12930</v>
      </c>
      <c r="E98" s="97">
        <v>12840</v>
      </c>
      <c r="F98" s="130"/>
    </row>
    <row r="99" spans="1:6" s="119" customFormat="1" ht="14.25" customHeight="1">
      <c r="A99" s="93" t="s">
        <v>267</v>
      </c>
      <c r="B99" s="97" t="s">
        <v>3286</v>
      </c>
      <c r="C99" s="97">
        <v>11190</v>
      </c>
      <c r="D99" s="97">
        <v>11130</v>
      </c>
      <c r="E99" s="97"/>
      <c r="F99" s="130"/>
    </row>
    <row r="100" spans="1:6" s="119" customFormat="1" ht="14.25" customHeight="1">
      <c r="A100" s="93" t="s">
        <v>267</v>
      </c>
      <c r="B100" s="97" t="s">
        <v>3293</v>
      </c>
      <c r="C100" s="97">
        <v>14280</v>
      </c>
      <c r="D100" s="97">
        <v>14180</v>
      </c>
      <c r="E100" s="97"/>
      <c r="F100" s="130"/>
    </row>
    <row r="101" spans="1:6" s="119" customFormat="1" ht="14.25" customHeight="1">
      <c r="A101" s="93" t="s">
        <v>267</v>
      </c>
      <c r="B101" s="97" t="s">
        <v>3300</v>
      </c>
      <c r="C101" s="97">
        <v>12960</v>
      </c>
      <c r="D101" s="97">
        <v>12890</v>
      </c>
      <c r="E101" s="97"/>
      <c r="F101" s="130"/>
    </row>
    <row r="102" spans="1:6" s="119" customFormat="1" ht="14.25" customHeight="1">
      <c r="A102" s="93" t="s">
        <v>267</v>
      </c>
      <c r="B102" s="97" t="s">
        <v>3307</v>
      </c>
      <c r="C102" s="97"/>
      <c r="D102" s="97"/>
      <c r="E102" s="97"/>
      <c r="F102" s="130">
        <v>3100</v>
      </c>
    </row>
    <row r="103" spans="1:6" s="119" customFormat="1" ht="14.25" customHeight="1">
      <c r="A103" s="93" t="s">
        <v>267</v>
      </c>
      <c r="B103" s="97" t="s">
        <v>3312</v>
      </c>
      <c r="C103" s="97"/>
      <c r="D103" s="97"/>
      <c r="E103" s="97"/>
      <c r="F103" s="130">
        <v>2320</v>
      </c>
    </row>
    <row r="104" spans="1:6" s="119" customFormat="1" ht="14.25" customHeight="1">
      <c r="A104" s="93" t="s">
        <v>267</v>
      </c>
      <c r="B104" s="97" t="s">
        <v>3317</v>
      </c>
      <c r="C104" s="97"/>
      <c r="D104" s="97"/>
      <c r="E104" s="97"/>
      <c r="F104" s="130">
        <v>2320</v>
      </c>
    </row>
    <row r="105" spans="1:6" s="119" customFormat="1" ht="14.25" customHeight="1">
      <c r="A105" s="93" t="s">
        <v>267</v>
      </c>
      <c r="B105" s="97" t="s">
        <v>3322</v>
      </c>
      <c r="C105" s="97"/>
      <c r="D105" s="97"/>
      <c r="E105" s="97"/>
      <c r="F105" s="130">
        <v>2320</v>
      </c>
    </row>
    <row r="106" spans="1:6" s="119" customFormat="1" ht="14.25" customHeight="1">
      <c r="A106" s="93" t="s">
        <v>267</v>
      </c>
      <c r="B106" s="97" t="s">
        <v>3327</v>
      </c>
      <c r="C106" s="97"/>
      <c r="D106" s="97"/>
      <c r="E106" s="97"/>
      <c r="F106" s="130">
        <v>2320</v>
      </c>
    </row>
    <row r="107" spans="1:6" s="119" customFormat="1" ht="14.25" customHeight="1">
      <c r="A107" s="93" t="s">
        <v>267</v>
      </c>
      <c r="B107" s="97" t="s">
        <v>3332</v>
      </c>
      <c r="C107" s="97"/>
      <c r="D107" s="97"/>
      <c r="E107" s="97"/>
      <c r="F107" s="130">
        <v>2280</v>
      </c>
    </row>
    <row r="108" spans="1:6" s="119" customFormat="1" ht="14.25" customHeight="1">
      <c r="A108" s="93" t="s">
        <v>267</v>
      </c>
      <c r="B108" s="97" t="s">
        <v>3337</v>
      </c>
      <c r="C108" s="97"/>
      <c r="D108" s="97"/>
      <c r="E108" s="97"/>
      <c r="F108" s="130">
        <v>2280</v>
      </c>
    </row>
    <row r="109" spans="1:6" s="119" customFormat="1" ht="14.25" customHeight="1">
      <c r="A109" s="93" t="s">
        <v>267</v>
      </c>
      <c r="B109" s="108" t="s">
        <v>3342</v>
      </c>
      <c r="C109" s="108"/>
      <c r="D109" s="108"/>
      <c r="E109" s="108"/>
      <c r="F109" s="132">
        <v>2280</v>
      </c>
    </row>
    <row r="110" spans="1:6" s="119" customFormat="1" ht="14.25" customHeight="1">
      <c r="A110" s="93" t="s">
        <v>273</v>
      </c>
      <c r="B110" s="94" t="s">
        <v>3055</v>
      </c>
      <c r="C110" s="94">
        <v>10520</v>
      </c>
      <c r="D110" s="94">
        <v>10490</v>
      </c>
      <c r="E110" s="94">
        <v>10760</v>
      </c>
      <c r="F110" s="127">
        <v>2160</v>
      </c>
    </row>
    <row r="111" spans="1:6" s="119" customFormat="1" ht="14.25" customHeight="1">
      <c r="A111" s="93" t="s">
        <v>273</v>
      </c>
      <c r="B111" s="97" t="s">
        <v>3068</v>
      </c>
      <c r="C111" s="97">
        <v>10090</v>
      </c>
      <c r="D111" s="97">
        <v>10060</v>
      </c>
      <c r="E111" s="97">
        <v>10300</v>
      </c>
      <c r="F111" s="130">
        <v>2010</v>
      </c>
    </row>
    <row r="112" spans="1:6" s="119" customFormat="1" ht="14.25" customHeight="1">
      <c r="A112" s="93" t="s">
        <v>273</v>
      </c>
      <c r="B112" s="97" t="s">
        <v>3081</v>
      </c>
      <c r="C112" s="97">
        <v>9910</v>
      </c>
      <c r="D112" s="97">
        <v>9850</v>
      </c>
      <c r="E112" s="97">
        <v>9960</v>
      </c>
      <c r="F112" s="130">
        <v>2090</v>
      </c>
    </row>
    <row r="113" spans="1:6" s="119" customFormat="1" ht="14.25" customHeight="1">
      <c r="A113" s="93" t="s">
        <v>273</v>
      </c>
      <c r="B113" s="97" t="s">
        <v>3093</v>
      </c>
      <c r="C113" s="97">
        <v>11430</v>
      </c>
      <c r="D113" s="97">
        <v>11400</v>
      </c>
      <c r="E113" s="97">
        <v>11710</v>
      </c>
      <c r="F113" s="130">
        <v>2050</v>
      </c>
    </row>
    <row r="114" spans="1:6" s="119" customFormat="1" ht="14.25" customHeight="1">
      <c r="A114" s="93" t="s">
        <v>273</v>
      </c>
      <c r="B114" s="97" t="s">
        <v>3105</v>
      </c>
      <c r="C114" s="97">
        <v>11390</v>
      </c>
      <c r="D114" s="97">
        <v>11350</v>
      </c>
      <c r="E114" s="97">
        <v>11640</v>
      </c>
      <c r="F114" s="130">
        <v>1620</v>
      </c>
    </row>
    <row r="115" spans="1:6" s="119" customFormat="1" ht="14.25" customHeight="1">
      <c r="A115" s="93" t="s">
        <v>273</v>
      </c>
      <c r="B115" s="97" t="s">
        <v>3116</v>
      </c>
      <c r="C115" s="97">
        <v>9930</v>
      </c>
      <c r="D115" s="97">
        <v>9900</v>
      </c>
      <c r="E115" s="97">
        <v>10160</v>
      </c>
      <c r="F115" s="130">
        <v>1580</v>
      </c>
    </row>
    <row r="116" spans="1:6" s="119" customFormat="1" ht="14.25" customHeight="1">
      <c r="A116" s="93" t="s">
        <v>273</v>
      </c>
      <c r="B116" s="97" t="s">
        <v>3127</v>
      </c>
      <c r="C116" s="97">
        <v>9150</v>
      </c>
      <c r="D116" s="97">
        <v>9120</v>
      </c>
      <c r="E116" s="97">
        <v>9380</v>
      </c>
      <c r="F116" s="130">
        <v>1750</v>
      </c>
    </row>
    <row r="117" spans="1:6" s="119" customFormat="1" ht="14.25" customHeight="1">
      <c r="A117" s="93" t="s">
        <v>273</v>
      </c>
      <c r="B117" s="97" t="s">
        <v>3138</v>
      </c>
      <c r="C117" s="97">
        <v>10680</v>
      </c>
      <c r="D117" s="97">
        <v>10650</v>
      </c>
      <c r="E117" s="97">
        <v>10970</v>
      </c>
      <c r="F117" s="130">
        <v>1730</v>
      </c>
    </row>
    <row r="118" spans="1:6" s="119" customFormat="1" ht="14.25" customHeight="1">
      <c r="A118" s="93" t="s">
        <v>273</v>
      </c>
      <c r="B118" s="97" t="s">
        <v>3148</v>
      </c>
      <c r="C118" s="97">
        <v>10080</v>
      </c>
      <c r="D118" s="97">
        <v>10050</v>
      </c>
      <c r="E118" s="97">
        <v>10350</v>
      </c>
      <c r="F118" s="130">
        <v>1920</v>
      </c>
    </row>
    <row r="119" spans="1:6" s="119" customFormat="1" ht="14.25" customHeight="1">
      <c r="A119" s="93" t="s">
        <v>273</v>
      </c>
      <c r="B119" s="97" t="s">
        <v>3158</v>
      </c>
      <c r="C119" s="97">
        <v>9450</v>
      </c>
      <c r="D119" s="97">
        <v>9410</v>
      </c>
      <c r="E119" s="97">
        <v>9680</v>
      </c>
      <c r="F119" s="130">
        <v>1880</v>
      </c>
    </row>
    <row r="120" spans="1:6" s="119" customFormat="1" ht="14.25" customHeight="1">
      <c r="A120" s="93" t="s">
        <v>273</v>
      </c>
      <c r="B120" s="97" t="s">
        <v>3168</v>
      </c>
      <c r="C120" s="97">
        <v>8730</v>
      </c>
      <c r="D120" s="97">
        <v>8700</v>
      </c>
      <c r="E120" s="97">
        <v>8950</v>
      </c>
      <c r="F120" s="130">
        <v>1830</v>
      </c>
    </row>
    <row r="121" spans="1:6" s="119" customFormat="1" ht="14.25" customHeight="1">
      <c r="A121" s="93" t="s">
        <v>273</v>
      </c>
      <c r="B121" s="97" t="s">
        <v>3178</v>
      </c>
      <c r="C121" s="97">
        <v>10070</v>
      </c>
      <c r="D121" s="97">
        <v>10040</v>
      </c>
      <c r="E121" s="97">
        <v>10270</v>
      </c>
      <c r="F121" s="130">
        <v>1960</v>
      </c>
    </row>
    <row r="122" spans="1:6" s="119" customFormat="1" ht="14.25" customHeight="1">
      <c r="A122" s="93" t="s">
        <v>273</v>
      </c>
      <c r="B122" s="97" t="s">
        <v>3188</v>
      </c>
      <c r="C122" s="97">
        <v>10500</v>
      </c>
      <c r="D122" s="97">
        <v>10470</v>
      </c>
      <c r="E122" s="97">
        <v>10780</v>
      </c>
      <c r="F122" s="130">
        <v>2180</v>
      </c>
    </row>
    <row r="123" spans="1:6" s="119" customFormat="1" ht="14.25" customHeight="1">
      <c r="A123" s="93" t="s">
        <v>273</v>
      </c>
      <c r="B123" s="97" t="s">
        <v>3198</v>
      </c>
      <c r="C123" s="97">
        <v>10390</v>
      </c>
      <c r="D123" s="97">
        <v>10360</v>
      </c>
      <c r="E123" s="97">
        <v>10660</v>
      </c>
      <c r="F123" s="130">
        <v>2040</v>
      </c>
    </row>
    <row r="124" spans="1:6" s="119" customFormat="1" ht="14.25" customHeight="1">
      <c r="A124" s="93" t="s">
        <v>273</v>
      </c>
      <c r="B124" s="97" t="s">
        <v>3208</v>
      </c>
      <c r="C124" s="97">
        <v>10390</v>
      </c>
      <c r="D124" s="97">
        <v>10360</v>
      </c>
      <c r="E124" s="97">
        <v>10680</v>
      </c>
      <c r="F124" s="133"/>
    </row>
    <row r="125" spans="1:6" s="119" customFormat="1" ht="14.25" customHeight="1">
      <c r="A125" s="93" t="s">
        <v>273</v>
      </c>
      <c r="B125" s="97" t="s">
        <v>3218</v>
      </c>
      <c r="C125" s="97">
        <v>10440</v>
      </c>
      <c r="D125" s="97">
        <v>10410</v>
      </c>
      <c r="E125" s="97">
        <v>10710</v>
      </c>
      <c r="F125" s="133"/>
    </row>
    <row r="126" spans="1:6" s="119" customFormat="1" ht="14.25" customHeight="1">
      <c r="A126" s="93" t="s">
        <v>273</v>
      </c>
      <c r="B126" s="97" t="s">
        <v>3228</v>
      </c>
      <c r="C126" s="97">
        <v>10780</v>
      </c>
      <c r="D126" s="97">
        <v>10750</v>
      </c>
      <c r="E126" s="97">
        <v>11080</v>
      </c>
      <c r="F126" s="133"/>
    </row>
    <row r="127" spans="1:6" s="119" customFormat="1" ht="14.25" customHeight="1">
      <c r="A127" s="93" t="s">
        <v>273</v>
      </c>
      <c r="B127" s="97" t="s">
        <v>3238</v>
      </c>
      <c r="C127" s="97">
        <v>10100</v>
      </c>
      <c r="D127" s="97">
        <v>10070</v>
      </c>
      <c r="E127" s="97">
        <v>10350</v>
      </c>
      <c r="F127" s="133"/>
    </row>
    <row r="128" spans="1:6" s="119" customFormat="1" ht="14.25" customHeight="1">
      <c r="A128" s="93" t="s">
        <v>273</v>
      </c>
      <c r="B128" s="97" t="s">
        <v>3248</v>
      </c>
      <c r="C128" s="97">
        <v>9200</v>
      </c>
      <c r="D128" s="97">
        <v>9160</v>
      </c>
      <c r="E128" s="97">
        <v>9660</v>
      </c>
      <c r="F128" s="133"/>
    </row>
    <row r="129" spans="1:6" s="119" customFormat="1" ht="14.25" customHeight="1">
      <c r="A129" s="93" t="s">
        <v>273</v>
      </c>
      <c r="B129" s="97" t="s">
        <v>3257</v>
      </c>
      <c r="C129" s="97">
        <v>10340</v>
      </c>
      <c r="D129" s="97">
        <v>10310</v>
      </c>
      <c r="E129" s="97">
        <v>10580</v>
      </c>
      <c r="F129" s="133"/>
    </row>
    <row r="130" spans="1:6" s="119" customFormat="1" ht="14.25" customHeight="1">
      <c r="A130" s="93" t="s">
        <v>273</v>
      </c>
      <c r="B130" s="97" t="s">
        <v>3265</v>
      </c>
      <c r="C130" s="97">
        <v>9680</v>
      </c>
      <c r="D130" s="97">
        <v>9660</v>
      </c>
      <c r="E130" s="97">
        <v>9950</v>
      </c>
      <c r="F130" s="133"/>
    </row>
    <row r="131" spans="1:6" s="119" customFormat="1" ht="14.25" customHeight="1">
      <c r="A131" s="93" t="s">
        <v>273</v>
      </c>
      <c r="B131" s="97" t="s">
        <v>3273</v>
      </c>
      <c r="C131" s="97">
        <v>9540</v>
      </c>
      <c r="D131" s="97">
        <v>9510</v>
      </c>
      <c r="E131" s="97">
        <v>9790</v>
      </c>
      <c r="F131" s="133"/>
    </row>
    <row r="132" spans="1:6" s="119" customFormat="1" ht="14.25" customHeight="1">
      <c r="A132" s="93" t="s">
        <v>273</v>
      </c>
      <c r="B132" s="97" t="s">
        <v>3280</v>
      </c>
      <c r="C132" s="97">
        <v>9320</v>
      </c>
      <c r="D132" s="97">
        <v>9290</v>
      </c>
      <c r="E132" s="97">
        <v>9570</v>
      </c>
      <c r="F132" s="133"/>
    </row>
    <row r="133" spans="1:6" s="119" customFormat="1" ht="14.25" customHeight="1">
      <c r="A133" s="93" t="s">
        <v>273</v>
      </c>
      <c r="B133" s="97" t="s">
        <v>3287</v>
      </c>
      <c r="C133" s="97">
        <v>10310</v>
      </c>
      <c r="D133" s="97">
        <v>10280</v>
      </c>
      <c r="E133" s="97">
        <v>10530</v>
      </c>
      <c r="F133" s="133"/>
    </row>
    <row r="134" spans="1:6" s="119" customFormat="1" ht="14.25" customHeight="1">
      <c r="A134" s="93" t="s">
        <v>273</v>
      </c>
      <c r="B134" s="97" t="s">
        <v>3294</v>
      </c>
      <c r="C134" s="97">
        <v>10370</v>
      </c>
      <c r="D134" s="97">
        <v>10310</v>
      </c>
      <c r="E134" s="97">
        <v>10240</v>
      </c>
      <c r="F134" s="130">
        <v>2060</v>
      </c>
    </row>
    <row r="135" spans="1:6" s="119" customFormat="1" ht="14.25" customHeight="1">
      <c r="A135" s="93" t="s">
        <v>273</v>
      </c>
      <c r="B135" s="97" t="s">
        <v>3301</v>
      </c>
      <c r="C135" s="97">
        <v>9300</v>
      </c>
      <c r="D135" s="97">
        <v>9270</v>
      </c>
      <c r="E135" s="97">
        <v>9350</v>
      </c>
      <c r="F135" s="133"/>
    </row>
    <row r="136" spans="1:6" s="119" customFormat="1" ht="14.25" customHeight="1">
      <c r="A136" s="93" t="s">
        <v>273</v>
      </c>
      <c r="B136" s="97" t="s">
        <v>3308</v>
      </c>
      <c r="C136" s="97">
        <v>10160</v>
      </c>
      <c r="D136" s="97">
        <v>10110</v>
      </c>
      <c r="E136" s="97">
        <v>10080</v>
      </c>
      <c r="F136" s="133"/>
    </row>
    <row r="137" spans="1:6" s="119" customFormat="1" ht="14.25" customHeight="1">
      <c r="A137" s="93" t="s">
        <v>273</v>
      </c>
      <c r="B137" s="97" t="s">
        <v>3313</v>
      </c>
      <c r="C137" s="97">
        <v>9200</v>
      </c>
      <c r="D137" s="97">
        <v>9170</v>
      </c>
      <c r="E137" s="97">
        <v>9450</v>
      </c>
      <c r="F137" s="133"/>
    </row>
    <row r="138" spans="1:6" s="119" customFormat="1" ht="14.25" customHeight="1">
      <c r="A138" s="93" t="s">
        <v>273</v>
      </c>
      <c r="B138" s="97" t="s">
        <v>3318</v>
      </c>
      <c r="C138" s="97">
        <v>9690</v>
      </c>
      <c r="D138" s="97">
        <v>9660</v>
      </c>
      <c r="E138" s="97">
        <v>9840</v>
      </c>
      <c r="F138" s="133"/>
    </row>
    <row r="139" spans="1:6" s="119" customFormat="1" ht="14.25" customHeight="1">
      <c r="A139" s="93" t="s">
        <v>273</v>
      </c>
      <c r="B139" s="97" t="s">
        <v>3323</v>
      </c>
      <c r="C139" s="97">
        <v>10290</v>
      </c>
      <c r="D139" s="97">
        <v>10260</v>
      </c>
      <c r="E139" s="97">
        <v>10550</v>
      </c>
      <c r="F139" s="130">
        <v>1700</v>
      </c>
    </row>
    <row r="140" spans="1:6" s="119" customFormat="1" ht="14.25" customHeight="1">
      <c r="A140" s="93" t="s">
        <v>273</v>
      </c>
      <c r="B140" s="97" t="s">
        <v>3328</v>
      </c>
      <c r="C140" s="97">
        <v>9740</v>
      </c>
      <c r="D140" s="97">
        <v>9710</v>
      </c>
      <c r="E140" s="97">
        <v>10000</v>
      </c>
      <c r="F140" s="130">
        <v>2000</v>
      </c>
    </row>
    <row r="141" spans="1:6" s="119" customFormat="1" ht="14.25" customHeight="1">
      <c r="A141" s="93" t="s">
        <v>273</v>
      </c>
      <c r="B141" s="97" t="s">
        <v>3333</v>
      </c>
      <c r="C141" s="97">
        <v>9810</v>
      </c>
      <c r="D141" s="97">
        <v>9770</v>
      </c>
      <c r="E141" s="97">
        <v>10060</v>
      </c>
      <c r="F141" s="133"/>
    </row>
    <row r="142" spans="1:6" s="119" customFormat="1" ht="14.25" customHeight="1">
      <c r="A142" s="93" t="s">
        <v>273</v>
      </c>
      <c r="B142" s="97" t="s">
        <v>3338</v>
      </c>
      <c r="C142" s="97">
        <v>9300</v>
      </c>
      <c r="D142" s="97">
        <v>9270</v>
      </c>
      <c r="E142" s="97">
        <v>9530</v>
      </c>
      <c r="F142" s="133"/>
    </row>
    <row r="143" spans="1:6" s="119" customFormat="1" ht="14.25" customHeight="1">
      <c r="A143" s="93" t="s">
        <v>273</v>
      </c>
      <c r="B143" s="97" t="s">
        <v>3343</v>
      </c>
      <c r="C143" s="97">
        <v>10080</v>
      </c>
      <c r="D143" s="97">
        <v>10050</v>
      </c>
      <c r="E143" s="97">
        <v>10340</v>
      </c>
      <c r="F143" s="133"/>
    </row>
    <row r="144" spans="1:6" s="119" customFormat="1" ht="14.25" customHeight="1">
      <c r="A144" s="93" t="s">
        <v>273</v>
      </c>
      <c r="B144" s="97" t="s">
        <v>3347</v>
      </c>
      <c r="C144" s="97">
        <v>9820</v>
      </c>
      <c r="D144" s="97">
        <v>9750</v>
      </c>
      <c r="E144" s="97">
        <v>9900</v>
      </c>
      <c r="F144" s="133"/>
    </row>
    <row r="145" spans="1:6" s="119" customFormat="1" ht="14.25" customHeight="1">
      <c r="A145" s="93" t="s">
        <v>273</v>
      </c>
      <c r="B145" s="97" t="s">
        <v>3351</v>
      </c>
      <c r="C145" s="97"/>
      <c r="D145" s="97"/>
      <c r="E145" s="97"/>
      <c r="F145" s="130">
        <v>1740</v>
      </c>
    </row>
    <row r="146" spans="1:6" s="119" customFormat="1" ht="14.25" customHeight="1">
      <c r="A146" s="93" t="s">
        <v>273</v>
      </c>
      <c r="B146" s="97" t="s">
        <v>3355</v>
      </c>
      <c r="C146" s="97"/>
      <c r="D146" s="97"/>
      <c r="E146" s="97"/>
      <c r="F146" s="130">
        <v>1740</v>
      </c>
    </row>
    <row r="147" spans="1:6" s="119" customFormat="1" ht="14.25" customHeight="1">
      <c r="A147" s="93" t="s">
        <v>273</v>
      </c>
      <c r="B147" s="97" t="s">
        <v>3359</v>
      </c>
      <c r="C147" s="97"/>
      <c r="D147" s="97"/>
      <c r="E147" s="97"/>
      <c r="F147" s="130">
        <v>1740</v>
      </c>
    </row>
    <row r="148" spans="1:6" s="119" customFormat="1" ht="14.25" customHeight="1">
      <c r="A148" s="93" t="s">
        <v>273</v>
      </c>
      <c r="B148" s="97" t="s">
        <v>3363</v>
      </c>
      <c r="C148" s="97"/>
      <c r="D148" s="97"/>
      <c r="E148" s="97"/>
      <c r="F148" s="130">
        <v>1740</v>
      </c>
    </row>
    <row r="149" spans="1:6" s="119" customFormat="1" ht="14.25" customHeight="1">
      <c r="A149" s="93" t="s">
        <v>273</v>
      </c>
      <c r="B149" s="97" t="s">
        <v>3367</v>
      </c>
      <c r="C149" s="97"/>
      <c r="D149" s="97"/>
      <c r="E149" s="97"/>
      <c r="F149" s="130">
        <v>1740</v>
      </c>
    </row>
    <row r="150" spans="1:6" s="119" customFormat="1" ht="14.25" customHeight="1">
      <c r="A150" s="93" t="s">
        <v>273</v>
      </c>
      <c r="B150" s="97" t="s">
        <v>3370</v>
      </c>
      <c r="C150" s="97"/>
      <c r="D150" s="97"/>
      <c r="E150" s="97"/>
      <c r="F150" s="130">
        <v>1610</v>
      </c>
    </row>
    <row r="151" spans="1:6" s="119" customFormat="1" ht="14.25" customHeight="1">
      <c r="A151" s="93" t="s">
        <v>273</v>
      </c>
      <c r="B151" s="97" t="s">
        <v>3373</v>
      </c>
      <c r="C151" s="97"/>
      <c r="D151" s="97"/>
      <c r="E151" s="97"/>
      <c r="F151" s="130">
        <v>1610</v>
      </c>
    </row>
    <row r="152" spans="1:6" s="119" customFormat="1" ht="14.25" customHeight="1">
      <c r="A152" s="93" t="s">
        <v>273</v>
      </c>
      <c r="B152" s="97" t="s">
        <v>3376</v>
      </c>
      <c r="C152" s="97"/>
      <c r="D152" s="97"/>
      <c r="E152" s="97"/>
      <c r="F152" s="130">
        <v>1610</v>
      </c>
    </row>
    <row r="153" spans="1:6" s="119" customFormat="1" ht="14.25" customHeight="1">
      <c r="A153" s="93" t="s">
        <v>273</v>
      </c>
      <c r="B153" s="97" t="s">
        <v>3379</v>
      </c>
      <c r="C153" s="97"/>
      <c r="D153" s="97"/>
      <c r="E153" s="97"/>
      <c r="F153" s="130">
        <v>1610</v>
      </c>
    </row>
    <row r="154" spans="1:6" s="119" customFormat="1" ht="14.25" customHeight="1">
      <c r="A154" s="93" t="s">
        <v>273</v>
      </c>
      <c r="B154" s="97" t="s">
        <v>3382</v>
      </c>
      <c r="C154" s="97"/>
      <c r="D154" s="97"/>
      <c r="E154" s="97"/>
      <c r="F154" s="130">
        <v>1610</v>
      </c>
    </row>
    <row r="155" spans="1:6" s="119" customFormat="1" ht="14.25" customHeight="1">
      <c r="A155" s="93" t="s">
        <v>273</v>
      </c>
      <c r="B155" s="97" t="s">
        <v>3385</v>
      </c>
      <c r="C155" s="97"/>
      <c r="D155" s="97"/>
      <c r="E155" s="97"/>
      <c r="F155" s="130">
        <v>1800</v>
      </c>
    </row>
    <row r="156" spans="1:6" s="119" customFormat="1" ht="14.25" customHeight="1">
      <c r="A156" s="93" t="s">
        <v>273</v>
      </c>
      <c r="B156" s="97" t="s">
        <v>3387</v>
      </c>
      <c r="C156" s="97"/>
      <c r="D156" s="97"/>
      <c r="E156" s="97"/>
      <c r="F156" s="130">
        <v>1910</v>
      </c>
    </row>
    <row r="157" spans="1:6" s="119" customFormat="1" ht="14.25" customHeight="1">
      <c r="A157" s="93" t="s">
        <v>273</v>
      </c>
      <c r="B157" s="108" t="s">
        <v>3389</v>
      </c>
      <c r="C157" s="108"/>
      <c r="D157" s="108"/>
      <c r="E157" s="108"/>
      <c r="F157" s="132">
        <v>1500</v>
      </c>
    </row>
    <row r="158" spans="1:6" s="119" customFormat="1" ht="14.25" customHeight="1">
      <c r="A158" s="93" t="s">
        <v>278</v>
      </c>
      <c r="B158" s="94" t="s">
        <v>3056</v>
      </c>
      <c r="C158" s="94">
        <v>8170</v>
      </c>
      <c r="D158" s="94">
        <v>8140</v>
      </c>
      <c r="E158" s="94">
        <v>8590</v>
      </c>
      <c r="F158" s="127">
        <v>1450</v>
      </c>
    </row>
    <row r="159" spans="1:6" s="119" customFormat="1" ht="14.25" customHeight="1">
      <c r="A159" s="93" t="s">
        <v>278</v>
      </c>
      <c r="B159" s="97" t="s">
        <v>3069</v>
      </c>
      <c r="C159" s="97">
        <v>7410</v>
      </c>
      <c r="D159" s="97">
        <v>7370</v>
      </c>
      <c r="E159" s="97">
        <v>8030</v>
      </c>
      <c r="F159" s="130">
        <v>1510</v>
      </c>
    </row>
    <row r="160" spans="1:6" s="119" customFormat="1" ht="14.25" customHeight="1">
      <c r="A160" s="93" t="s">
        <v>278</v>
      </c>
      <c r="B160" s="97" t="s">
        <v>3082</v>
      </c>
      <c r="C160" s="97">
        <v>7240</v>
      </c>
      <c r="D160" s="97">
        <v>7210</v>
      </c>
      <c r="E160" s="97">
        <v>7860</v>
      </c>
      <c r="F160" s="130">
        <v>1370</v>
      </c>
    </row>
    <row r="161" spans="1:6" s="119" customFormat="1" ht="14.25" customHeight="1">
      <c r="A161" s="93" t="s">
        <v>278</v>
      </c>
      <c r="B161" s="97" t="s">
        <v>3094</v>
      </c>
      <c r="C161" s="97">
        <v>7720</v>
      </c>
      <c r="D161" s="97">
        <v>7690</v>
      </c>
      <c r="E161" s="97">
        <v>8200</v>
      </c>
      <c r="F161" s="130">
        <v>1190</v>
      </c>
    </row>
    <row r="162" spans="1:6" s="119" customFormat="1" ht="14.25" customHeight="1">
      <c r="A162" s="93" t="s">
        <v>278</v>
      </c>
      <c r="B162" s="97" t="s">
        <v>3106</v>
      </c>
      <c r="C162" s="97">
        <v>6900</v>
      </c>
      <c r="D162" s="97">
        <v>6870</v>
      </c>
      <c r="E162" s="97">
        <v>7500</v>
      </c>
      <c r="F162" s="130">
        <v>1390</v>
      </c>
    </row>
    <row r="163" spans="1:6" s="119" customFormat="1" ht="14.25" customHeight="1">
      <c r="A163" s="93" t="s">
        <v>278</v>
      </c>
      <c r="B163" s="97" t="s">
        <v>3117</v>
      </c>
      <c r="C163" s="97">
        <v>7120</v>
      </c>
      <c r="D163" s="97">
        <v>7090</v>
      </c>
      <c r="E163" s="97">
        <v>7690</v>
      </c>
      <c r="F163" s="130">
        <v>1230</v>
      </c>
    </row>
    <row r="164" spans="1:6" s="119" customFormat="1" ht="14.25" customHeight="1">
      <c r="A164" s="93" t="s">
        <v>278</v>
      </c>
      <c r="B164" s="97" t="s">
        <v>3128</v>
      </c>
      <c r="C164" s="97">
        <v>6560</v>
      </c>
      <c r="D164" s="97">
        <v>6530</v>
      </c>
      <c r="E164" s="97">
        <v>7110</v>
      </c>
      <c r="F164" s="130">
        <v>1340</v>
      </c>
    </row>
    <row r="165" spans="1:6" s="119" customFormat="1" ht="14.25" customHeight="1">
      <c r="A165" s="93" t="s">
        <v>278</v>
      </c>
      <c r="B165" s="97" t="s">
        <v>3139</v>
      </c>
      <c r="C165" s="97">
        <v>7450</v>
      </c>
      <c r="D165" s="97">
        <v>7430</v>
      </c>
      <c r="E165" s="97">
        <v>8110</v>
      </c>
      <c r="F165" s="130">
        <v>1290</v>
      </c>
    </row>
    <row r="166" spans="1:6" s="119" customFormat="1" ht="14.25" customHeight="1">
      <c r="A166" s="93" t="s">
        <v>278</v>
      </c>
      <c r="B166" s="97" t="s">
        <v>3149</v>
      </c>
      <c r="C166" s="97">
        <v>7490</v>
      </c>
      <c r="D166" s="97">
        <v>7460</v>
      </c>
      <c r="E166" s="97">
        <v>8150</v>
      </c>
      <c r="F166" s="130">
        <v>1350</v>
      </c>
    </row>
    <row r="167" spans="1:6" s="119" customFormat="1" ht="14.25" customHeight="1">
      <c r="A167" s="93" t="s">
        <v>278</v>
      </c>
      <c r="B167" s="97" t="s">
        <v>3159</v>
      </c>
      <c r="C167" s="97">
        <v>7540</v>
      </c>
      <c r="D167" s="97">
        <v>7510</v>
      </c>
      <c r="E167" s="97">
        <v>8030</v>
      </c>
      <c r="F167" s="133"/>
    </row>
    <row r="168" spans="1:6" s="119" customFormat="1" ht="14.25" customHeight="1">
      <c r="A168" s="93" t="s">
        <v>278</v>
      </c>
      <c r="B168" s="97" t="s">
        <v>3169</v>
      </c>
      <c r="C168" s="97">
        <v>7210</v>
      </c>
      <c r="D168" s="97">
        <v>7180</v>
      </c>
      <c r="E168" s="97">
        <v>7830</v>
      </c>
      <c r="F168" s="133"/>
    </row>
    <row r="169" spans="1:6" s="119" customFormat="1" ht="14.25" customHeight="1">
      <c r="A169" s="93" t="s">
        <v>278</v>
      </c>
      <c r="B169" s="97" t="s">
        <v>3179</v>
      </c>
      <c r="C169" s="97">
        <v>7040</v>
      </c>
      <c r="D169" s="97">
        <v>7020</v>
      </c>
      <c r="E169" s="97">
        <v>7670</v>
      </c>
      <c r="F169" s="133"/>
    </row>
    <row r="170" spans="1:6" s="119" customFormat="1" ht="14.25" customHeight="1">
      <c r="A170" s="93" t="s">
        <v>278</v>
      </c>
      <c r="B170" s="97" t="s">
        <v>3189</v>
      </c>
      <c r="C170" s="97">
        <v>8040</v>
      </c>
      <c r="D170" s="97">
        <v>7190</v>
      </c>
      <c r="E170" s="97">
        <v>7850</v>
      </c>
      <c r="F170" s="133"/>
    </row>
    <row r="171" spans="1:6" s="119" customFormat="1" ht="14.25" customHeight="1">
      <c r="A171" s="93" t="s">
        <v>278</v>
      </c>
      <c r="B171" s="97" t="s">
        <v>3199</v>
      </c>
      <c r="C171" s="97">
        <v>7860</v>
      </c>
      <c r="D171" s="97">
        <v>7720</v>
      </c>
      <c r="E171" s="97">
        <v>8150</v>
      </c>
      <c r="F171" s="130">
        <v>1110</v>
      </c>
    </row>
    <row r="172" spans="1:6" s="119" customFormat="1" ht="14.25" customHeight="1">
      <c r="A172" s="93" t="s">
        <v>278</v>
      </c>
      <c r="B172" s="97" t="s">
        <v>3209</v>
      </c>
      <c r="C172" s="97">
        <v>7210</v>
      </c>
      <c r="D172" s="97">
        <v>7170</v>
      </c>
      <c r="E172" s="97">
        <v>7320</v>
      </c>
      <c r="F172" s="133"/>
    </row>
    <row r="173" spans="1:6" s="119" customFormat="1" ht="14.25" customHeight="1">
      <c r="A173" s="93" t="s">
        <v>278</v>
      </c>
      <c r="B173" s="97" t="s">
        <v>3219</v>
      </c>
      <c r="C173" s="97">
        <v>6860</v>
      </c>
      <c r="D173" s="97">
        <v>6810</v>
      </c>
      <c r="E173" s="97">
        <v>7440</v>
      </c>
      <c r="F173" s="133"/>
    </row>
    <row r="174" spans="1:6" s="119" customFormat="1" ht="14.25" customHeight="1">
      <c r="A174" s="93" t="s">
        <v>278</v>
      </c>
      <c r="B174" s="97" t="s">
        <v>3229</v>
      </c>
      <c r="C174" s="97">
        <v>7120</v>
      </c>
      <c r="D174" s="97">
        <v>7090</v>
      </c>
      <c r="E174" s="97">
        <v>7500</v>
      </c>
      <c r="F174" s="130">
        <v>1490</v>
      </c>
    </row>
    <row r="175" spans="1:6" s="119" customFormat="1" ht="14.25" customHeight="1">
      <c r="A175" s="93" t="s">
        <v>278</v>
      </c>
      <c r="B175" s="97" t="s">
        <v>3239</v>
      </c>
      <c r="C175" s="97">
        <v>7850</v>
      </c>
      <c r="D175" s="97">
        <v>7820</v>
      </c>
      <c r="E175" s="97">
        <v>8120</v>
      </c>
      <c r="F175" s="130">
        <v>1530</v>
      </c>
    </row>
    <row r="176" spans="1:6" s="119" customFormat="1" ht="14.25" customHeight="1">
      <c r="A176" s="93" t="s">
        <v>278</v>
      </c>
      <c r="B176" s="97" t="s">
        <v>3249</v>
      </c>
      <c r="C176" s="97">
        <v>7620</v>
      </c>
      <c r="D176" s="97">
        <v>7570</v>
      </c>
      <c r="E176" s="97">
        <v>7990</v>
      </c>
      <c r="F176" s="130">
        <v>1480</v>
      </c>
    </row>
    <row r="177" spans="1:6" s="119" customFormat="1" ht="14.25" customHeight="1">
      <c r="A177" s="93" t="s">
        <v>278</v>
      </c>
      <c r="B177" s="97" t="s">
        <v>3258</v>
      </c>
      <c r="C177" s="97">
        <v>8590</v>
      </c>
      <c r="D177" s="97">
        <v>8570</v>
      </c>
      <c r="E177" s="97">
        <v>8740</v>
      </c>
      <c r="F177" s="130">
        <v>1540</v>
      </c>
    </row>
    <row r="178" spans="1:6" s="119" customFormat="1" ht="14.25" customHeight="1">
      <c r="A178" s="93" t="s">
        <v>278</v>
      </c>
      <c r="B178" s="97" t="s">
        <v>3266</v>
      </c>
      <c r="C178" s="97">
        <v>7510</v>
      </c>
      <c r="D178" s="97">
        <v>7470</v>
      </c>
      <c r="E178" s="97">
        <v>8090</v>
      </c>
      <c r="F178" s="130">
        <v>1320</v>
      </c>
    </row>
    <row r="179" spans="1:6" s="119" customFormat="1" ht="14.25" customHeight="1">
      <c r="A179" s="93" t="s">
        <v>278</v>
      </c>
      <c r="B179" s="97" t="s">
        <v>3274</v>
      </c>
      <c r="C179" s="97">
        <v>6380</v>
      </c>
      <c r="D179" s="97">
        <v>6340</v>
      </c>
      <c r="E179" s="97">
        <v>6810</v>
      </c>
      <c r="F179" s="133"/>
    </row>
    <row r="180" spans="1:6" s="119" customFormat="1" ht="14.25" customHeight="1">
      <c r="A180" s="93" t="s">
        <v>278</v>
      </c>
      <c r="B180" s="97" t="s">
        <v>3281</v>
      </c>
      <c r="C180" s="97">
        <v>7830</v>
      </c>
      <c r="D180" s="97">
        <v>7800</v>
      </c>
      <c r="E180" s="97">
        <v>7780</v>
      </c>
      <c r="F180" s="130">
        <v>1440</v>
      </c>
    </row>
    <row r="181" spans="1:6" s="119" customFormat="1" ht="14.25" customHeight="1">
      <c r="A181" s="93" t="s">
        <v>278</v>
      </c>
      <c r="B181" s="97" t="s">
        <v>3288</v>
      </c>
      <c r="C181" s="97">
        <v>7110</v>
      </c>
      <c r="D181" s="97">
        <v>7080</v>
      </c>
      <c r="E181" s="97">
        <v>7730</v>
      </c>
      <c r="F181" s="130">
        <v>1350</v>
      </c>
    </row>
    <row r="182" spans="1:6" s="119" customFormat="1" ht="14.25" customHeight="1">
      <c r="A182" s="93" t="s">
        <v>278</v>
      </c>
      <c r="B182" s="97" t="s">
        <v>3295</v>
      </c>
      <c r="C182" s="97">
        <v>7310</v>
      </c>
      <c r="D182" s="97">
        <v>7280</v>
      </c>
      <c r="E182" s="97">
        <v>7950</v>
      </c>
      <c r="F182" s="130">
        <v>1220</v>
      </c>
    </row>
    <row r="183" spans="1:6" s="119" customFormat="1" ht="14.25" customHeight="1">
      <c r="A183" s="93" t="s">
        <v>278</v>
      </c>
      <c r="B183" s="97" t="s">
        <v>3302</v>
      </c>
      <c r="C183" s="97">
        <v>7470</v>
      </c>
      <c r="D183" s="97">
        <v>7440</v>
      </c>
      <c r="E183" s="97">
        <v>7880</v>
      </c>
      <c r="F183" s="133"/>
    </row>
    <row r="184" spans="1:6" s="119" customFormat="1" ht="14.25" customHeight="1">
      <c r="A184" s="93" t="s">
        <v>278</v>
      </c>
      <c r="B184" s="97" t="s">
        <v>3309</v>
      </c>
      <c r="C184" s="97">
        <v>6960</v>
      </c>
      <c r="D184" s="97">
        <v>6930</v>
      </c>
      <c r="E184" s="97">
        <v>7570</v>
      </c>
      <c r="F184" s="133"/>
    </row>
    <row r="185" spans="1:6" s="119" customFormat="1" ht="14.25" customHeight="1">
      <c r="A185" s="93" t="s">
        <v>278</v>
      </c>
      <c r="B185" s="97" t="s">
        <v>3314</v>
      </c>
      <c r="C185" s="97">
        <v>7260</v>
      </c>
      <c r="D185" s="97">
        <v>7230</v>
      </c>
      <c r="E185" s="97">
        <v>7710</v>
      </c>
      <c r="F185" s="130">
        <v>1360</v>
      </c>
    </row>
    <row r="186" spans="1:6" s="119" customFormat="1" ht="14.25" customHeight="1">
      <c r="A186" s="93" t="s">
        <v>278</v>
      </c>
      <c r="B186" s="97" t="s">
        <v>3319</v>
      </c>
      <c r="C186" s="97"/>
      <c r="D186" s="97"/>
      <c r="E186" s="97"/>
      <c r="F186" s="130">
        <v>1560</v>
      </c>
    </row>
    <row r="187" spans="1:6" s="119" customFormat="1" ht="14.25" customHeight="1">
      <c r="A187" s="93" t="s">
        <v>278</v>
      </c>
      <c r="B187" s="97" t="s">
        <v>3324</v>
      </c>
      <c r="C187" s="97"/>
      <c r="D187" s="97"/>
      <c r="E187" s="97"/>
      <c r="F187" s="130">
        <v>1560</v>
      </c>
    </row>
    <row r="188" spans="1:6" s="119" customFormat="1" ht="14.25" customHeight="1">
      <c r="A188" s="93" t="s">
        <v>278</v>
      </c>
      <c r="B188" s="97" t="s">
        <v>3329</v>
      </c>
      <c r="C188" s="97"/>
      <c r="D188" s="97"/>
      <c r="E188" s="97"/>
      <c r="F188" s="130">
        <v>1560</v>
      </c>
    </row>
    <row r="189" spans="1:6" s="119" customFormat="1" ht="14.25" customHeight="1">
      <c r="A189" s="93" t="s">
        <v>278</v>
      </c>
      <c r="B189" s="97" t="s">
        <v>3334</v>
      </c>
      <c r="C189" s="97"/>
      <c r="D189" s="97"/>
      <c r="E189" s="97"/>
      <c r="F189" s="130">
        <v>1320</v>
      </c>
    </row>
    <row r="190" spans="1:6" s="119" customFormat="1" ht="14.25" customHeight="1">
      <c r="A190" s="93" t="s">
        <v>278</v>
      </c>
      <c r="B190" s="97" t="s">
        <v>3339</v>
      </c>
      <c r="C190" s="97"/>
      <c r="D190" s="97"/>
      <c r="E190" s="97"/>
      <c r="F190" s="130">
        <v>1320</v>
      </c>
    </row>
    <row r="191" spans="1:6" s="119" customFormat="1" ht="14.25" customHeight="1">
      <c r="A191" s="93" t="s">
        <v>278</v>
      </c>
      <c r="B191" s="97" t="s">
        <v>3344</v>
      </c>
      <c r="C191" s="97"/>
      <c r="D191" s="97"/>
      <c r="E191" s="97"/>
      <c r="F191" s="130">
        <v>1320</v>
      </c>
    </row>
    <row r="192" spans="1:6" s="119" customFormat="1" ht="14.25" customHeight="1">
      <c r="A192" s="93" t="s">
        <v>278</v>
      </c>
      <c r="B192" s="97" t="s">
        <v>3348</v>
      </c>
      <c r="C192" s="97"/>
      <c r="D192" s="97"/>
      <c r="E192" s="97"/>
      <c r="F192" s="130">
        <v>1100</v>
      </c>
    </row>
    <row r="193" spans="1:6" s="119" customFormat="1" ht="14.25" customHeight="1">
      <c r="A193" s="93" t="s">
        <v>278</v>
      </c>
      <c r="B193" s="97" t="s">
        <v>3352</v>
      </c>
      <c r="C193" s="97"/>
      <c r="D193" s="97"/>
      <c r="E193" s="97"/>
      <c r="F193" s="130">
        <v>1100</v>
      </c>
    </row>
    <row r="194" spans="1:6" s="119" customFormat="1" ht="14.25" customHeight="1">
      <c r="A194" s="93" t="s">
        <v>278</v>
      </c>
      <c r="B194" s="97" t="s">
        <v>3356</v>
      </c>
      <c r="C194" s="97"/>
      <c r="D194" s="97"/>
      <c r="E194" s="97"/>
      <c r="F194" s="130">
        <v>1080</v>
      </c>
    </row>
    <row r="195" spans="1:6" s="119" customFormat="1" ht="14.25" customHeight="1">
      <c r="A195" s="93" t="s">
        <v>278</v>
      </c>
      <c r="B195" s="97" t="s">
        <v>3360</v>
      </c>
      <c r="C195" s="97"/>
      <c r="D195" s="97"/>
      <c r="E195" s="97"/>
      <c r="F195" s="130">
        <v>1270</v>
      </c>
    </row>
    <row r="196" spans="1:6" s="119" customFormat="1" ht="14.25" customHeight="1">
      <c r="A196" s="93" t="s">
        <v>278</v>
      </c>
      <c r="B196" s="97" t="s">
        <v>3364</v>
      </c>
      <c r="C196" s="97"/>
      <c r="D196" s="97"/>
      <c r="E196" s="97"/>
      <c r="F196" s="130">
        <v>1150</v>
      </c>
    </row>
    <row r="197" spans="1:6" s="119" customFormat="1" ht="14.25" customHeight="1">
      <c r="A197" s="93" t="s">
        <v>278</v>
      </c>
      <c r="B197" s="97" t="s">
        <v>3368</v>
      </c>
      <c r="C197" s="97"/>
      <c r="D197" s="97"/>
      <c r="E197" s="97"/>
      <c r="F197" s="130">
        <v>1330</v>
      </c>
    </row>
    <row r="198" spans="1:6" s="119" customFormat="1" ht="14.25" customHeight="1">
      <c r="A198" s="93" t="s">
        <v>278</v>
      </c>
      <c r="B198" s="97" t="s">
        <v>3371</v>
      </c>
      <c r="C198" s="97"/>
      <c r="D198" s="97"/>
      <c r="E198" s="97"/>
      <c r="F198" s="130">
        <v>1170</v>
      </c>
    </row>
    <row r="199" spans="1:6" s="119" customFormat="1" ht="14.25" customHeight="1">
      <c r="A199" s="93" t="s">
        <v>278</v>
      </c>
      <c r="B199" s="97" t="s">
        <v>3374</v>
      </c>
      <c r="C199" s="97"/>
      <c r="D199" s="97"/>
      <c r="E199" s="97"/>
      <c r="F199" s="130">
        <v>1120</v>
      </c>
    </row>
    <row r="200" spans="1:6" s="119" customFormat="1" ht="14.25" customHeight="1">
      <c r="A200" s="93" t="s">
        <v>278</v>
      </c>
      <c r="B200" s="97" t="s">
        <v>3377</v>
      </c>
      <c r="C200" s="97"/>
      <c r="D200" s="97"/>
      <c r="E200" s="97"/>
      <c r="F200" s="130">
        <v>1120</v>
      </c>
    </row>
    <row r="201" spans="1:6" s="119" customFormat="1" ht="14.25" customHeight="1">
      <c r="A201" s="93" t="s">
        <v>278</v>
      </c>
      <c r="B201" s="97" t="s">
        <v>3380</v>
      </c>
      <c r="C201" s="97"/>
      <c r="D201" s="97"/>
      <c r="E201" s="97"/>
      <c r="F201" s="130">
        <v>1540</v>
      </c>
    </row>
    <row r="202" spans="1:6" s="119" customFormat="1" ht="14.25" customHeight="1">
      <c r="A202" s="93" t="s">
        <v>278</v>
      </c>
      <c r="B202" s="97" t="s">
        <v>3383</v>
      </c>
      <c r="C202" s="97"/>
      <c r="D202" s="97"/>
      <c r="E202" s="97"/>
      <c r="F202" s="130">
        <v>1310</v>
      </c>
    </row>
    <row r="203" spans="1:6" s="119" customFormat="1" ht="14.25" customHeight="1">
      <c r="A203" s="93" t="s">
        <v>278</v>
      </c>
      <c r="B203" s="97" t="s">
        <v>3386</v>
      </c>
      <c r="C203" s="97"/>
      <c r="D203" s="97"/>
      <c r="E203" s="97"/>
      <c r="F203" s="130">
        <v>1310</v>
      </c>
    </row>
    <row r="204" spans="1:6" s="119" customFormat="1" ht="14.25" customHeight="1">
      <c r="A204" s="93" t="s">
        <v>278</v>
      </c>
      <c r="B204" s="97" t="s">
        <v>3388</v>
      </c>
      <c r="C204" s="97"/>
      <c r="D204" s="97"/>
      <c r="E204" s="97"/>
      <c r="F204" s="130">
        <v>1080</v>
      </c>
    </row>
    <row r="205" spans="1:6" s="119" customFormat="1" ht="14.25" customHeight="1">
      <c r="A205" s="93" t="s">
        <v>278</v>
      </c>
      <c r="B205" s="97" t="s">
        <v>3390</v>
      </c>
      <c r="C205" s="97"/>
      <c r="D205" s="97"/>
      <c r="E205" s="97"/>
      <c r="F205" s="130">
        <v>1080</v>
      </c>
    </row>
    <row r="206" spans="1:6" s="119" customFormat="1" ht="14.25" customHeight="1">
      <c r="A206" s="93" t="s">
        <v>283</v>
      </c>
      <c r="B206" s="94" t="s">
        <v>3057</v>
      </c>
      <c r="C206" s="94">
        <v>5450</v>
      </c>
      <c r="D206" s="94">
        <v>5430</v>
      </c>
      <c r="E206" s="94">
        <v>5700</v>
      </c>
      <c r="F206" s="127">
        <v>1020</v>
      </c>
    </row>
    <row r="207" spans="1:6" s="119" customFormat="1" ht="14.25" customHeight="1">
      <c r="A207" s="93" t="s">
        <v>283</v>
      </c>
      <c r="B207" s="97" t="s">
        <v>3070</v>
      </c>
      <c r="C207" s="97">
        <v>5860</v>
      </c>
      <c r="D207" s="97">
        <v>5820</v>
      </c>
      <c r="E207" s="97">
        <v>6050</v>
      </c>
      <c r="F207" s="130">
        <v>1080</v>
      </c>
    </row>
    <row r="208" spans="1:6" s="119" customFormat="1" ht="14.25" customHeight="1">
      <c r="A208" s="93" t="s">
        <v>283</v>
      </c>
      <c r="B208" s="97" t="s">
        <v>3083</v>
      </c>
      <c r="C208" s="97">
        <v>4630</v>
      </c>
      <c r="D208" s="97">
        <v>4600</v>
      </c>
      <c r="E208" s="97">
        <v>4840</v>
      </c>
      <c r="F208" s="130">
        <v>900</v>
      </c>
    </row>
    <row r="209" spans="1:6" s="119" customFormat="1" ht="14.25" customHeight="1">
      <c r="A209" s="93" t="s">
        <v>283</v>
      </c>
      <c r="B209" s="97" t="s">
        <v>3095</v>
      </c>
      <c r="C209" s="97">
        <v>5320</v>
      </c>
      <c r="D209" s="97">
        <v>5270</v>
      </c>
      <c r="E209" s="97">
        <v>5540</v>
      </c>
      <c r="F209" s="130">
        <v>980</v>
      </c>
    </row>
    <row r="210" spans="1:6" s="119" customFormat="1" ht="14.25" customHeight="1">
      <c r="A210" s="93" t="s">
        <v>283</v>
      </c>
      <c r="B210" s="97" t="s">
        <v>3107</v>
      </c>
      <c r="C210" s="97">
        <v>5760</v>
      </c>
      <c r="D210" s="97">
        <v>5710</v>
      </c>
      <c r="E210" s="97">
        <v>6010</v>
      </c>
      <c r="F210" s="130">
        <v>870</v>
      </c>
    </row>
    <row r="211" spans="1:6" s="119" customFormat="1" ht="14.25" customHeight="1">
      <c r="A211" s="93" t="s">
        <v>283</v>
      </c>
      <c r="B211" s="97" t="s">
        <v>3118</v>
      </c>
      <c r="C211" s="97">
        <v>4160</v>
      </c>
      <c r="D211" s="97">
        <v>4100</v>
      </c>
      <c r="E211" s="97">
        <v>4270</v>
      </c>
      <c r="F211" s="130">
        <v>790</v>
      </c>
    </row>
    <row r="212" spans="1:6" s="119" customFormat="1" ht="14.25" customHeight="1">
      <c r="A212" s="93" t="s">
        <v>283</v>
      </c>
      <c r="B212" s="97" t="s">
        <v>3129</v>
      </c>
      <c r="C212" s="97">
        <v>4880</v>
      </c>
      <c r="D212" s="97">
        <v>4850</v>
      </c>
      <c r="E212" s="97">
        <v>5110</v>
      </c>
      <c r="F212" s="130">
        <v>940</v>
      </c>
    </row>
    <row r="213" spans="1:6" s="119" customFormat="1" ht="14.25" customHeight="1">
      <c r="A213" s="93" t="s">
        <v>283</v>
      </c>
      <c r="B213" s="97" t="s">
        <v>3140</v>
      </c>
      <c r="C213" s="97">
        <v>4640</v>
      </c>
      <c r="D213" s="97">
        <v>4590</v>
      </c>
      <c r="E213" s="97">
        <v>4700</v>
      </c>
      <c r="F213" s="130">
        <v>1030</v>
      </c>
    </row>
    <row r="214" spans="1:6" s="119" customFormat="1" ht="14.25" customHeight="1">
      <c r="A214" s="93" t="s">
        <v>283</v>
      </c>
      <c r="B214" s="97" t="s">
        <v>3150</v>
      </c>
      <c r="C214" s="97">
        <v>4540</v>
      </c>
      <c r="D214" s="97">
        <v>4490</v>
      </c>
      <c r="E214" s="97">
        <v>4610</v>
      </c>
      <c r="F214" s="133"/>
    </row>
    <row r="215" spans="1:6" s="119" customFormat="1" ht="14.25" customHeight="1">
      <c r="A215" s="93" t="s">
        <v>283</v>
      </c>
      <c r="B215" s="97" t="s">
        <v>3160</v>
      </c>
      <c r="C215" s="97">
        <v>5280</v>
      </c>
      <c r="D215" s="97">
        <v>5250</v>
      </c>
      <c r="E215" s="97">
        <v>5520</v>
      </c>
      <c r="F215" s="130">
        <v>1000</v>
      </c>
    </row>
    <row r="216" spans="1:6" s="119" customFormat="1" ht="14.25" customHeight="1">
      <c r="A216" s="93" t="s">
        <v>283</v>
      </c>
      <c r="B216" s="97" t="s">
        <v>3170</v>
      </c>
      <c r="C216" s="97">
        <v>5100</v>
      </c>
      <c r="D216" s="97">
        <v>5050</v>
      </c>
      <c r="E216" s="97">
        <v>5300</v>
      </c>
      <c r="F216" s="130">
        <v>950</v>
      </c>
    </row>
    <row r="217" spans="1:6" s="119" customFormat="1" ht="14.25" customHeight="1">
      <c r="A217" s="93" t="s">
        <v>283</v>
      </c>
      <c r="B217" s="97" t="s">
        <v>3180</v>
      </c>
      <c r="C217" s="97">
        <v>5370</v>
      </c>
      <c r="D217" s="97">
        <v>5320</v>
      </c>
      <c r="E217" s="97">
        <v>5410</v>
      </c>
      <c r="F217" s="130">
        <v>950</v>
      </c>
    </row>
    <row r="218" spans="1:6" s="119" customFormat="1" ht="14.25" customHeight="1">
      <c r="A218" s="93" t="s">
        <v>283</v>
      </c>
      <c r="B218" s="97" t="s">
        <v>3190</v>
      </c>
      <c r="C218" s="97">
        <v>5540</v>
      </c>
      <c r="D218" s="97">
        <v>5480</v>
      </c>
      <c r="E218" s="97">
        <v>5740</v>
      </c>
      <c r="F218" s="130">
        <v>1020</v>
      </c>
    </row>
    <row r="219" spans="1:6" s="119" customFormat="1" ht="14.25" customHeight="1">
      <c r="A219" s="93" t="s">
        <v>283</v>
      </c>
      <c r="B219" s="97" t="s">
        <v>3200</v>
      </c>
      <c r="C219" s="97">
        <v>5140</v>
      </c>
      <c r="D219" s="97">
        <v>5100</v>
      </c>
      <c r="E219" s="97">
        <v>5350</v>
      </c>
      <c r="F219" s="130">
        <v>1120</v>
      </c>
    </row>
    <row r="220" spans="1:6" s="119" customFormat="1" ht="14.25" customHeight="1">
      <c r="A220" s="93" t="s">
        <v>283</v>
      </c>
      <c r="B220" s="97" t="s">
        <v>3210</v>
      </c>
      <c r="C220" s="97">
        <v>5040</v>
      </c>
      <c r="D220" s="97">
        <v>5000</v>
      </c>
      <c r="E220" s="97">
        <v>5240</v>
      </c>
      <c r="F220" s="130">
        <v>980</v>
      </c>
    </row>
    <row r="221" spans="1:6" s="119" customFormat="1" ht="14.25" customHeight="1">
      <c r="A221" s="93" t="s">
        <v>283</v>
      </c>
      <c r="B221" s="97" t="s">
        <v>3220</v>
      </c>
      <c r="C221" s="136"/>
      <c r="D221" s="136"/>
      <c r="E221" s="136"/>
      <c r="F221" s="130">
        <v>1070</v>
      </c>
    </row>
    <row r="222" spans="1:6" s="119" customFormat="1" ht="14.25" customHeight="1">
      <c r="A222" s="93" t="s">
        <v>283</v>
      </c>
      <c r="B222" s="97" t="s">
        <v>3230</v>
      </c>
      <c r="C222" s="136"/>
      <c r="D222" s="136"/>
      <c r="E222" s="136"/>
      <c r="F222" s="130">
        <v>870</v>
      </c>
    </row>
    <row r="223" spans="1:6" s="119" customFormat="1" ht="14.25" customHeight="1">
      <c r="A223" s="93" t="s">
        <v>283</v>
      </c>
      <c r="B223" s="97" t="s">
        <v>3240</v>
      </c>
      <c r="C223" s="136"/>
      <c r="D223" s="136"/>
      <c r="E223" s="136"/>
      <c r="F223" s="130">
        <v>940</v>
      </c>
    </row>
    <row r="224" spans="1:6" s="119" customFormat="1" ht="14.25" customHeight="1">
      <c r="A224" s="93" t="s">
        <v>283</v>
      </c>
      <c r="B224" s="97" t="s">
        <v>3250</v>
      </c>
      <c r="C224" s="136"/>
      <c r="D224" s="136"/>
      <c r="E224" s="136"/>
      <c r="F224" s="130">
        <v>990</v>
      </c>
    </row>
    <row r="225" spans="1:6" s="119" customFormat="1" ht="14.25" customHeight="1">
      <c r="A225" s="93" t="s">
        <v>283</v>
      </c>
      <c r="B225" s="97" t="s">
        <v>3259</v>
      </c>
      <c r="C225" s="97">
        <v>5730</v>
      </c>
      <c r="D225" s="97">
        <v>5680</v>
      </c>
      <c r="E225" s="97">
        <v>6020</v>
      </c>
      <c r="F225" s="130">
        <v>1000</v>
      </c>
    </row>
    <row r="226" spans="1:6" s="119" customFormat="1" ht="14.25" customHeight="1">
      <c r="A226" s="93" t="s">
        <v>283</v>
      </c>
      <c r="B226" s="97" t="s">
        <v>3267</v>
      </c>
      <c r="C226" s="97">
        <v>4970</v>
      </c>
      <c r="D226" s="97">
        <v>4940</v>
      </c>
      <c r="E226" s="97">
        <v>5180</v>
      </c>
      <c r="F226" s="130">
        <v>960</v>
      </c>
    </row>
    <row r="227" spans="1:6" s="119" customFormat="1" ht="14.25" customHeight="1">
      <c r="A227" s="93" t="s">
        <v>283</v>
      </c>
      <c r="B227" s="97" t="s">
        <v>3275</v>
      </c>
      <c r="C227" s="97">
        <v>5550</v>
      </c>
      <c r="D227" s="97">
        <v>5500</v>
      </c>
      <c r="E227" s="97">
        <v>5780</v>
      </c>
      <c r="F227" s="130">
        <v>940</v>
      </c>
    </row>
    <row r="228" spans="1:6" s="119" customFormat="1" ht="14.25" customHeight="1">
      <c r="A228" s="93" t="s">
        <v>283</v>
      </c>
      <c r="B228" s="97" t="s">
        <v>3282</v>
      </c>
      <c r="C228" s="97">
        <v>5460</v>
      </c>
      <c r="D228" s="97">
        <v>5420</v>
      </c>
      <c r="E228" s="97">
        <v>5690</v>
      </c>
      <c r="F228" s="130">
        <v>910</v>
      </c>
    </row>
    <row r="229" spans="1:6" s="119" customFormat="1" ht="14.25" customHeight="1">
      <c r="A229" s="93" t="s">
        <v>283</v>
      </c>
      <c r="B229" s="97" t="s">
        <v>3289</v>
      </c>
      <c r="C229" s="97">
        <v>5310</v>
      </c>
      <c r="D229" s="97">
        <v>5270</v>
      </c>
      <c r="E229" s="97">
        <v>5510</v>
      </c>
      <c r="F229" s="133"/>
    </row>
    <row r="230" spans="1:6" s="119" customFormat="1" ht="14.25" customHeight="1">
      <c r="A230" s="93" t="s">
        <v>283</v>
      </c>
      <c r="B230" s="97" t="s">
        <v>3296</v>
      </c>
      <c r="C230" s="97">
        <v>4540</v>
      </c>
      <c r="D230" s="97">
        <v>4500</v>
      </c>
      <c r="E230" s="97">
        <v>4730</v>
      </c>
      <c r="F230" s="133"/>
    </row>
    <row r="231" spans="1:6" s="119" customFormat="1" ht="14.25" customHeight="1">
      <c r="A231" s="93" t="s">
        <v>283</v>
      </c>
      <c r="B231" s="97" t="s">
        <v>3303</v>
      </c>
      <c r="C231" s="97">
        <v>4480</v>
      </c>
      <c r="D231" s="97">
        <v>4410</v>
      </c>
      <c r="E231" s="97">
        <v>4640</v>
      </c>
      <c r="F231" s="133"/>
    </row>
    <row r="232" spans="1:6" s="119" customFormat="1" ht="14.25" customHeight="1">
      <c r="A232" s="93" t="s">
        <v>283</v>
      </c>
      <c r="B232" s="97" t="s">
        <v>3310</v>
      </c>
      <c r="C232" s="97">
        <v>5670</v>
      </c>
      <c r="D232" s="97">
        <v>5600</v>
      </c>
      <c r="E232" s="97">
        <v>5890</v>
      </c>
      <c r="F232" s="130">
        <v>1150</v>
      </c>
    </row>
    <row r="233" spans="1:6" s="119" customFormat="1" ht="14.25" customHeight="1">
      <c r="A233" s="93" t="s">
        <v>283</v>
      </c>
      <c r="B233" s="97" t="s">
        <v>3315</v>
      </c>
      <c r="C233" s="97">
        <v>4590</v>
      </c>
      <c r="D233" s="97">
        <v>4500</v>
      </c>
      <c r="E233" s="97">
        <v>4600</v>
      </c>
      <c r="F233" s="133"/>
    </row>
    <row r="234" spans="1:6" s="119" customFormat="1" ht="14.25" customHeight="1">
      <c r="A234" s="93" t="s">
        <v>283</v>
      </c>
      <c r="B234" s="97" t="s">
        <v>3320</v>
      </c>
      <c r="C234" s="97">
        <v>3990</v>
      </c>
      <c r="D234" s="97">
        <v>3950</v>
      </c>
      <c r="E234" s="97">
        <v>4180</v>
      </c>
      <c r="F234" s="133"/>
    </row>
    <row r="235" spans="1:6" s="119" customFormat="1" ht="14.25" customHeight="1">
      <c r="A235" s="93" t="s">
        <v>283</v>
      </c>
      <c r="B235" s="97" t="s">
        <v>3325</v>
      </c>
      <c r="C235" s="97">
        <v>5590</v>
      </c>
      <c r="D235" s="97">
        <v>5540</v>
      </c>
      <c r="E235" s="97">
        <v>5810</v>
      </c>
      <c r="F235" s="130">
        <v>970</v>
      </c>
    </row>
    <row r="236" spans="1:6" s="119" customFormat="1" ht="14.25" customHeight="1">
      <c r="A236" s="93" t="s">
        <v>283</v>
      </c>
      <c r="B236" s="97" t="s">
        <v>3330</v>
      </c>
      <c r="C236" s="97"/>
      <c r="D236" s="97"/>
      <c r="E236" s="97"/>
      <c r="F236" s="130">
        <v>1020</v>
      </c>
    </row>
    <row r="237" spans="1:6" s="119" customFormat="1" ht="14.25" customHeight="1">
      <c r="A237" s="93" t="s">
        <v>283</v>
      </c>
      <c r="B237" s="97" t="s">
        <v>3335</v>
      </c>
      <c r="C237" s="97"/>
      <c r="D237" s="97"/>
      <c r="E237" s="97"/>
      <c r="F237" s="130">
        <v>960</v>
      </c>
    </row>
    <row r="238" spans="1:6" s="119" customFormat="1" ht="14.25" customHeight="1">
      <c r="A238" s="93" t="s">
        <v>283</v>
      </c>
      <c r="B238" s="97" t="s">
        <v>3340</v>
      </c>
      <c r="C238" s="97"/>
      <c r="D238" s="97"/>
      <c r="E238" s="97"/>
      <c r="F238" s="130">
        <v>960</v>
      </c>
    </row>
    <row r="239" spans="1:6" s="119" customFormat="1" ht="14.25" customHeight="1">
      <c r="A239" s="93" t="s">
        <v>283</v>
      </c>
      <c r="B239" s="97" t="s">
        <v>3345</v>
      </c>
      <c r="C239" s="97"/>
      <c r="D239" s="97"/>
      <c r="E239" s="97"/>
      <c r="F239" s="130">
        <v>960</v>
      </c>
    </row>
    <row r="240" spans="1:6" s="119" customFormat="1" ht="14.25" customHeight="1">
      <c r="A240" s="93" t="s">
        <v>283</v>
      </c>
      <c r="B240" s="97" t="s">
        <v>3349</v>
      </c>
      <c r="C240" s="97"/>
      <c r="D240" s="97"/>
      <c r="E240" s="97"/>
      <c r="F240" s="130">
        <v>990</v>
      </c>
    </row>
    <row r="241" spans="1:6" s="119" customFormat="1" ht="14.25" customHeight="1">
      <c r="A241" s="93" t="s">
        <v>283</v>
      </c>
      <c r="B241" s="97" t="s">
        <v>3353</v>
      </c>
      <c r="C241" s="97"/>
      <c r="D241" s="97"/>
      <c r="E241" s="97"/>
      <c r="F241" s="130">
        <v>1000</v>
      </c>
    </row>
    <row r="242" spans="1:6" s="119" customFormat="1" ht="14.25" customHeight="1">
      <c r="A242" s="93" t="s">
        <v>283</v>
      </c>
      <c r="B242" s="97" t="s">
        <v>3357</v>
      </c>
      <c r="C242" s="97"/>
      <c r="D242" s="97"/>
      <c r="E242" s="97"/>
      <c r="F242" s="130">
        <v>980</v>
      </c>
    </row>
    <row r="243" spans="1:6" s="119" customFormat="1" ht="14.25" customHeight="1">
      <c r="A243" s="93" t="s">
        <v>283</v>
      </c>
      <c r="B243" s="97" t="s">
        <v>3361</v>
      </c>
      <c r="C243" s="97"/>
      <c r="D243" s="97"/>
      <c r="E243" s="97"/>
      <c r="F243" s="130">
        <v>970</v>
      </c>
    </row>
    <row r="244" spans="1:6" s="119" customFormat="1" ht="14.25" customHeight="1">
      <c r="A244" s="93" t="s">
        <v>283</v>
      </c>
      <c r="B244" s="108" t="s">
        <v>3365</v>
      </c>
      <c r="C244" s="108"/>
      <c r="D244" s="108"/>
      <c r="E244" s="108"/>
      <c r="F244" s="132">
        <v>970</v>
      </c>
    </row>
    <row r="245" spans="1:6" s="119" customFormat="1" ht="14.25" customHeight="1">
      <c r="A245" s="93" t="s">
        <v>286</v>
      </c>
      <c r="B245" s="94" t="s">
        <v>3058</v>
      </c>
      <c r="C245" s="94">
        <v>4050</v>
      </c>
      <c r="D245" s="94">
        <v>4020</v>
      </c>
      <c r="E245" s="94">
        <v>4160</v>
      </c>
      <c r="F245" s="127">
        <v>840</v>
      </c>
    </row>
    <row r="246" spans="1:6" s="119" customFormat="1" ht="14.25" customHeight="1">
      <c r="A246" s="93" t="s">
        <v>286</v>
      </c>
      <c r="B246" s="97" t="s">
        <v>3071</v>
      </c>
      <c r="C246" s="97">
        <v>4010</v>
      </c>
      <c r="D246" s="97">
        <v>3960</v>
      </c>
      <c r="E246" s="97">
        <v>4130</v>
      </c>
      <c r="F246" s="130">
        <v>840</v>
      </c>
    </row>
    <row r="247" spans="1:6" s="119" customFormat="1" ht="14.25" customHeight="1">
      <c r="A247" s="93" t="s">
        <v>286</v>
      </c>
      <c r="B247" s="97" t="s">
        <v>3084</v>
      </c>
      <c r="C247" s="97">
        <v>3170</v>
      </c>
      <c r="D247" s="97">
        <v>3140</v>
      </c>
      <c r="E247" s="97">
        <v>3270</v>
      </c>
      <c r="F247" s="130">
        <v>640</v>
      </c>
    </row>
    <row r="248" spans="1:6" s="119" customFormat="1" ht="14.25" customHeight="1">
      <c r="A248" s="93" t="s">
        <v>286</v>
      </c>
      <c r="B248" s="97" t="s">
        <v>3096</v>
      </c>
      <c r="C248" s="97">
        <v>3140</v>
      </c>
      <c r="D248" s="97">
        <v>3120</v>
      </c>
      <c r="E248" s="97">
        <v>3240</v>
      </c>
      <c r="F248" s="130">
        <v>620</v>
      </c>
    </row>
    <row r="249" spans="1:6" s="119" customFormat="1" ht="14.25" customHeight="1">
      <c r="A249" s="93" t="s">
        <v>286</v>
      </c>
      <c r="B249" s="97" t="s">
        <v>3108</v>
      </c>
      <c r="C249" s="97">
        <v>3200</v>
      </c>
      <c r="D249" s="97">
        <v>3100</v>
      </c>
      <c r="E249" s="97">
        <v>3230</v>
      </c>
      <c r="F249" s="130">
        <v>750</v>
      </c>
    </row>
    <row r="250" spans="1:6" s="119" customFormat="1" ht="14.25" customHeight="1">
      <c r="A250" s="93" t="s">
        <v>286</v>
      </c>
      <c r="B250" s="97" t="s">
        <v>3119</v>
      </c>
      <c r="C250" s="97">
        <v>4060</v>
      </c>
      <c r="D250" s="97">
        <v>4000</v>
      </c>
      <c r="E250" s="97">
        <v>4140</v>
      </c>
      <c r="F250" s="130">
        <v>790</v>
      </c>
    </row>
    <row r="251" spans="1:6" s="119" customFormat="1" ht="14.25" customHeight="1">
      <c r="A251" s="93" t="s">
        <v>286</v>
      </c>
      <c r="B251" s="97" t="s">
        <v>3130</v>
      </c>
      <c r="C251" s="97">
        <v>3990</v>
      </c>
      <c r="D251" s="97">
        <v>3970</v>
      </c>
      <c r="E251" s="97">
        <v>4110</v>
      </c>
      <c r="F251" s="130">
        <v>730</v>
      </c>
    </row>
    <row r="252" spans="1:6" s="119" customFormat="1" ht="14.25" customHeight="1">
      <c r="A252" s="93" t="s">
        <v>286</v>
      </c>
      <c r="B252" s="97" t="s">
        <v>3141</v>
      </c>
      <c r="C252" s="97">
        <v>3560</v>
      </c>
      <c r="D252" s="97">
        <v>3530</v>
      </c>
      <c r="E252" s="97">
        <v>3650</v>
      </c>
      <c r="F252" s="130">
        <v>750</v>
      </c>
    </row>
    <row r="253" spans="1:6" s="119" customFormat="1" ht="14.25" customHeight="1">
      <c r="A253" s="93" t="s">
        <v>286</v>
      </c>
      <c r="B253" s="97" t="s">
        <v>3151</v>
      </c>
      <c r="C253" s="97">
        <v>3780</v>
      </c>
      <c r="D253" s="97">
        <v>3750</v>
      </c>
      <c r="E253" s="97">
        <v>3870</v>
      </c>
      <c r="F253" s="130">
        <v>770</v>
      </c>
    </row>
    <row r="254" spans="1:6" s="119" customFormat="1" ht="14.25" customHeight="1">
      <c r="A254" s="93" t="s">
        <v>286</v>
      </c>
      <c r="B254" s="97" t="s">
        <v>3161</v>
      </c>
      <c r="C254" s="136"/>
      <c r="D254" s="136"/>
      <c r="E254" s="136"/>
      <c r="F254" s="130">
        <v>740</v>
      </c>
    </row>
    <row r="255" spans="1:6" s="119" customFormat="1" ht="14.25" customHeight="1">
      <c r="A255" s="93" t="s">
        <v>286</v>
      </c>
      <c r="B255" s="97" t="s">
        <v>3171</v>
      </c>
      <c r="C255" s="136"/>
      <c r="D255" s="136"/>
      <c r="E255" s="136"/>
      <c r="F255" s="130">
        <v>760</v>
      </c>
    </row>
    <row r="256" spans="1:6" s="119" customFormat="1" ht="14.25" customHeight="1">
      <c r="A256" s="93" t="s">
        <v>286</v>
      </c>
      <c r="B256" s="97" t="s">
        <v>3181</v>
      </c>
      <c r="C256" s="97">
        <v>3760</v>
      </c>
      <c r="D256" s="97">
        <v>3730</v>
      </c>
      <c r="E256" s="97">
        <v>3870</v>
      </c>
      <c r="F256" s="130">
        <v>830</v>
      </c>
    </row>
    <row r="257" spans="1:6" s="119" customFormat="1" ht="14.25" customHeight="1">
      <c r="A257" s="93" t="s">
        <v>286</v>
      </c>
      <c r="B257" s="97" t="s">
        <v>3191</v>
      </c>
      <c r="C257" s="97">
        <v>3570</v>
      </c>
      <c r="D257" s="97">
        <v>3540</v>
      </c>
      <c r="E257" s="97">
        <v>3650</v>
      </c>
      <c r="F257" s="130">
        <v>790</v>
      </c>
    </row>
    <row r="258" spans="1:6" s="119" customFormat="1" ht="14.25" customHeight="1">
      <c r="A258" s="93" t="s">
        <v>286</v>
      </c>
      <c r="B258" s="97" t="s">
        <v>3201</v>
      </c>
      <c r="C258" s="97">
        <v>3410</v>
      </c>
      <c r="D258" s="97">
        <v>3380</v>
      </c>
      <c r="E258" s="97">
        <v>3500</v>
      </c>
      <c r="F258" s="130">
        <v>830</v>
      </c>
    </row>
    <row r="259" spans="1:6" s="119" customFormat="1" ht="14.25" customHeight="1">
      <c r="A259" s="93" t="s">
        <v>286</v>
      </c>
      <c r="B259" s="97" t="s">
        <v>3211</v>
      </c>
      <c r="C259" s="97">
        <v>3870</v>
      </c>
      <c r="D259" s="97">
        <v>3840</v>
      </c>
      <c r="E259" s="97">
        <v>3970</v>
      </c>
      <c r="F259" s="130">
        <v>830</v>
      </c>
    </row>
    <row r="260" spans="1:6" s="119" customFormat="1" ht="14.25" customHeight="1">
      <c r="A260" s="93" t="s">
        <v>286</v>
      </c>
      <c r="B260" s="97" t="s">
        <v>3221</v>
      </c>
      <c r="C260" s="97">
        <v>3700</v>
      </c>
      <c r="D260" s="97">
        <v>3660</v>
      </c>
      <c r="E260" s="97">
        <v>3810</v>
      </c>
      <c r="F260" s="130">
        <v>790</v>
      </c>
    </row>
    <row r="261" spans="1:6" s="119" customFormat="1" ht="14.25" customHeight="1">
      <c r="A261" s="93" t="s">
        <v>286</v>
      </c>
      <c r="B261" s="97" t="s">
        <v>3231</v>
      </c>
      <c r="C261" s="97">
        <v>3470</v>
      </c>
      <c r="D261" s="97">
        <v>3430</v>
      </c>
      <c r="E261" s="97">
        <v>3640</v>
      </c>
      <c r="F261" s="130">
        <v>760</v>
      </c>
    </row>
    <row r="262" spans="1:6" s="119" customFormat="1" ht="14.25" customHeight="1">
      <c r="A262" s="93" t="s">
        <v>286</v>
      </c>
      <c r="B262" s="97" t="s">
        <v>3241</v>
      </c>
      <c r="C262" s="97">
        <v>3510</v>
      </c>
      <c r="D262" s="97">
        <v>3470</v>
      </c>
      <c r="E262" s="97">
        <v>3680</v>
      </c>
      <c r="F262" s="133"/>
    </row>
    <row r="263" spans="1:6" s="119" customFormat="1" ht="14.25" customHeight="1">
      <c r="A263" s="93" t="s">
        <v>286</v>
      </c>
      <c r="B263" s="97" t="s">
        <v>3251</v>
      </c>
      <c r="C263" s="97">
        <v>3960</v>
      </c>
      <c r="D263" s="97">
        <v>3930</v>
      </c>
      <c r="E263" s="97">
        <v>4070</v>
      </c>
      <c r="F263" s="130">
        <v>830</v>
      </c>
    </row>
    <row r="264" spans="1:6" s="119" customFormat="1" ht="14.25" customHeight="1">
      <c r="A264" s="93" t="s">
        <v>286</v>
      </c>
      <c r="B264" s="97" t="s">
        <v>3260</v>
      </c>
      <c r="C264" s="97">
        <v>4010</v>
      </c>
      <c r="D264" s="97">
        <v>3980</v>
      </c>
      <c r="E264" s="97">
        <v>4150</v>
      </c>
      <c r="F264" s="130">
        <v>760</v>
      </c>
    </row>
    <row r="265" spans="1:6" s="119" customFormat="1" ht="14.25" customHeight="1">
      <c r="A265" s="93" t="s">
        <v>286</v>
      </c>
      <c r="B265" s="97" t="s">
        <v>3268</v>
      </c>
      <c r="C265" s="97">
        <v>3910</v>
      </c>
      <c r="D265" s="97">
        <v>3890</v>
      </c>
      <c r="E265" s="97">
        <v>4040</v>
      </c>
      <c r="F265" s="130">
        <v>780</v>
      </c>
    </row>
    <row r="266" spans="1:6" s="119" customFormat="1" ht="14.25" customHeight="1">
      <c r="A266" s="93" t="s">
        <v>286</v>
      </c>
      <c r="B266" s="97" t="s">
        <v>3276</v>
      </c>
      <c r="C266" s="97">
        <v>3930</v>
      </c>
      <c r="D266" s="97">
        <v>3900</v>
      </c>
      <c r="E266" s="97">
        <v>4080</v>
      </c>
      <c r="F266" s="130">
        <v>770</v>
      </c>
    </row>
    <row r="267" spans="1:6" s="119" customFormat="1" ht="14.25" customHeight="1">
      <c r="A267" s="93" t="s">
        <v>286</v>
      </c>
      <c r="B267" s="97" t="s">
        <v>3283</v>
      </c>
      <c r="C267" s="97">
        <v>3800</v>
      </c>
      <c r="D267" s="97">
        <v>3780</v>
      </c>
      <c r="E267" s="97">
        <v>3930</v>
      </c>
      <c r="F267" s="133"/>
    </row>
    <row r="268" spans="1:6" s="119" customFormat="1" ht="14.25" customHeight="1">
      <c r="A268" s="93" t="s">
        <v>286</v>
      </c>
      <c r="B268" s="97" t="s">
        <v>3290</v>
      </c>
      <c r="C268" s="97">
        <v>3460</v>
      </c>
      <c r="D268" s="97">
        <v>3430</v>
      </c>
      <c r="E268" s="97">
        <v>3560</v>
      </c>
      <c r="F268" s="130">
        <v>840</v>
      </c>
    </row>
    <row r="269" spans="1:6" s="119" customFormat="1" ht="14.25" customHeight="1">
      <c r="A269" s="93" t="s">
        <v>286</v>
      </c>
      <c r="B269" s="97" t="s">
        <v>3297</v>
      </c>
      <c r="C269" s="97">
        <v>3210</v>
      </c>
      <c r="D269" s="97">
        <v>3190</v>
      </c>
      <c r="E269" s="97">
        <v>3310</v>
      </c>
      <c r="F269" s="130">
        <v>730</v>
      </c>
    </row>
    <row r="270" spans="1:6" s="119" customFormat="1" ht="14.25" customHeight="1">
      <c r="A270" s="93" t="s">
        <v>286</v>
      </c>
      <c r="B270" s="97" t="s">
        <v>3304</v>
      </c>
      <c r="C270" s="97">
        <v>3240</v>
      </c>
      <c r="D270" s="97">
        <v>3210</v>
      </c>
      <c r="E270" s="97">
        <v>3390</v>
      </c>
      <c r="F270" s="130">
        <v>820</v>
      </c>
    </row>
    <row r="271" spans="1:6" s="119" customFormat="1" ht="14.25" customHeight="1">
      <c r="A271" s="93" t="s">
        <v>286</v>
      </c>
      <c r="B271" s="97" t="s">
        <v>3311</v>
      </c>
      <c r="C271" s="97">
        <v>3300</v>
      </c>
      <c r="D271" s="97">
        <v>3270</v>
      </c>
      <c r="E271" s="97">
        <v>3380</v>
      </c>
      <c r="F271" s="130">
        <v>750</v>
      </c>
    </row>
    <row r="272" spans="1:6" s="119" customFormat="1" ht="14.25" customHeight="1">
      <c r="A272" s="93" t="s">
        <v>286</v>
      </c>
      <c r="B272" s="97" t="s">
        <v>3316</v>
      </c>
      <c r="C272" s="136"/>
      <c r="D272" s="136"/>
      <c r="E272" s="136"/>
      <c r="F272" s="130">
        <v>740</v>
      </c>
    </row>
    <row r="273" spans="1:6" s="119" customFormat="1" ht="14.25" customHeight="1">
      <c r="A273" s="93" t="s">
        <v>286</v>
      </c>
      <c r="B273" s="97" t="s">
        <v>3321</v>
      </c>
      <c r="C273" s="97">
        <v>3130</v>
      </c>
      <c r="D273" s="97">
        <v>3100</v>
      </c>
      <c r="E273" s="97">
        <v>3230</v>
      </c>
      <c r="F273" s="130">
        <v>700</v>
      </c>
    </row>
    <row r="274" spans="1:6" s="119" customFormat="1" ht="14.25" customHeight="1">
      <c r="A274" s="93" t="s">
        <v>286</v>
      </c>
      <c r="B274" s="97" t="s">
        <v>3326</v>
      </c>
      <c r="C274" s="97">
        <v>3460</v>
      </c>
      <c r="D274" s="97">
        <v>3430</v>
      </c>
      <c r="E274" s="97">
        <v>3560</v>
      </c>
      <c r="F274" s="130">
        <v>690</v>
      </c>
    </row>
    <row r="275" spans="1:6" s="119" customFormat="1" ht="14.25" customHeight="1">
      <c r="A275" s="93" t="s">
        <v>286</v>
      </c>
      <c r="B275" s="97" t="s">
        <v>3331</v>
      </c>
      <c r="C275" s="97">
        <v>4040</v>
      </c>
      <c r="D275" s="97">
        <v>4020</v>
      </c>
      <c r="E275" s="97">
        <v>4160</v>
      </c>
      <c r="F275" s="130">
        <v>820</v>
      </c>
    </row>
    <row r="276" spans="1:6" s="119" customFormat="1" ht="14.25" customHeight="1">
      <c r="A276" s="93" t="s">
        <v>286</v>
      </c>
      <c r="B276" s="97" t="s">
        <v>3336</v>
      </c>
      <c r="C276" s="97">
        <v>3270</v>
      </c>
      <c r="D276" s="97">
        <v>3240</v>
      </c>
      <c r="E276" s="97">
        <v>3350</v>
      </c>
      <c r="F276" s="130">
        <v>680</v>
      </c>
    </row>
    <row r="277" spans="1:6" s="119" customFormat="1" ht="14.25" customHeight="1">
      <c r="A277" s="93" t="s">
        <v>286</v>
      </c>
      <c r="B277" s="97" t="s">
        <v>3341</v>
      </c>
      <c r="C277" s="97">
        <v>2930</v>
      </c>
      <c r="D277" s="97">
        <v>2900</v>
      </c>
      <c r="E277" s="97">
        <v>3000</v>
      </c>
      <c r="F277" s="130">
        <v>640</v>
      </c>
    </row>
    <row r="278" spans="1:6" s="119" customFormat="1" ht="14.25" customHeight="1">
      <c r="A278" s="93" t="s">
        <v>286</v>
      </c>
      <c r="B278" s="97" t="s">
        <v>3346</v>
      </c>
      <c r="C278" s="97">
        <v>4080</v>
      </c>
      <c r="D278" s="97">
        <v>4030</v>
      </c>
      <c r="E278" s="97">
        <v>4140</v>
      </c>
      <c r="F278" s="130">
        <v>850</v>
      </c>
    </row>
    <row r="279" spans="1:6" s="119" customFormat="1" ht="14.25" customHeight="1">
      <c r="A279" s="93" t="s">
        <v>286</v>
      </c>
      <c r="B279" s="97" t="s">
        <v>3350</v>
      </c>
      <c r="C279" s="97"/>
      <c r="D279" s="97"/>
      <c r="E279" s="97"/>
      <c r="F279" s="130">
        <v>760</v>
      </c>
    </row>
    <row r="280" spans="1:6" s="119" customFormat="1" ht="14.25" customHeight="1">
      <c r="A280" s="93" t="s">
        <v>286</v>
      </c>
      <c r="B280" s="97" t="s">
        <v>3354</v>
      </c>
      <c r="C280" s="97"/>
      <c r="D280" s="97"/>
      <c r="E280" s="97"/>
      <c r="F280" s="130">
        <v>760</v>
      </c>
    </row>
    <row r="281" spans="1:6" s="119" customFormat="1" ht="14.25" customHeight="1">
      <c r="A281" s="93" t="s">
        <v>286</v>
      </c>
      <c r="B281" s="97" t="s">
        <v>3358</v>
      </c>
      <c r="C281" s="97"/>
      <c r="D281" s="97"/>
      <c r="E281" s="97"/>
      <c r="F281" s="130">
        <v>780</v>
      </c>
    </row>
    <row r="282" spans="1:6" s="119" customFormat="1" ht="14.25" customHeight="1">
      <c r="A282" s="93" t="s">
        <v>286</v>
      </c>
      <c r="B282" s="97" t="s">
        <v>3362</v>
      </c>
      <c r="C282" s="97"/>
      <c r="D282" s="97"/>
      <c r="E282" s="97"/>
      <c r="F282" s="130">
        <v>730</v>
      </c>
    </row>
    <row r="283" spans="1:6" s="119" customFormat="1" ht="14.25" customHeight="1">
      <c r="A283" s="93" t="s">
        <v>286</v>
      </c>
      <c r="B283" s="97" t="s">
        <v>3366</v>
      </c>
      <c r="C283" s="97"/>
      <c r="D283" s="97"/>
      <c r="E283" s="97"/>
      <c r="F283" s="130">
        <v>770</v>
      </c>
    </row>
    <row r="284" spans="1:6" s="119" customFormat="1" ht="14.25" customHeight="1">
      <c r="A284" s="93" t="s">
        <v>286</v>
      </c>
      <c r="B284" s="97" t="s">
        <v>3369</v>
      </c>
      <c r="C284" s="97"/>
      <c r="D284" s="97"/>
      <c r="E284" s="97"/>
      <c r="F284" s="130">
        <v>640</v>
      </c>
    </row>
    <row r="285" spans="1:6" s="119" customFormat="1" ht="14.25" customHeight="1">
      <c r="A285" s="93" t="s">
        <v>286</v>
      </c>
      <c r="B285" s="97" t="s">
        <v>3372</v>
      </c>
      <c r="C285" s="97"/>
      <c r="D285" s="97"/>
      <c r="E285" s="97"/>
      <c r="F285" s="130">
        <v>640</v>
      </c>
    </row>
    <row r="286" spans="1:6" s="119" customFormat="1" ht="14.25" customHeight="1">
      <c r="A286" s="93" t="s">
        <v>286</v>
      </c>
      <c r="B286" s="97" t="s">
        <v>3375</v>
      </c>
      <c r="C286" s="97"/>
      <c r="D286" s="97"/>
      <c r="E286" s="97"/>
      <c r="F286" s="130">
        <v>850</v>
      </c>
    </row>
    <row r="287" spans="1:6" s="119" customFormat="1" ht="14.25" customHeight="1">
      <c r="A287" s="93" t="s">
        <v>286</v>
      </c>
      <c r="B287" s="97" t="s">
        <v>3378</v>
      </c>
      <c r="C287" s="97"/>
      <c r="D287" s="97"/>
      <c r="E287" s="97"/>
      <c r="F287" s="130">
        <v>760</v>
      </c>
    </row>
    <row r="288" spans="1:6" s="119" customFormat="1" ht="14.25" customHeight="1">
      <c r="A288" s="93" t="s">
        <v>286</v>
      </c>
      <c r="B288" s="97" t="s">
        <v>3381</v>
      </c>
      <c r="C288" s="97"/>
      <c r="D288" s="97"/>
      <c r="E288" s="97"/>
      <c r="F288" s="130">
        <v>830</v>
      </c>
    </row>
    <row r="289" spans="1:6" s="119" customFormat="1" ht="14.25" customHeight="1">
      <c r="A289" s="93" t="s">
        <v>286</v>
      </c>
      <c r="B289" s="108" t="s">
        <v>3384</v>
      </c>
      <c r="C289" s="108"/>
      <c r="D289" s="108"/>
      <c r="E289" s="108"/>
      <c r="F289" s="132">
        <v>680</v>
      </c>
    </row>
    <row r="290" spans="1:6" s="119" customFormat="1" ht="14.25" customHeight="1">
      <c r="A290" s="93" t="s">
        <v>289</v>
      </c>
      <c r="B290" s="94" t="s">
        <v>3059</v>
      </c>
      <c r="C290" s="94">
        <v>2770</v>
      </c>
      <c r="D290" s="94">
        <v>2740</v>
      </c>
      <c r="E290" s="94">
        <v>2720</v>
      </c>
      <c r="F290" s="137"/>
    </row>
    <row r="291" spans="1:6" s="119" customFormat="1" ht="14.25" customHeight="1">
      <c r="A291" s="93" t="s">
        <v>289</v>
      </c>
      <c r="B291" s="97" t="s">
        <v>3072</v>
      </c>
      <c r="C291" s="97">
        <v>2670</v>
      </c>
      <c r="D291" s="97">
        <v>2640</v>
      </c>
      <c r="E291" s="97">
        <v>2620</v>
      </c>
      <c r="F291" s="133"/>
    </row>
    <row r="292" spans="1:6" s="119" customFormat="1" ht="14.25" customHeight="1">
      <c r="A292" s="93" t="s">
        <v>289</v>
      </c>
      <c r="B292" s="97" t="s">
        <v>3085</v>
      </c>
      <c r="C292" s="97">
        <v>2180</v>
      </c>
      <c r="D292" s="97">
        <v>2140</v>
      </c>
      <c r="E292" s="97">
        <v>2120</v>
      </c>
      <c r="F292" s="130">
        <v>490</v>
      </c>
    </row>
    <row r="293" spans="1:6" s="119" customFormat="1" ht="14.25" customHeight="1">
      <c r="A293" s="93" t="s">
        <v>289</v>
      </c>
      <c r="B293" s="97" t="s">
        <v>3391</v>
      </c>
      <c r="C293" s="97"/>
      <c r="D293" s="97"/>
      <c r="E293" s="97"/>
      <c r="F293" s="130">
        <v>470</v>
      </c>
    </row>
    <row r="294" spans="1:6" s="119" customFormat="1" ht="14.25" customHeight="1">
      <c r="A294" s="93" t="s">
        <v>289</v>
      </c>
      <c r="B294" s="97" t="s">
        <v>3097</v>
      </c>
      <c r="C294" s="97">
        <v>2730</v>
      </c>
      <c r="D294" s="97">
        <v>2700</v>
      </c>
      <c r="E294" s="97">
        <v>2680</v>
      </c>
      <c r="F294" s="130">
        <v>490</v>
      </c>
    </row>
    <row r="295" spans="1:6" s="119" customFormat="1" ht="14.25" customHeight="1">
      <c r="A295" s="93" t="s">
        <v>289</v>
      </c>
      <c r="B295" s="97" t="s">
        <v>3109</v>
      </c>
      <c r="C295" s="97">
        <v>2380</v>
      </c>
      <c r="D295" s="97">
        <v>2350</v>
      </c>
      <c r="E295" s="97">
        <v>2330</v>
      </c>
      <c r="F295" s="130">
        <v>530</v>
      </c>
    </row>
    <row r="296" spans="1:6" s="119" customFormat="1" ht="14.25" customHeight="1">
      <c r="A296" s="93" t="s">
        <v>289</v>
      </c>
      <c r="B296" s="97" t="s">
        <v>3120</v>
      </c>
      <c r="C296" s="97">
        <v>2650</v>
      </c>
      <c r="D296" s="97">
        <v>2620</v>
      </c>
      <c r="E296" s="97">
        <v>2590</v>
      </c>
      <c r="F296" s="130">
        <v>590</v>
      </c>
    </row>
    <row r="297" spans="1:6" s="119" customFormat="1" ht="14.25" customHeight="1">
      <c r="A297" s="93" t="s">
        <v>289</v>
      </c>
      <c r="B297" s="97" t="s">
        <v>3131</v>
      </c>
      <c r="C297" s="97">
        <v>2700</v>
      </c>
      <c r="D297" s="97">
        <v>2670</v>
      </c>
      <c r="E297" s="97">
        <v>2650</v>
      </c>
      <c r="F297" s="130">
        <v>630</v>
      </c>
    </row>
    <row r="298" spans="1:6" s="119" customFormat="1" ht="14.25" customHeight="1">
      <c r="A298" s="93" t="s">
        <v>289</v>
      </c>
      <c r="B298" s="97" t="s">
        <v>3142</v>
      </c>
      <c r="C298" s="97">
        <v>2650</v>
      </c>
      <c r="D298" s="97">
        <v>2620</v>
      </c>
      <c r="E298" s="97">
        <v>2590</v>
      </c>
      <c r="F298" s="130">
        <v>640</v>
      </c>
    </row>
    <row r="299" spans="1:6" s="119" customFormat="1" ht="14.25" customHeight="1">
      <c r="A299" s="93" t="s">
        <v>289</v>
      </c>
      <c r="B299" s="97" t="s">
        <v>3152</v>
      </c>
      <c r="C299" s="97">
        <v>2500</v>
      </c>
      <c r="D299" s="97">
        <v>2480</v>
      </c>
      <c r="E299" s="97">
        <v>2460</v>
      </c>
      <c r="F299" s="133"/>
    </row>
    <row r="300" spans="1:6" s="119" customFormat="1" ht="14.25" customHeight="1">
      <c r="A300" s="93" t="s">
        <v>289</v>
      </c>
      <c r="B300" s="97" t="s">
        <v>3162</v>
      </c>
      <c r="C300" s="97">
        <v>2760</v>
      </c>
      <c r="D300" s="97">
        <v>2730</v>
      </c>
      <c r="E300" s="97">
        <v>2700</v>
      </c>
      <c r="F300" s="130">
        <v>630</v>
      </c>
    </row>
    <row r="301" spans="1:6" s="119" customFormat="1" ht="14.25" customHeight="1">
      <c r="A301" s="93" t="s">
        <v>289</v>
      </c>
      <c r="B301" s="97" t="s">
        <v>3172</v>
      </c>
      <c r="C301" s="97">
        <v>2510</v>
      </c>
      <c r="D301" s="97">
        <v>2480</v>
      </c>
      <c r="E301" s="97">
        <v>2460</v>
      </c>
      <c r="F301" s="133"/>
    </row>
    <row r="302" spans="1:6" s="119" customFormat="1" ht="14.25" customHeight="1">
      <c r="A302" s="93" t="s">
        <v>289</v>
      </c>
      <c r="B302" s="97" t="s">
        <v>3182</v>
      </c>
      <c r="C302" s="97">
        <v>2480</v>
      </c>
      <c r="D302" s="97">
        <v>2450</v>
      </c>
      <c r="E302" s="97">
        <v>2420</v>
      </c>
      <c r="F302" s="130">
        <v>600</v>
      </c>
    </row>
    <row r="303" spans="1:6" s="119" customFormat="1" ht="14.25" customHeight="1">
      <c r="A303" s="93" t="s">
        <v>289</v>
      </c>
      <c r="B303" s="97" t="s">
        <v>3192</v>
      </c>
      <c r="C303" s="97">
        <v>2270</v>
      </c>
      <c r="D303" s="97">
        <v>2240</v>
      </c>
      <c r="E303" s="97">
        <v>2210</v>
      </c>
      <c r="F303" s="130">
        <v>540</v>
      </c>
    </row>
    <row r="304" spans="1:6" s="119" customFormat="1" ht="14.25" customHeight="1">
      <c r="A304" s="93" t="s">
        <v>289</v>
      </c>
      <c r="B304" s="97" t="s">
        <v>3202</v>
      </c>
      <c r="C304" s="97">
        <v>2310</v>
      </c>
      <c r="D304" s="97">
        <v>2290</v>
      </c>
      <c r="E304" s="97">
        <v>2270</v>
      </c>
      <c r="F304" s="133"/>
    </row>
    <row r="305" spans="1:6" s="119" customFormat="1" ht="14.25" customHeight="1">
      <c r="A305" s="93" t="s">
        <v>289</v>
      </c>
      <c r="B305" s="97" t="s">
        <v>3212</v>
      </c>
      <c r="C305" s="97">
        <v>2490</v>
      </c>
      <c r="D305" s="97">
        <v>2470</v>
      </c>
      <c r="E305" s="97">
        <v>2440</v>
      </c>
      <c r="F305" s="130">
        <v>560</v>
      </c>
    </row>
    <row r="306" spans="1:6" s="119" customFormat="1" ht="14.25" customHeight="1">
      <c r="A306" s="93" t="s">
        <v>289</v>
      </c>
      <c r="B306" s="97" t="s">
        <v>3222</v>
      </c>
      <c r="C306" s="97">
        <v>2420</v>
      </c>
      <c r="D306" s="97">
        <v>2400</v>
      </c>
      <c r="E306" s="97">
        <v>2380</v>
      </c>
      <c r="F306" s="133"/>
    </row>
    <row r="307" spans="1:6" s="119" customFormat="1" ht="14.25" customHeight="1">
      <c r="A307" s="93" t="s">
        <v>289</v>
      </c>
      <c r="B307" s="97" t="s">
        <v>3232</v>
      </c>
      <c r="C307" s="97">
        <v>2770</v>
      </c>
      <c r="D307" s="97">
        <v>2740</v>
      </c>
      <c r="E307" s="97">
        <v>2710</v>
      </c>
      <c r="F307" s="130">
        <v>650</v>
      </c>
    </row>
    <row r="308" spans="1:6" s="119" customFormat="1" ht="14.25" customHeight="1">
      <c r="A308" s="93" t="s">
        <v>289</v>
      </c>
      <c r="B308" s="97" t="s">
        <v>3242</v>
      </c>
      <c r="C308" s="97">
        <v>2610</v>
      </c>
      <c r="D308" s="97">
        <v>2580</v>
      </c>
      <c r="E308" s="97">
        <v>2550</v>
      </c>
      <c r="F308" s="130">
        <v>580</v>
      </c>
    </row>
    <row r="309" spans="1:6" s="119" customFormat="1" ht="14.25" customHeight="1">
      <c r="A309" s="93" t="s">
        <v>289</v>
      </c>
      <c r="B309" s="97" t="s">
        <v>3252</v>
      </c>
      <c r="C309" s="97">
        <v>2690</v>
      </c>
      <c r="D309" s="97">
        <v>2670</v>
      </c>
      <c r="E309" s="97">
        <v>2650</v>
      </c>
      <c r="F309" s="133"/>
    </row>
    <row r="310" spans="1:6" s="119" customFormat="1" ht="14.25" customHeight="1">
      <c r="A310" s="93" t="s">
        <v>289</v>
      </c>
      <c r="B310" s="97" t="s">
        <v>3261</v>
      </c>
      <c r="C310" s="97">
        <v>2360</v>
      </c>
      <c r="D310" s="97">
        <v>2330</v>
      </c>
      <c r="E310" s="97">
        <v>2310</v>
      </c>
      <c r="F310" s="130">
        <v>560</v>
      </c>
    </row>
    <row r="311" spans="1:6" s="119" customFormat="1" ht="14.25" customHeight="1">
      <c r="A311" s="93" t="s">
        <v>289</v>
      </c>
      <c r="B311" s="97" t="s">
        <v>3269</v>
      </c>
      <c r="C311" s="97">
        <v>1970</v>
      </c>
      <c r="D311" s="97">
        <v>1950</v>
      </c>
      <c r="E311" s="97">
        <v>1920</v>
      </c>
      <c r="F311" s="130">
        <v>470</v>
      </c>
    </row>
    <row r="312" spans="1:6" s="119" customFormat="1" ht="14.25" customHeight="1">
      <c r="A312" s="93" t="s">
        <v>289</v>
      </c>
      <c r="B312" s="97" t="s">
        <v>3277</v>
      </c>
      <c r="C312" s="97">
        <v>2230</v>
      </c>
      <c r="D312" s="97">
        <v>2200</v>
      </c>
      <c r="E312" s="97">
        <v>2170</v>
      </c>
      <c r="F312" s="130">
        <v>460</v>
      </c>
    </row>
    <row r="313" spans="1:6" s="119" customFormat="1" ht="14.25" customHeight="1">
      <c r="A313" s="93" t="s">
        <v>289</v>
      </c>
      <c r="B313" s="97" t="s">
        <v>3284</v>
      </c>
      <c r="C313" s="97">
        <v>2770</v>
      </c>
      <c r="D313" s="97">
        <v>2740</v>
      </c>
      <c r="E313" s="97">
        <v>2710</v>
      </c>
      <c r="F313" s="130">
        <v>610</v>
      </c>
    </row>
    <row r="314" spans="1:6" s="119" customFormat="1" ht="14.25" customHeight="1">
      <c r="A314" s="93" t="s">
        <v>289</v>
      </c>
      <c r="B314" s="97" t="s">
        <v>3291</v>
      </c>
      <c r="C314" s="97"/>
      <c r="D314" s="97"/>
      <c r="E314" s="97"/>
      <c r="F314" s="130">
        <v>490</v>
      </c>
    </row>
    <row r="315" spans="1:6" s="119" customFormat="1" ht="14.25" customHeight="1">
      <c r="A315" s="93" t="s">
        <v>289</v>
      </c>
      <c r="B315" s="97" t="s">
        <v>3298</v>
      </c>
      <c r="C315" s="97"/>
      <c r="D315" s="97"/>
      <c r="E315" s="97"/>
      <c r="F315" s="130">
        <v>520</v>
      </c>
    </row>
    <row r="316" spans="1:6" s="119" customFormat="1" ht="14.25" customHeight="1">
      <c r="A316" s="93" t="s">
        <v>289</v>
      </c>
      <c r="B316" s="108" t="s">
        <v>3305</v>
      </c>
      <c r="C316" s="108"/>
      <c r="D316" s="108"/>
      <c r="E316" s="108"/>
      <c r="F316" s="132">
        <v>460</v>
      </c>
    </row>
    <row r="317" spans="1:6" s="119" customFormat="1" ht="14.25" customHeight="1">
      <c r="A317" s="93" t="s">
        <v>292</v>
      </c>
      <c r="B317" s="94" t="s">
        <v>3060</v>
      </c>
      <c r="C317" s="94">
        <v>1200</v>
      </c>
      <c r="D317" s="94">
        <v>1180</v>
      </c>
      <c r="E317" s="94">
        <v>1160</v>
      </c>
      <c r="F317" s="127">
        <v>370</v>
      </c>
    </row>
    <row r="318" spans="1:6" s="119" customFormat="1" ht="14.25" customHeight="1">
      <c r="A318" s="93" t="s">
        <v>292</v>
      </c>
      <c r="B318" s="97" t="s">
        <v>3073</v>
      </c>
      <c r="C318" s="97">
        <v>1090</v>
      </c>
      <c r="D318" s="97">
        <v>1060</v>
      </c>
      <c r="E318" s="97">
        <v>1040</v>
      </c>
      <c r="F318" s="133"/>
    </row>
    <row r="319" spans="1:6" s="119" customFormat="1" ht="14.25" customHeight="1">
      <c r="A319" s="93" t="s">
        <v>292</v>
      </c>
      <c r="B319" s="97" t="s">
        <v>3086</v>
      </c>
      <c r="C319" s="97">
        <v>1520</v>
      </c>
      <c r="D319" s="97">
        <v>1470</v>
      </c>
      <c r="E319" s="97">
        <v>1440</v>
      </c>
      <c r="F319" s="130">
        <v>370</v>
      </c>
    </row>
    <row r="320" spans="1:6" s="119" customFormat="1" ht="14.25" customHeight="1">
      <c r="A320" s="93" t="s">
        <v>292</v>
      </c>
      <c r="B320" s="97" t="s">
        <v>3098</v>
      </c>
      <c r="C320" s="97">
        <v>1360</v>
      </c>
      <c r="D320" s="97">
        <v>1300</v>
      </c>
      <c r="E320" s="97">
        <v>1270</v>
      </c>
      <c r="F320" s="133"/>
    </row>
    <row r="321" spans="1:6" s="119" customFormat="1" ht="14.25" customHeight="1">
      <c r="A321" s="93" t="s">
        <v>292</v>
      </c>
      <c r="B321" s="97" t="s">
        <v>3110</v>
      </c>
      <c r="C321" s="97">
        <v>1750</v>
      </c>
      <c r="D321" s="97">
        <v>1690</v>
      </c>
      <c r="E321" s="97">
        <v>1660</v>
      </c>
      <c r="F321" s="133"/>
    </row>
    <row r="322" spans="1:6" s="119" customFormat="1" ht="14.25" customHeight="1">
      <c r="A322" s="93" t="s">
        <v>292</v>
      </c>
      <c r="B322" s="97" t="s">
        <v>3121</v>
      </c>
      <c r="C322" s="97">
        <v>1650</v>
      </c>
      <c r="D322" s="97">
        <v>1610</v>
      </c>
      <c r="E322" s="97">
        <v>1580</v>
      </c>
      <c r="F322" s="130">
        <v>500</v>
      </c>
    </row>
    <row r="323" spans="1:6" s="119" customFormat="1" ht="14.25" customHeight="1">
      <c r="A323" s="93" t="s">
        <v>292</v>
      </c>
      <c r="B323" s="97" t="s">
        <v>3132</v>
      </c>
      <c r="C323" s="97">
        <v>1780</v>
      </c>
      <c r="D323" s="97">
        <v>1740</v>
      </c>
      <c r="E323" s="97">
        <v>1720</v>
      </c>
      <c r="F323" s="133"/>
    </row>
    <row r="324" spans="1:6" s="119" customFormat="1" ht="14.25" customHeight="1">
      <c r="A324" s="93" t="s">
        <v>292</v>
      </c>
      <c r="B324" s="97" t="s">
        <v>3143</v>
      </c>
      <c r="C324" s="97">
        <v>1650</v>
      </c>
      <c r="D324" s="97">
        <v>1610</v>
      </c>
      <c r="E324" s="97">
        <v>1580</v>
      </c>
      <c r="F324" s="133"/>
    </row>
    <row r="325" spans="1:6" s="119" customFormat="1" ht="14.25" customHeight="1">
      <c r="A325" s="93" t="s">
        <v>292</v>
      </c>
      <c r="B325" s="97" t="s">
        <v>3153</v>
      </c>
      <c r="C325" s="97">
        <v>1330</v>
      </c>
      <c r="D325" s="97">
        <v>1270</v>
      </c>
      <c r="E325" s="97">
        <v>1240</v>
      </c>
      <c r="F325" s="130">
        <v>430</v>
      </c>
    </row>
    <row r="326" spans="1:6" s="119" customFormat="1" ht="14.25" customHeight="1">
      <c r="A326" s="93" t="s">
        <v>292</v>
      </c>
      <c r="B326" s="97" t="s">
        <v>3163</v>
      </c>
      <c r="C326" s="97">
        <v>1470</v>
      </c>
      <c r="D326" s="97">
        <v>1430</v>
      </c>
      <c r="E326" s="97">
        <v>1400</v>
      </c>
      <c r="F326" s="133"/>
    </row>
    <row r="327" spans="1:6" s="119" customFormat="1" ht="14.25" customHeight="1">
      <c r="A327" s="93" t="s">
        <v>292</v>
      </c>
      <c r="B327" s="97" t="s">
        <v>3173</v>
      </c>
      <c r="C327" s="97">
        <v>1420</v>
      </c>
      <c r="D327" s="97">
        <v>1380</v>
      </c>
      <c r="E327" s="97">
        <v>1360</v>
      </c>
      <c r="F327" s="130">
        <v>420</v>
      </c>
    </row>
    <row r="328" spans="1:6" s="119" customFormat="1" ht="14.25" customHeight="1">
      <c r="A328" s="93" t="s">
        <v>292</v>
      </c>
      <c r="B328" s="97" t="s">
        <v>3183</v>
      </c>
      <c r="C328" s="97">
        <v>1400</v>
      </c>
      <c r="D328" s="97">
        <v>1360</v>
      </c>
      <c r="E328" s="97">
        <v>1330</v>
      </c>
      <c r="F328" s="130">
        <v>460</v>
      </c>
    </row>
    <row r="329" spans="1:6" s="119" customFormat="1" ht="14.25" customHeight="1">
      <c r="A329" s="93" t="s">
        <v>292</v>
      </c>
      <c r="B329" s="97" t="s">
        <v>3193</v>
      </c>
      <c r="C329" s="97">
        <v>1640</v>
      </c>
      <c r="D329" s="97">
        <v>1610</v>
      </c>
      <c r="E329" s="97">
        <v>1580</v>
      </c>
      <c r="F329" s="130">
        <v>410</v>
      </c>
    </row>
    <row r="330" spans="1:6" s="119" customFormat="1" ht="14.25" customHeight="1">
      <c r="A330" s="93" t="s">
        <v>292</v>
      </c>
      <c r="B330" s="97" t="s">
        <v>3203</v>
      </c>
      <c r="C330" s="97">
        <v>1260</v>
      </c>
      <c r="D330" s="97">
        <v>1220</v>
      </c>
      <c r="E330" s="97">
        <v>1200</v>
      </c>
      <c r="F330" s="133"/>
    </row>
    <row r="331" spans="1:6" s="119" customFormat="1" ht="14.25" customHeight="1">
      <c r="A331" s="93" t="s">
        <v>292</v>
      </c>
      <c r="B331" s="97" t="s">
        <v>3213</v>
      </c>
      <c r="C331" s="97">
        <v>1620</v>
      </c>
      <c r="D331" s="97">
        <v>1560</v>
      </c>
      <c r="E331" s="97">
        <v>1530</v>
      </c>
      <c r="F331" s="130">
        <v>490</v>
      </c>
    </row>
    <row r="332" spans="1:6" s="119" customFormat="1" ht="14.25" customHeight="1">
      <c r="A332" s="93" t="s">
        <v>292</v>
      </c>
      <c r="B332" s="97" t="s">
        <v>3223</v>
      </c>
      <c r="C332" s="97">
        <v>1520</v>
      </c>
      <c r="D332" s="97">
        <v>1470</v>
      </c>
      <c r="E332" s="97">
        <v>1440</v>
      </c>
      <c r="F332" s="130">
        <v>440</v>
      </c>
    </row>
    <row r="333" spans="1:6" s="119" customFormat="1" ht="14.25" customHeight="1">
      <c r="A333" s="93" t="s">
        <v>292</v>
      </c>
      <c r="B333" s="97" t="s">
        <v>3233</v>
      </c>
      <c r="C333" s="97">
        <v>1370</v>
      </c>
      <c r="D333" s="97">
        <v>1320</v>
      </c>
      <c r="E333" s="97">
        <v>1300</v>
      </c>
      <c r="F333" s="130">
        <v>460</v>
      </c>
    </row>
    <row r="334" spans="1:6" s="119" customFormat="1" ht="14.25" customHeight="1">
      <c r="A334" s="93" t="s">
        <v>292</v>
      </c>
      <c r="B334" s="97" t="s">
        <v>3243</v>
      </c>
      <c r="C334" s="97">
        <v>1410</v>
      </c>
      <c r="D334" s="97">
        <v>1340</v>
      </c>
      <c r="E334" s="97">
        <v>1310</v>
      </c>
      <c r="F334" s="130">
        <v>410</v>
      </c>
    </row>
    <row r="335" spans="1:6" s="119" customFormat="1" ht="14.25" customHeight="1">
      <c r="A335" s="93" t="s">
        <v>292</v>
      </c>
      <c r="B335" s="97" t="s">
        <v>3253</v>
      </c>
      <c r="C335" s="97">
        <v>1260</v>
      </c>
      <c r="D335" s="97">
        <v>1220</v>
      </c>
      <c r="E335" s="97">
        <v>1200</v>
      </c>
      <c r="F335" s="133"/>
    </row>
    <row r="336" spans="1:6" s="119" customFormat="1" ht="14.25" customHeight="1">
      <c r="A336" s="93" t="s">
        <v>292</v>
      </c>
      <c r="B336" s="97" t="s">
        <v>3262</v>
      </c>
      <c r="C336" s="97">
        <v>1160</v>
      </c>
      <c r="D336" s="97">
        <v>1140</v>
      </c>
      <c r="E336" s="97">
        <v>1120</v>
      </c>
      <c r="F336" s="130">
        <v>430</v>
      </c>
    </row>
    <row r="337" spans="1:6" s="119" customFormat="1" ht="14.25" customHeight="1">
      <c r="A337" s="93" t="s">
        <v>292</v>
      </c>
      <c r="B337" s="108" t="s">
        <v>3270</v>
      </c>
      <c r="C337" s="108"/>
      <c r="D337" s="108"/>
      <c r="E337" s="108"/>
      <c r="F337" s="132">
        <v>380</v>
      </c>
    </row>
    <row r="338" spans="1:6" s="119" customFormat="1" ht="14.25" customHeight="1">
      <c r="A338" s="93" t="s">
        <v>295</v>
      </c>
      <c r="B338" s="94" t="s">
        <v>3061</v>
      </c>
      <c r="C338" s="94">
        <v>880</v>
      </c>
      <c r="D338" s="94">
        <v>850</v>
      </c>
      <c r="E338" s="94">
        <v>830</v>
      </c>
      <c r="F338" s="137"/>
    </row>
    <row r="339" spans="1:6" s="119" customFormat="1" ht="14.25" customHeight="1">
      <c r="A339" s="93" t="s">
        <v>295</v>
      </c>
      <c r="B339" s="97" t="s">
        <v>3074</v>
      </c>
      <c r="C339" s="97">
        <v>830</v>
      </c>
      <c r="D339" s="97">
        <v>800</v>
      </c>
      <c r="E339" s="97">
        <v>780</v>
      </c>
      <c r="F339" s="133"/>
    </row>
    <row r="340" spans="1:6" s="119" customFormat="1" ht="14.25" customHeight="1">
      <c r="A340" s="93" t="s">
        <v>295</v>
      </c>
      <c r="B340" s="97" t="s">
        <v>3087</v>
      </c>
      <c r="C340" s="97">
        <v>980</v>
      </c>
      <c r="D340" s="97">
        <v>950</v>
      </c>
      <c r="E340" s="97">
        <v>920</v>
      </c>
      <c r="F340" s="133"/>
    </row>
    <row r="341" spans="1:6" s="119" customFormat="1" ht="14.25" customHeight="1">
      <c r="A341" s="93" t="s">
        <v>295</v>
      </c>
      <c r="B341" s="97" t="s">
        <v>3099</v>
      </c>
      <c r="C341" s="97">
        <v>760</v>
      </c>
      <c r="D341" s="97">
        <v>720</v>
      </c>
      <c r="E341" s="97">
        <v>690</v>
      </c>
      <c r="F341" s="130">
        <v>350</v>
      </c>
    </row>
    <row r="342" spans="1:6" s="119" customFormat="1" ht="14.25" customHeight="1">
      <c r="A342" s="93" t="s">
        <v>295</v>
      </c>
      <c r="B342" s="97" t="s">
        <v>3111</v>
      </c>
      <c r="C342" s="97">
        <v>910</v>
      </c>
      <c r="D342" s="97">
        <v>870</v>
      </c>
      <c r="E342" s="97">
        <v>850</v>
      </c>
      <c r="F342" s="130">
        <v>370</v>
      </c>
    </row>
    <row r="343" spans="1:6" s="119" customFormat="1" ht="14.25" customHeight="1">
      <c r="A343" s="93" t="s">
        <v>295</v>
      </c>
      <c r="B343" s="97" t="s">
        <v>3122</v>
      </c>
      <c r="C343" s="97">
        <v>800</v>
      </c>
      <c r="D343" s="97">
        <v>760</v>
      </c>
      <c r="E343" s="97">
        <v>730</v>
      </c>
      <c r="F343" s="130">
        <v>340</v>
      </c>
    </row>
    <row r="344" spans="1:6" s="119" customFormat="1" ht="14.25" customHeight="1">
      <c r="A344" s="93" t="s">
        <v>295</v>
      </c>
      <c r="B344" s="108" t="s">
        <v>3133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623" t="s">
        <v>3392</v>
      </c>
      <c r="B1" s="3623"/>
    </row>
    <row r="2" spans="1:6">
      <c r="A2" s="89"/>
      <c r="B2" s="89"/>
    </row>
    <row r="3" spans="1:6">
      <c r="A3" s="89"/>
      <c r="B3" s="89"/>
      <c r="C3" s="90" t="s">
        <v>451</v>
      </c>
      <c r="D3" s="90" t="s">
        <v>2588</v>
      </c>
      <c r="E3" s="90" t="s">
        <v>2589</v>
      </c>
      <c r="F3" s="90" t="s">
        <v>2590</v>
      </c>
    </row>
    <row r="4" spans="1:6">
      <c r="A4" s="91" t="s">
        <v>3062</v>
      </c>
      <c r="B4" s="92" t="s">
        <v>3075</v>
      </c>
      <c r="C4" s="90"/>
      <c r="D4" s="90"/>
      <c r="E4" s="90"/>
      <c r="F4" s="90"/>
    </row>
    <row r="5" spans="1:6">
      <c r="A5" s="93" t="s">
        <v>230</v>
      </c>
      <c r="B5" s="94" t="s">
        <v>3050</v>
      </c>
      <c r="C5" s="95">
        <v>8.8999999999999996E-2</v>
      </c>
      <c r="D5" s="95">
        <v>7.3999999999999996E-2</v>
      </c>
      <c r="E5" s="95">
        <v>7.4999999999999997E-2</v>
      </c>
      <c r="F5" s="96">
        <v>0.1</v>
      </c>
    </row>
    <row r="6" spans="1:6">
      <c r="A6" s="93" t="s">
        <v>230</v>
      </c>
      <c r="B6" s="97" t="s">
        <v>3063</v>
      </c>
      <c r="C6" s="98">
        <v>0.1</v>
      </c>
      <c r="D6" s="98">
        <v>9.0999999999999998E-2</v>
      </c>
      <c r="E6" s="98">
        <v>9.0999999999999998E-2</v>
      </c>
      <c r="F6" s="99">
        <v>0.1</v>
      </c>
    </row>
    <row r="7" spans="1:6">
      <c r="A7" s="93" t="s">
        <v>230</v>
      </c>
      <c r="B7" s="100" t="s">
        <v>3077</v>
      </c>
      <c r="C7" s="98">
        <v>8.5999999999999993E-2</v>
      </c>
      <c r="D7" s="98">
        <v>9.6000000000000002E-2</v>
      </c>
      <c r="E7" s="98">
        <v>7.5999999999999998E-2</v>
      </c>
      <c r="F7" s="99">
        <v>0.1</v>
      </c>
    </row>
    <row r="8" spans="1:6">
      <c r="A8" s="93" t="s">
        <v>230</v>
      </c>
      <c r="B8" s="97" t="s">
        <v>3088</v>
      </c>
      <c r="C8" s="98">
        <v>9.9000000000000005E-2</v>
      </c>
      <c r="D8" s="98">
        <v>9.8000000000000004E-2</v>
      </c>
      <c r="E8" s="98">
        <v>9.8000000000000004E-2</v>
      </c>
      <c r="F8" s="99">
        <v>0.1</v>
      </c>
    </row>
    <row r="9" spans="1:6">
      <c r="A9" s="101" t="s">
        <v>230</v>
      </c>
      <c r="B9" s="102" t="s">
        <v>3100</v>
      </c>
      <c r="C9" s="103">
        <v>0.05</v>
      </c>
      <c r="D9" s="104"/>
      <c r="E9" s="104"/>
      <c r="F9" s="105"/>
    </row>
    <row r="10" spans="1:6">
      <c r="A10" s="93" t="s">
        <v>241</v>
      </c>
      <c r="B10" s="94" t="s">
        <v>3051</v>
      </c>
      <c r="C10" s="95">
        <v>8.8999999999999996E-2</v>
      </c>
      <c r="D10" s="95">
        <v>7.2999999999999995E-2</v>
      </c>
      <c r="E10" s="95">
        <v>8.2000000000000003E-2</v>
      </c>
      <c r="F10" s="96">
        <v>0.1</v>
      </c>
    </row>
    <row r="11" spans="1:6">
      <c r="A11" s="93" t="s">
        <v>241</v>
      </c>
      <c r="B11" s="100" t="s">
        <v>3064</v>
      </c>
      <c r="C11" s="98">
        <v>8.8999999999999996E-2</v>
      </c>
      <c r="D11" s="98">
        <v>7.2999999999999995E-2</v>
      </c>
      <c r="E11" s="98">
        <v>8.2000000000000003E-2</v>
      </c>
      <c r="F11" s="99">
        <v>0.1</v>
      </c>
    </row>
    <row r="12" spans="1:6">
      <c r="A12" s="93" t="s">
        <v>241</v>
      </c>
      <c r="B12" s="100" t="s">
        <v>3078</v>
      </c>
      <c r="C12" s="98">
        <v>6.0999999999999999E-2</v>
      </c>
      <c r="D12" s="98">
        <v>7.0999999999999994E-2</v>
      </c>
      <c r="E12" s="98">
        <v>9.6000000000000002E-2</v>
      </c>
      <c r="F12" s="99">
        <v>0.1</v>
      </c>
    </row>
    <row r="13" spans="1:6">
      <c r="A13" s="93" t="s">
        <v>241</v>
      </c>
      <c r="B13" s="100" t="s">
        <v>3089</v>
      </c>
      <c r="C13" s="98">
        <v>6.9000000000000006E-2</v>
      </c>
      <c r="D13" s="98">
        <v>6.5000000000000002E-2</v>
      </c>
      <c r="E13" s="98">
        <v>6.6000000000000003E-2</v>
      </c>
      <c r="F13" s="99">
        <v>0.1</v>
      </c>
    </row>
    <row r="14" spans="1:6">
      <c r="A14" s="93" t="s">
        <v>241</v>
      </c>
      <c r="B14" s="100" t="s">
        <v>3101</v>
      </c>
      <c r="C14" s="98">
        <v>0.1</v>
      </c>
      <c r="D14" s="98">
        <v>6.5000000000000002E-2</v>
      </c>
      <c r="E14" s="98">
        <v>7.0000000000000007E-2</v>
      </c>
      <c r="F14" s="99">
        <v>0.1</v>
      </c>
    </row>
    <row r="15" spans="1:6">
      <c r="A15" s="93" t="s">
        <v>241</v>
      </c>
      <c r="B15" s="100" t="s">
        <v>3112</v>
      </c>
      <c r="C15" s="98">
        <v>9.8000000000000004E-2</v>
      </c>
      <c r="D15" s="98">
        <v>8.8999999999999996E-2</v>
      </c>
      <c r="E15" s="98">
        <v>8.8999999999999996E-2</v>
      </c>
      <c r="F15" s="99">
        <v>0.1</v>
      </c>
    </row>
    <row r="16" spans="1:6">
      <c r="A16" s="93" t="s">
        <v>241</v>
      </c>
      <c r="B16" s="100" t="s">
        <v>3123</v>
      </c>
      <c r="C16" s="98">
        <v>7.0000000000000007E-2</v>
      </c>
      <c r="D16" s="98">
        <v>9.2999999999999999E-2</v>
      </c>
      <c r="E16" s="98">
        <v>9.6000000000000002E-2</v>
      </c>
      <c r="F16" s="99">
        <v>0.1</v>
      </c>
    </row>
    <row r="17" spans="1:6">
      <c r="A17" s="93" t="s">
        <v>241</v>
      </c>
      <c r="B17" s="100" t="s">
        <v>3134</v>
      </c>
      <c r="C17" s="98">
        <v>9.5000000000000001E-2</v>
      </c>
      <c r="D17" s="98">
        <v>0.1</v>
      </c>
      <c r="E17" s="98">
        <v>0.1</v>
      </c>
      <c r="F17" s="106"/>
    </row>
    <row r="18" spans="1:6">
      <c r="A18" s="93" t="s">
        <v>241</v>
      </c>
      <c r="B18" s="100" t="s">
        <v>3144</v>
      </c>
      <c r="C18" s="98">
        <v>7.3999999999999996E-2</v>
      </c>
      <c r="D18" s="98">
        <v>9.9000000000000005E-2</v>
      </c>
      <c r="E18" s="98">
        <v>0.1</v>
      </c>
      <c r="F18" s="106"/>
    </row>
    <row r="19" spans="1:6">
      <c r="A19" s="93" t="s">
        <v>241</v>
      </c>
      <c r="B19" s="100" t="s">
        <v>3154</v>
      </c>
      <c r="C19" s="98">
        <v>9.9000000000000005E-2</v>
      </c>
      <c r="D19" s="98">
        <v>7.5999999999999998E-2</v>
      </c>
      <c r="E19" s="98">
        <v>8.6999999999999994E-2</v>
      </c>
      <c r="F19" s="106"/>
    </row>
    <row r="20" spans="1:6">
      <c r="A20" s="93" t="s">
        <v>241</v>
      </c>
      <c r="B20" s="100" t="s">
        <v>3164</v>
      </c>
      <c r="C20" s="98">
        <v>9.8000000000000004E-2</v>
      </c>
      <c r="D20" s="98">
        <v>8.5000000000000006E-2</v>
      </c>
      <c r="E20" s="98">
        <v>8.2000000000000003E-2</v>
      </c>
      <c r="F20" s="106"/>
    </row>
    <row r="21" spans="1:6">
      <c r="A21" s="93" t="s">
        <v>241</v>
      </c>
      <c r="B21" s="100" t="s">
        <v>3174</v>
      </c>
      <c r="C21" s="98">
        <v>6.6000000000000003E-2</v>
      </c>
      <c r="D21" s="98">
        <v>6.4000000000000001E-2</v>
      </c>
      <c r="E21" s="98">
        <v>6.5000000000000002E-2</v>
      </c>
      <c r="F21" s="106"/>
    </row>
    <row r="22" spans="1:6">
      <c r="A22" s="93" t="s">
        <v>241</v>
      </c>
      <c r="B22" s="100" t="s">
        <v>3184</v>
      </c>
      <c r="C22" s="98">
        <v>0.08</v>
      </c>
      <c r="D22" s="98">
        <v>9.8000000000000004E-2</v>
      </c>
      <c r="E22" s="98">
        <v>9.8000000000000004E-2</v>
      </c>
      <c r="F22" s="106"/>
    </row>
    <row r="23" spans="1:6">
      <c r="A23" s="93" t="s">
        <v>241</v>
      </c>
      <c r="B23" s="100" t="s">
        <v>3194</v>
      </c>
      <c r="C23" s="98">
        <v>9.9000000000000005E-2</v>
      </c>
      <c r="D23" s="98">
        <v>9.8000000000000004E-2</v>
      </c>
      <c r="E23" s="98">
        <v>9.0999999999999998E-2</v>
      </c>
      <c r="F23" s="106"/>
    </row>
    <row r="24" spans="1:6">
      <c r="A24" s="93" t="s">
        <v>241</v>
      </c>
      <c r="B24" s="100" t="s">
        <v>3204</v>
      </c>
      <c r="C24" s="98">
        <v>8.8999999999999996E-2</v>
      </c>
      <c r="D24" s="98">
        <v>9.7000000000000003E-2</v>
      </c>
      <c r="E24" s="98">
        <v>7.0000000000000007E-2</v>
      </c>
      <c r="F24" s="106"/>
    </row>
    <row r="25" spans="1:6">
      <c r="A25" s="93" t="s">
        <v>241</v>
      </c>
      <c r="B25" s="100" t="s">
        <v>3214</v>
      </c>
      <c r="C25" s="98">
        <v>8.8999999999999996E-2</v>
      </c>
      <c r="D25" s="98">
        <v>0.1</v>
      </c>
      <c r="E25" s="98">
        <v>8.1000000000000003E-2</v>
      </c>
      <c r="F25" s="106"/>
    </row>
    <row r="26" spans="1:6">
      <c r="A26" s="93" t="s">
        <v>241</v>
      </c>
      <c r="B26" s="100" t="s">
        <v>3224</v>
      </c>
      <c r="C26" s="107"/>
      <c r="D26" s="98">
        <v>9.6000000000000002E-2</v>
      </c>
      <c r="E26" s="98">
        <v>9.2999999999999999E-2</v>
      </c>
      <c r="F26" s="106"/>
    </row>
    <row r="27" spans="1:6">
      <c r="A27" s="93" t="s">
        <v>241</v>
      </c>
      <c r="B27" s="100" t="s">
        <v>3234</v>
      </c>
      <c r="C27" s="107"/>
      <c r="D27" s="98">
        <v>7.5999999999999998E-2</v>
      </c>
      <c r="E27" s="98">
        <v>9.1999999999999998E-2</v>
      </c>
      <c r="F27" s="106"/>
    </row>
    <row r="28" spans="1:6">
      <c r="A28" s="101" t="s">
        <v>241</v>
      </c>
      <c r="B28" s="102" t="s">
        <v>3244</v>
      </c>
      <c r="C28" s="104"/>
      <c r="D28" s="103">
        <v>7.5999999999999998E-2</v>
      </c>
      <c r="E28" s="103">
        <v>9.1999999999999998E-2</v>
      </c>
      <c r="F28" s="105"/>
    </row>
    <row r="29" spans="1:6">
      <c r="A29" s="93" t="s">
        <v>251</v>
      </c>
      <c r="B29" s="94" t="s">
        <v>3052</v>
      </c>
      <c r="C29" s="95">
        <v>6.4000000000000001E-2</v>
      </c>
      <c r="D29" s="95">
        <v>6.5000000000000002E-2</v>
      </c>
      <c r="E29" s="95">
        <v>6.9000000000000006E-2</v>
      </c>
      <c r="F29" s="96">
        <v>0.1</v>
      </c>
    </row>
    <row r="30" spans="1:6">
      <c r="A30" s="93" t="s">
        <v>251</v>
      </c>
      <c r="B30" s="100" t="s">
        <v>3065</v>
      </c>
      <c r="C30" s="98">
        <v>6.4000000000000001E-2</v>
      </c>
      <c r="D30" s="98">
        <v>9.9000000000000005E-2</v>
      </c>
      <c r="E30" s="98">
        <v>0.1</v>
      </c>
      <c r="F30" s="99">
        <v>0.1</v>
      </c>
    </row>
    <row r="31" spans="1:6">
      <c r="A31" s="93" t="s">
        <v>251</v>
      </c>
      <c r="B31" s="100" t="s">
        <v>402</v>
      </c>
      <c r="C31" s="98">
        <v>0.1</v>
      </c>
      <c r="D31" s="98">
        <v>9.5000000000000001E-2</v>
      </c>
      <c r="E31" s="98">
        <v>8.8999999999999996E-2</v>
      </c>
      <c r="F31" s="99">
        <v>0.1</v>
      </c>
    </row>
    <row r="32" spans="1:6">
      <c r="A32" s="93" t="s">
        <v>251</v>
      </c>
      <c r="B32" s="100" t="s">
        <v>3090</v>
      </c>
      <c r="C32" s="98">
        <v>0.05</v>
      </c>
      <c r="D32" s="98">
        <v>0.05</v>
      </c>
      <c r="E32" s="98">
        <v>8.7999999999999995E-2</v>
      </c>
      <c r="F32" s="99">
        <v>0.1</v>
      </c>
    </row>
    <row r="33" spans="1:6">
      <c r="A33" s="93" t="s">
        <v>251</v>
      </c>
      <c r="B33" s="100" t="s">
        <v>3102</v>
      </c>
      <c r="C33" s="98">
        <v>7.4999999999999997E-2</v>
      </c>
      <c r="D33" s="98">
        <v>9.4E-2</v>
      </c>
      <c r="E33" s="98">
        <v>9.7000000000000003E-2</v>
      </c>
      <c r="F33" s="99">
        <v>0.1</v>
      </c>
    </row>
    <row r="34" spans="1:6">
      <c r="A34" s="93" t="s">
        <v>251</v>
      </c>
      <c r="B34" s="100" t="s">
        <v>3113</v>
      </c>
      <c r="C34" s="98">
        <v>9.8000000000000004E-2</v>
      </c>
      <c r="D34" s="98">
        <v>8.5999999999999993E-2</v>
      </c>
      <c r="E34" s="98">
        <v>9.7000000000000003E-2</v>
      </c>
      <c r="F34" s="99">
        <v>0.1</v>
      </c>
    </row>
    <row r="35" spans="1:6">
      <c r="A35" s="93" t="s">
        <v>251</v>
      </c>
      <c r="B35" s="100" t="s">
        <v>3124</v>
      </c>
      <c r="C35" s="98">
        <v>5.8999999999999997E-2</v>
      </c>
      <c r="D35" s="98">
        <v>6.5000000000000002E-2</v>
      </c>
      <c r="E35" s="98">
        <v>7.0000000000000007E-2</v>
      </c>
      <c r="F35" s="99">
        <v>0.1</v>
      </c>
    </row>
    <row r="36" spans="1:6">
      <c r="A36" s="93" t="s">
        <v>251</v>
      </c>
      <c r="B36" s="100" t="s">
        <v>3135</v>
      </c>
      <c r="C36" s="98">
        <v>6.3E-2</v>
      </c>
      <c r="D36" s="98">
        <v>0.1</v>
      </c>
      <c r="E36" s="98">
        <v>0.1</v>
      </c>
      <c r="F36" s="99">
        <v>0.1</v>
      </c>
    </row>
    <row r="37" spans="1:6">
      <c r="A37" s="93" t="s">
        <v>251</v>
      </c>
      <c r="B37" s="100" t="s">
        <v>3145</v>
      </c>
      <c r="C37" s="98">
        <v>7.3999999999999996E-2</v>
      </c>
      <c r="D37" s="98">
        <v>0.1</v>
      </c>
      <c r="E37" s="98">
        <v>0.1</v>
      </c>
      <c r="F37" s="99">
        <v>0.1</v>
      </c>
    </row>
    <row r="38" spans="1:6">
      <c r="A38" s="93" t="s">
        <v>251</v>
      </c>
      <c r="B38" s="100" t="s">
        <v>3155</v>
      </c>
      <c r="C38" s="98">
        <v>0.1</v>
      </c>
      <c r="D38" s="98">
        <v>9.6000000000000002E-2</v>
      </c>
      <c r="E38" s="98">
        <v>9.6000000000000002E-2</v>
      </c>
      <c r="F38" s="106"/>
    </row>
    <row r="39" spans="1:6">
      <c r="A39" s="93" t="s">
        <v>251</v>
      </c>
      <c r="B39" s="100" t="s">
        <v>3165</v>
      </c>
      <c r="C39" s="98">
        <v>0.1</v>
      </c>
      <c r="D39" s="98">
        <v>9.6000000000000002E-2</v>
      </c>
      <c r="E39" s="98">
        <v>9.6000000000000002E-2</v>
      </c>
      <c r="F39" s="106"/>
    </row>
    <row r="40" spans="1:6">
      <c r="A40" s="93" t="s">
        <v>251</v>
      </c>
      <c r="B40" s="100" t="s">
        <v>3175</v>
      </c>
      <c r="C40" s="98">
        <v>9.6000000000000002E-2</v>
      </c>
      <c r="D40" s="98">
        <v>0.1</v>
      </c>
      <c r="E40" s="98">
        <v>9.9000000000000005E-2</v>
      </c>
      <c r="F40" s="106"/>
    </row>
    <row r="41" spans="1:6">
      <c r="A41" s="93" t="s">
        <v>251</v>
      </c>
      <c r="B41" s="100" t="s">
        <v>3185</v>
      </c>
      <c r="C41" s="98">
        <v>9.6000000000000002E-2</v>
      </c>
      <c r="D41" s="98">
        <v>9.8000000000000004E-2</v>
      </c>
      <c r="E41" s="98">
        <v>9.8000000000000004E-2</v>
      </c>
      <c r="F41" s="106"/>
    </row>
    <row r="42" spans="1:6">
      <c r="A42" s="93" t="s">
        <v>251</v>
      </c>
      <c r="B42" s="100" t="s">
        <v>3195</v>
      </c>
      <c r="C42" s="98">
        <v>0.1</v>
      </c>
      <c r="D42" s="98">
        <v>8.7999999999999995E-2</v>
      </c>
      <c r="E42" s="98">
        <v>0.1</v>
      </c>
      <c r="F42" s="106"/>
    </row>
    <row r="43" spans="1:6">
      <c r="A43" s="93" t="s">
        <v>251</v>
      </c>
      <c r="B43" s="100" t="s">
        <v>3205</v>
      </c>
      <c r="C43" s="98">
        <v>9.8000000000000004E-2</v>
      </c>
      <c r="D43" s="98">
        <v>9.7000000000000003E-2</v>
      </c>
      <c r="E43" s="98">
        <v>9.6000000000000002E-2</v>
      </c>
      <c r="F43" s="106"/>
    </row>
    <row r="44" spans="1:6">
      <c r="A44" s="93" t="s">
        <v>251</v>
      </c>
      <c r="B44" s="100" t="s">
        <v>3215</v>
      </c>
      <c r="C44" s="98">
        <v>8.5999999999999993E-2</v>
      </c>
      <c r="D44" s="98">
        <v>7.9000000000000001E-2</v>
      </c>
      <c r="E44" s="98">
        <v>7.0999999999999994E-2</v>
      </c>
      <c r="F44" s="106"/>
    </row>
    <row r="45" spans="1:6">
      <c r="A45" s="93" t="s">
        <v>251</v>
      </c>
      <c r="B45" s="100" t="s">
        <v>3225</v>
      </c>
      <c r="C45" s="98">
        <v>9.8000000000000004E-2</v>
      </c>
      <c r="D45" s="98">
        <v>9.6000000000000002E-2</v>
      </c>
      <c r="E45" s="98">
        <v>9.6000000000000002E-2</v>
      </c>
      <c r="F45" s="106"/>
    </row>
    <row r="46" spans="1:6">
      <c r="A46" s="93" t="s">
        <v>251</v>
      </c>
      <c r="B46" s="100" t="s">
        <v>3235</v>
      </c>
      <c r="C46" s="98">
        <v>8.5999999999999993E-2</v>
      </c>
      <c r="D46" s="98">
        <v>9.8000000000000004E-2</v>
      </c>
      <c r="E46" s="98">
        <v>8.7999999999999995E-2</v>
      </c>
      <c r="F46" s="106"/>
    </row>
    <row r="47" spans="1:6">
      <c r="A47" s="93" t="s">
        <v>251</v>
      </c>
      <c r="B47" s="100" t="s">
        <v>3245</v>
      </c>
      <c r="C47" s="98">
        <v>9.6000000000000002E-2</v>
      </c>
      <c r="D47" s="107"/>
      <c r="E47" s="98">
        <v>6.9000000000000006E-2</v>
      </c>
      <c r="F47" s="106"/>
    </row>
    <row r="48" spans="1:6">
      <c r="A48" s="101" t="s">
        <v>251</v>
      </c>
      <c r="B48" s="102" t="s">
        <v>3254</v>
      </c>
      <c r="C48" s="103">
        <v>9.8000000000000004E-2</v>
      </c>
      <c r="D48" s="104"/>
      <c r="E48" s="103">
        <v>9.5000000000000001E-2</v>
      </c>
      <c r="F48" s="105"/>
    </row>
    <row r="49" spans="1:6">
      <c r="A49" s="93" t="s">
        <v>259</v>
      </c>
      <c r="B49" s="94" t="s">
        <v>3053</v>
      </c>
      <c r="C49" s="95">
        <v>9.7000000000000003E-2</v>
      </c>
      <c r="D49" s="95">
        <v>9.5000000000000001E-2</v>
      </c>
      <c r="E49" s="95">
        <v>9.7000000000000003E-2</v>
      </c>
      <c r="F49" s="96">
        <v>0.1</v>
      </c>
    </row>
    <row r="50" spans="1:6">
      <c r="A50" s="93" t="s">
        <v>259</v>
      </c>
      <c r="B50" s="97" t="s">
        <v>3066</v>
      </c>
      <c r="C50" s="98">
        <v>7.4999999999999997E-2</v>
      </c>
      <c r="D50" s="98">
        <v>9.5000000000000001E-2</v>
      </c>
      <c r="E50" s="98">
        <v>0.1</v>
      </c>
      <c r="F50" s="99">
        <v>0.1</v>
      </c>
    </row>
    <row r="51" spans="1:6">
      <c r="A51" s="93" t="s">
        <v>259</v>
      </c>
      <c r="B51" s="97" t="s">
        <v>3079</v>
      </c>
      <c r="C51" s="98">
        <v>9.8000000000000004E-2</v>
      </c>
      <c r="D51" s="98">
        <v>8.8999999999999996E-2</v>
      </c>
      <c r="E51" s="98">
        <v>0.1</v>
      </c>
      <c r="F51" s="99">
        <v>0.1</v>
      </c>
    </row>
    <row r="52" spans="1:6">
      <c r="A52" s="93" t="s">
        <v>259</v>
      </c>
      <c r="B52" s="97" t="s">
        <v>3091</v>
      </c>
      <c r="C52" s="98">
        <v>9.8000000000000004E-2</v>
      </c>
      <c r="D52" s="98">
        <v>9.7000000000000003E-2</v>
      </c>
      <c r="E52" s="98">
        <v>8.1000000000000003E-2</v>
      </c>
      <c r="F52" s="99">
        <v>0.1</v>
      </c>
    </row>
    <row r="53" spans="1:6">
      <c r="A53" s="93" t="s">
        <v>259</v>
      </c>
      <c r="B53" s="97" t="s">
        <v>3103</v>
      </c>
      <c r="C53" s="98">
        <v>9.7000000000000003E-2</v>
      </c>
      <c r="D53" s="98">
        <v>7.5999999999999998E-2</v>
      </c>
      <c r="E53" s="98">
        <v>7.0999999999999994E-2</v>
      </c>
      <c r="F53" s="99">
        <v>0.1</v>
      </c>
    </row>
    <row r="54" spans="1:6">
      <c r="A54" s="93" t="s">
        <v>259</v>
      </c>
      <c r="B54" s="97" t="s">
        <v>3114</v>
      </c>
      <c r="C54" s="98">
        <v>7.5999999999999998E-2</v>
      </c>
      <c r="D54" s="98">
        <v>0.1</v>
      </c>
      <c r="E54" s="98">
        <v>9.9000000000000005E-2</v>
      </c>
      <c r="F54" s="99">
        <v>0.1</v>
      </c>
    </row>
    <row r="55" spans="1:6">
      <c r="A55" s="93" t="s">
        <v>259</v>
      </c>
      <c r="B55" s="97" t="s">
        <v>3125</v>
      </c>
      <c r="C55" s="98">
        <v>0.1</v>
      </c>
      <c r="D55" s="98">
        <v>0.1</v>
      </c>
      <c r="E55" s="98">
        <v>9.6000000000000002E-2</v>
      </c>
      <c r="F55" s="99">
        <v>0.1</v>
      </c>
    </row>
    <row r="56" spans="1:6">
      <c r="A56" s="93" t="s">
        <v>259</v>
      </c>
      <c r="B56" s="97" t="s">
        <v>3136</v>
      </c>
      <c r="C56" s="98">
        <v>0.1</v>
      </c>
      <c r="D56" s="98">
        <v>9.6000000000000002E-2</v>
      </c>
      <c r="E56" s="98">
        <v>5.1999999999999998E-2</v>
      </c>
      <c r="F56" s="99">
        <v>0.1</v>
      </c>
    </row>
    <row r="57" spans="1:6">
      <c r="A57" s="93" t="s">
        <v>259</v>
      </c>
      <c r="B57" s="97" t="s">
        <v>3146</v>
      </c>
      <c r="C57" s="98">
        <v>9.7000000000000003E-2</v>
      </c>
      <c r="D57" s="98">
        <v>9.6000000000000002E-2</v>
      </c>
      <c r="E57" s="98">
        <v>9.6000000000000002E-2</v>
      </c>
      <c r="F57" s="99">
        <v>0.1</v>
      </c>
    </row>
    <row r="58" spans="1:6">
      <c r="A58" s="93" t="s">
        <v>259</v>
      </c>
      <c r="B58" s="97" t="s">
        <v>3156</v>
      </c>
      <c r="C58" s="98">
        <v>9.6000000000000002E-2</v>
      </c>
      <c r="D58" s="98">
        <v>9.9000000000000005E-2</v>
      </c>
      <c r="E58" s="98">
        <v>9.6000000000000002E-2</v>
      </c>
      <c r="F58" s="99">
        <v>0.1</v>
      </c>
    </row>
    <row r="59" spans="1:6">
      <c r="A59" s="93" t="s">
        <v>259</v>
      </c>
      <c r="B59" s="97" t="s">
        <v>3166</v>
      </c>
      <c r="C59" s="98">
        <v>7.1999999999999995E-2</v>
      </c>
      <c r="D59" s="98">
        <v>9.6000000000000002E-2</v>
      </c>
      <c r="E59" s="98">
        <v>7.0999999999999994E-2</v>
      </c>
      <c r="F59" s="99">
        <v>0.1</v>
      </c>
    </row>
    <row r="60" spans="1:6">
      <c r="A60" s="93" t="s">
        <v>259</v>
      </c>
      <c r="B60" s="97" t="s">
        <v>3176</v>
      </c>
      <c r="C60" s="98">
        <v>9.6000000000000002E-2</v>
      </c>
      <c r="D60" s="98">
        <v>8.8999999999999996E-2</v>
      </c>
      <c r="E60" s="98">
        <v>9.6000000000000002E-2</v>
      </c>
      <c r="F60" s="99">
        <v>0.1</v>
      </c>
    </row>
    <row r="61" spans="1:6">
      <c r="A61" s="93" t="s">
        <v>259</v>
      </c>
      <c r="B61" s="97" t="s">
        <v>3186</v>
      </c>
      <c r="C61" s="98">
        <v>8.8999999999999996E-2</v>
      </c>
      <c r="D61" s="98">
        <v>9.8000000000000004E-2</v>
      </c>
      <c r="E61" s="98">
        <v>8.7999999999999995E-2</v>
      </c>
      <c r="F61" s="106"/>
    </row>
    <row r="62" spans="1:6">
      <c r="A62" s="93" t="s">
        <v>259</v>
      </c>
      <c r="B62" s="97" t="s">
        <v>3196</v>
      </c>
      <c r="C62" s="98">
        <v>9.8000000000000004E-2</v>
      </c>
      <c r="D62" s="98">
        <v>9.2999999999999999E-2</v>
      </c>
      <c r="E62" s="98">
        <v>9.7000000000000003E-2</v>
      </c>
      <c r="F62" s="106"/>
    </row>
    <row r="63" spans="1:6">
      <c r="A63" s="93" t="s">
        <v>259</v>
      </c>
      <c r="B63" s="97" t="s">
        <v>3206</v>
      </c>
      <c r="C63" s="98">
        <v>9.6000000000000002E-2</v>
      </c>
      <c r="D63" s="98">
        <v>9.8000000000000004E-2</v>
      </c>
      <c r="E63" s="98">
        <v>0.09</v>
      </c>
      <c r="F63" s="106"/>
    </row>
    <row r="64" spans="1:6">
      <c r="A64" s="93" t="s">
        <v>259</v>
      </c>
      <c r="B64" s="97" t="s">
        <v>3216</v>
      </c>
      <c r="C64" s="98">
        <v>9.9000000000000005E-2</v>
      </c>
      <c r="D64" s="98">
        <v>9.7000000000000003E-2</v>
      </c>
      <c r="E64" s="98">
        <v>9.9000000000000005E-2</v>
      </c>
      <c r="F64" s="106"/>
    </row>
    <row r="65" spans="1:6">
      <c r="A65" s="93" t="s">
        <v>259</v>
      </c>
      <c r="B65" s="97" t="s">
        <v>3226</v>
      </c>
      <c r="C65" s="98">
        <v>9.8000000000000004E-2</v>
      </c>
      <c r="D65" s="98">
        <v>9.6000000000000002E-2</v>
      </c>
      <c r="E65" s="98">
        <v>9.6000000000000002E-2</v>
      </c>
      <c r="F65" s="106"/>
    </row>
    <row r="66" spans="1:6">
      <c r="A66" s="93" t="s">
        <v>259</v>
      </c>
      <c r="B66" s="97" t="s">
        <v>3236</v>
      </c>
      <c r="C66" s="98">
        <v>9.6000000000000002E-2</v>
      </c>
      <c r="D66" s="98">
        <v>9.1999999999999998E-2</v>
      </c>
      <c r="E66" s="98">
        <v>9.6000000000000002E-2</v>
      </c>
      <c r="F66" s="106"/>
    </row>
    <row r="67" spans="1:6">
      <c r="A67" s="93" t="s">
        <v>259</v>
      </c>
      <c r="B67" s="97" t="s">
        <v>3246</v>
      </c>
      <c r="C67" s="98">
        <v>9.4E-2</v>
      </c>
      <c r="D67" s="98">
        <v>0.1</v>
      </c>
      <c r="E67" s="98">
        <v>8.7999999999999995E-2</v>
      </c>
      <c r="F67" s="106"/>
    </row>
    <row r="68" spans="1:6">
      <c r="A68" s="93" t="s">
        <v>259</v>
      </c>
      <c r="B68" s="97" t="s">
        <v>3255</v>
      </c>
      <c r="C68" s="98">
        <v>0.1</v>
      </c>
      <c r="D68" s="98">
        <v>8.7999999999999995E-2</v>
      </c>
      <c r="E68" s="98">
        <v>9.7000000000000003E-2</v>
      </c>
      <c r="F68" s="106"/>
    </row>
    <row r="69" spans="1:6">
      <c r="A69" s="93" t="s">
        <v>259</v>
      </c>
      <c r="B69" s="97" t="s">
        <v>3263</v>
      </c>
      <c r="C69" s="98">
        <v>6.4000000000000001E-2</v>
      </c>
      <c r="D69" s="98">
        <v>0.1</v>
      </c>
      <c r="E69" s="98">
        <v>0.1</v>
      </c>
      <c r="F69" s="106"/>
    </row>
    <row r="70" spans="1:6">
      <c r="A70" s="93" t="s">
        <v>259</v>
      </c>
      <c r="B70" s="97" t="s">
        <v>3271</v>
      </c>
      <c r="C70" s="98">
        <v>9.0999999999999998E-2</v>
      </c>
      <c r="D70" s="107"/>
      <c r="E70" s="107"/>
      <c r="F70" s="106"/>
    </row>
    <row r="71" spans="1:6">
      <c r="A71" s="93" t="s">
        <v>259</v>
      </c>
      <c r="B71" s="97" t="s">
        <v>3278</v>
      </c>
      <c r="C71" s="98">
        <v>0.1</v>
      </c>
      <c r="D71" s="107"/>
      <c r="E71" s="107"/>
      <c r="F71" s="106"/>
    </row>
    <row r="72" spans="1:6">
      <c r="A72" s="93" t="s">
        <v>259</v>
      </c>
      <c r="B72" s="97" t="s">
        <v>3285</v>
      </c>
      <c r="C72" s="107"/>
      <c r="D72" s="107"/>
      <c r="E72" s="107"/>
      <c r="F72" s="99">
        <v>0.05</v>
      </c>
    </row>
    <row r="73" spans="1:6">
      <c r="A73" s="93" t="s">
        <v>259</v>
      </c>
      <c r="B73" s="97" t="s">
        <v>3292</v>
      </c>
      <c r="C73" s="107"/>
      <c r="D73" s="107"/>
      <c r="E73" s="107"/>
      <c r="F73" s="99">
        <v>0.05</v>
      </c>
    </row>
    <row r="74" spans="1:6">
      <c r="A74" s="93" t="s">
        <v>259</v>
      </c>
      <c r="B74" s="97" t="s">
        <v>3299</v>
      </c>
      <c r="C74" s="107"/>
      <c r="D74" s="107"/>
      <c r="E74" s="107"/>
      <c r="F74" s="99">
        <v>0.05</v>
      </c>
    </row>
    <row r="75" spans="1:6">
      <c r="A75" s="101" t="s">
        <v>259</v>
      </c>
      <c r="B75" s="108" t="s">
        <v>3306</v>
      </c>
      <c r="C75" s="104"/>
      <c r="D75" s="104"/>
      <c r="E75" s="104"/>
      <c r="F75" s="109">
        <v>0.05</v>
      </c>
    </row>
    <row r="76" spans="1:6">
      <c r="A76" s="93" t="s">
        <v>267</v>
      </c>
      <c r="B76" s="94" t="s">
        <v>3054</v>
      </c>
      <c r="C76" s="95">
        <v>0.1</v>
      </c>
      <c r="D76" s="95">
        <v>0.1</v>
      </c>
      <c r="E76" s="95">
        <v>0.1</v>
      </c>
      <c r="F76" s="96">
        <v>0.1</v>
      </c>
    </row>
    <row r="77" spans="1:6">
      <c r="A77" s="93" t="s">
        <v>267</v>
      </c>
      <c r="B77" s="97" t="s">
        <v>3067</v>
      </c>
      <c r="C77" s="98">
        <v>8.7999999999999995E-2</v>
      </c>
      <c r="D77" s="98">
        <v>8.6999999999999994E-2</v>
      </c>
      <c r="E77" s="98">
        <v>7.9000000000000001E-2</v>
      </c>
      <c r="F77" s="99">
        <v>0.1</v>
      </c>
    </row>
    <row r="78" spans="1:6">
      <c r="A78" s="93" t="s">
        <v>267</v>
      </c>
      <c r="B78" s="97" t="s">
        <v>3080</v>
      </c>
      <c r="C78" s="98">
        <v>8.6999999999999994E-2</v>
      </c>
      <c r="D78" s="98">
        <v>8.4000000000000005E-2</v>
      </c>
      <c r="E78" s="98">
        <v>9.6000000000000002E-2</v>
      </c>
      <c r="F78" s="99">
        <v>0.1</v>
      </c>
    </row>
    <row r="79" spans="1:6">
      <c r="A79" s="93" t="s">
        <v>267</v>
      </c>
      <c r="B79" s="97" t="s">
        <v>3092</v>
      </c>
      <c r="C79" s="98">
        <v>9.8000000000000004E-2</v>
      </c>
      <c r="D79" s="98">
        <v>9.8000000000000004E-2</v>
      </c>
      <c r="E79" s="98">
        <v>9.0999999999999998E-2</v>
      </c>
      <c r="F79" s="99">
        <v>0.1</v>
      </c>
    </row>
    <row r="80" spans="1:6">
      <c r="A80" s="93" t="s">
        <v>267</v>
      </c>
      <c r="B80" s="97" t="s">
        <v>3104</v>
      </c>
      <c r="C80" s="98">
        <v>9.6000000000000002E-2</v>
      </c>
      <c r="D80" s="98">
        <v>9.6000000000000002E-2</v>
      </c>
      <c r="E80" s="98">
        <v>0.1</v>
      </c>
      <c r="F80" s="99">
        <v>0.1</v>
      </c>
    </row>
    <row r="81" spans="1:6">
      <c r="A81" s="93" t="s">
        <v>267</v>
      </c>
      <c r="B81" s="97" t="s">
        <v>3115</v>
      </c>
      <c r="C81" s="98">
        <v>9.9000000000000005E-2</v>
      </c>
      <c r="D81" s="98">
        <v>9.9000000000000005E-2</v>
      </c>
      <c r="E81" s="98">
        <v>9.8000000000000004E-2</v>
      </c>
      <c r="F81" s="99">
        <v>0.1</v>
      </c>
    </row>
    <row r="82" spans="1:6">
      <c r="A82" s="93" t="s">
        <v>267</v>
      </c>
      <c r="B82" s="97" t="s">
        <v>3126</v>
      </c>
      <c r="C82" s="98">
        <v>9.9000000000000005E-2</v>
      </c>
      <c r="D82" s="98">
        <v>9.9000000000000005E-2</v>
      </c>
      <c r="E82" s="98">
        <v>9.7000000000000003E-2</v>
      </c>
      <c r="F82" s="99">
        <v>0.1</v>
      </c>
    </row>
    <row r="83" spans="1:6">
      <c r="A83" s="93" t="s">
        <v>267</v>
      </c>
      <c r="B83" s="97" t="s">
        <v>3137</v>
      </c>
      <c r="C83" s="98">
        <v>9.8000000000000004E-2</v>
      </c>
      <c r="D83" s="98">
        <v>9.8000000000000004E-2</v>
      </c>
      <c r="E83" s="98">
        <v>9.8000000000000004E-2</v>
      </c>
      <c r="F83" s="99">
        <v>0.1</v>
      </c>
    </row>
    <row r="84" spans="1:6">
      <c r="A84" s="93" t="s">
        <v>267</v>
      </c>
      <c r="B84" s="97" t="s">
        <v>3147</v>
      </c>
      <c r="C84" s="98">
        <v>9.9000000000000005E-2</v>
      </c>
      <c r="D84" s="98">
        <v>9.9000000000000005E-2</v>
      </c>
      <c r="E84" s="98">
        <v>9.9000000000000005E-2</v>
      </c>
      <c r="F84" s="99">
        <v>0.1</v>
      </c>
    </row>
    <row r="85" spans="1:6">
      <c r="A85" s="93" t="s">
        <v>267</v>
      </c>
      <c r="B85" s="97" t="s">
        <v>3157</v>
      </c>
      <c r="C85" s="98">
        <v>9.9000000000000005E-2</v>
      </c>
      <c r="D85" s="98">
        <v>9.9000000000000005E-2</v>
      </c>
      <c r="E85" s="98">
        <v>9.9000000000000005E-2</v>
      </c>
      <c r="F85" s="99">
        <v>0.1</v>
      </c>
    </row>
    <row r="86" spans="1:6">
      <c r="A86" s="93" t="s">
        <v>267</v>
      </c>
      <c r="B86" s="97" t="s">
        <v>3167</v>
      </c>
      <c r="C86" s="98">
        <v>0.1</v>
      </c>
      <c r="D86" s="98">
        <v>0.1</v>
      </c>
      <c r="E86" s="98">
        <v>7.6999999999999999E-2</v>
      </c>
      <c r="F86" s="99">
        <v>0.1</v>
      </c>
    </row>
    <row r="87" spans="1:6">
      <c r="A87" s="93" t="s">
        <v>267</v>
      </c>
      <c r="B87" s="97" t="s">
        <v>3177</v>
      </c>
      <c r="C87" s="98">
        <v>0.1</v>
      </c>
      <c r="D87" s="98">
        <v>0.1</v>
      </c>
      <c r="E87" s="98">
        <v>9.8000000000000004E-2</v>
      </c>
      <c r="F87" s="106"/>
    </row>
    <row r="88" spans="1:6">
      <c r="A88" s="93" t="s">
        <v>267</v>
      </c>
      <c r="B88" s="97" t="s">
        <v>3187</v>
      </c>
      <c r="C88" s="98">
        <v>9.1999999999999998E-2</v>
      </c>
      <c r="D88" s="98">
        <v>8.5000000000000006E-2</v>
      </c>
      <c r="E88" s="98">
        <v>9.6000000000000002E-2</v>
      </c>
      <c r="F88" s="106"/>
    </row>
    <row r="89" spans="1:6">
      <c r="A89" s="93" t="s">
        <v>267</v>
      </c>
      <c r="B89" s="97" t="s">
        <v>3197</v>
      </c>
      <c r="C89" s="98">
        <v>0.1</v>
      </c>
      <c r="D89" s="98">
        <v>0.1</v>
      </c>
      <c r="E89" s="98">
        <v>9.7000000000000003E-2</v>
      </c>
      <c r="F89" s="106"/>
    </row>
    <row r="90" spans="1:6">
      <c r="A90" s="93" t="s">
        <v>267</v>
      </c>
      <c r="B90" s="97" t="s">
        <v>3207</v>
      </c>
      <c r="C90" s="98">
        <v>9.8000000000000004E-2</v>
      </c>
      <c r="D90" s="98">
        <v>9.8000000000000004E-2</v>
      </c>
      <c r="E90" s="98">
        <v>8.7999999999999995E-2</v>
      </c>
      <c r="F90" s="106"/>
    </row>
    <row r="91" spans="1:6">
      <c r="A91" s="93" t="s">
        <v>267</v>
      </c>
      <c r="B91" s="97" t="s">
        <v>3217</v>
      </c>
      <c r="C91" s="98">
        <v>9.9000000000000005E-2</v>
      </c>
      <c r="D91" s="98">
        <v>9.9000000000000005E-2</v>
      </c>
      <c r="E91" s="98">
        <v>9.0999999999999998E-2</v>
      </c>
      <c r="F91" s="106"/>
    </row>
    <row r="92" spans="1:6">
      <c r="A92" s="93" t="s">
        <v>267</v>
      </c>
      <c r="B92" s="97" t="s">
        <v>3227</v>
      </c>
      <c r="C92" s="98">
        <v>9.6000000000000002E-2</v>
      </c>
      <c r="D92" s="98">
        <v>9.6000000000000002E-2</v>
      </c>
      <c r="E92" s="98">
        <v>7.2999999999999995E-2</v>
      </c>
      <c r="F92" s="106"/>
    </row>
    <row r="93" spans="1:6">
      <c r="A93" s="93" t="s">
        <v>267</v>
      </c>
      <c r="B93" s="97" t="s">
        <v>3237</v>
      </c>
      <c r="C93" s="98">
        <v>9.6000000000000002E-2</v>
      </c>
      <c r="D93" s="98">
        <v>9.6000000000000002E-2</v>
      </c>
      <c r="E93" s="98">
        <v>9.9000000000000005E-2</v>
      </c>
      <c r="F93" s="106"/>
    </row>
    <row r="94" spans="1:6">
      <c r="A94" s="93" t="s">
        <v>267</v>
      </c>
      <c r="B94" s="97" t="s">
        <v>3247</v>
      </c>
      <c r="C94" s="98">
        <v>7.5999999999999998E-2</v>
      </c>
      <c r="D94" s="98">
        <v>7.3999999999999996E-2</v>
      </c>
      <c r="E94" s="98">
        <v>9.7000000000000003E-2</v>
      </c>
      <c r="F94" s="106"/>
    </row>
    <row r="95" spans="1:6">
      <c r="A95" s="93" t="s">
        <v>267</v>
      </c>
      <c r="B95" s="97" t="s">
        <v>3256</v>
      </c>
      <c r="C95" s="98">
        <v>9.9000000000000005E-2</v>
      </c>
      <c r="D95" s="98">
        <v>9.4E-2</v>
      </c>
      <c r="E95" s="98">
        <v>9.6000000000000002E-2</v>
      </c>
      <c r="F95" s="106"/>
    </row>
    <row r="96" spans="1:6">
      <c r="A96" s="93" t="s">
        <v>267</v>
      </c>
      <c r="B96" s="97" t="s">
        <v>3264</v>
      </c>
      <c r="C96" s="98">
        <v>9.9000000000000005E-2</v>
      </c>
      <c r="D96" s="98">
        <v>9.9000000000000005E-2</v>
      </c>
      <c r="E96" s="98">
        <v>9.9000000000000005E-2</v>
      </c>
      <c r="F96" s="106"/>
    </row>
    <row r="97" spans="1:6">
      <c r="A97" s="93" t="s">
        <v>267</v>
      </c>
      <c r="B97" s="97" t="s">
        <v>3272</v>
      </c>
      <c r="C97" s="98">
        <v>9.8000000000000004E-2</v>
      </c>
      <c r="D97" s="98">
        <v>9.8000000000000004E-2</v>
      </c>
      <c r="E97" s="98">
        <v>9.7000000000000003E-2</v>
      </c>
      <c r="F97" s="106"/>
    </row>
    <row r="98" spans="1:6">
      <c r="A98" s="93" t="s">
        <v>267</v>
      </c>
      <c r="B98" s="97" t="s">
        <v>3279</v>
      </c>
      <c r="C98" s="98">
        <v>0.1</v>
      </c>
      <c r="D98" s="98">
        <v>0.1</v>
      </c>
      <c r="E98" s="98">
        <v>9.7000000000000003E-2</v>
      </c>
      <c r="F98" s="106"/>
    </row>
    <row r="99" spans="1:6">
      <c r="A99" s="93" t="s">
        <v>267</v>
      </c>
      <c r="B99" s="97" t="s">
        <v>3286</v>
      </c>
      <c r="C99" s="98">
        <v>0.1</v>
      </c>
      <c r="D99" s="98">
        <v>0.1</v>
      </c>
      <c r="E99" s="107"/>
      <c r="F99" s="106"/>
    </row>
    <row r="100" spans="1:6">
      <c r="A100" s="93" t="s">
        <v>267</v>
      </c>
      <c r="B100" s="97" t="s">
        <v>3293</v>
      </c>
      <c r="C100" s="98">
        <v>0.09</v>
      </c>
      <c r="D100" s="98">
        <v>8.8999999999999996E-2</v>
      </c>
      <c r="E100" s="107"/>
      <c r="F100" s="106"/>
    </row>
    <row r="101" spans="1:6">
      <c r="A101" s="93" t="s">
        <v>267</v>
      </c>
      <c r="B101" s="97" t="s">
        <v>3300</v>
      </c>
      <c r="C101" s="98">
        <v>9.8000000000000004E-2</v>
      </c>
      <c r="D101" s="98">
        <v>9.7000000000000003E-2</v>
      </c>
      <c r="E101" s="107"/>
      <c r="F101" s="106"/>
    </row>
    <row r="102" spans="1:6">
      <c r="A102" s="93" t="s">
        <v>267</v>
      </c>
      <c r="B102" s="97" t="s">
        <v>3307</v>
      </c>
      <c r="C102" s="107"/>
      <c r="D102" s="107"/>
      <c r="E102" s="107"/>
      <c r="F102" s="99">
        <v>0.05</v>
      </c>
    </row>
    <row r="103" spans="1:6" ht="24">
      <c r="A103" s="93" t="s">
        <v>267</v>
      </c>
      <c r="B103" s="97" t="s">
        <v>3312</v>
      </c>
      <c r="C103" s="107"/>
      <c r="D103" s="107"/>
      <c r="E103" s="107"/>
      <c r="F103" s="99">
        <v>0.05</v>
      </c>
    </row>
    <row r="104" spans="1:6">
      <c r="A104" s="93" t="s">
        <v>267</v>
      </c>
      <c r="B104" s="97" t="s">
        <v>3317</v>
      </c>
      <c r="C104" s="107"/>
      <c r="D104" s="107"/>
      <c r="E104" s="107"/>
      <c r="F104" s="99">
        <v>0.05</v>
      </c>
    </row>
    <row r="105" spans="1:6">
      <c r="A105" s="93" t="s">
        <v>267</v>
      </c>
      <c r="B105" s="97" t="s">
        <v>3322</v>
      </c>
      <c r="C105" s="107"/>
      <c r="D105" s="107"/>
      <c r="E105" s="107"/>
      <c r="F105" s="99">
        <v>0.05</v>
      </c>
    </row>
    <row r="106" spans="1:6">
      <c r="A106" s="93" t="s">
        <v>267</v>
      </c>
      <c r="B106" s="97" t="s">
        <v>3327</v>
      </c>
      <c r="C106" s="107"/>
      <c r="D106" s="107"/>
      <c r="E106" s="107"/>
      <c r="F106" s="99">
        <v>0.05</v>
      </c>
    </row>
    <row r="107" spans="1:6" ht="24">
      <c r="A107" s="93" t="s">
        <v>267</v>
      </c>
      <c r="B107" s="97" t="s">
        <v>3332</v>
      </c>
      <c r="C107" s="107"/>
      <c r="D107" s="107"/>
      <c r="E107" s="107"/>
      <c r="F107" s="99">
        <v>0.05</v>
      </c>
    </row>
    <row r="108" spans="1:6" ht="24">
      <c r="A108" s="93" t="s">
        <v>267</v>
      </c>
      <c r="B108" s="97" t="s">
        <v>3337</v>
      </c>
      <c r="C108" s="107"/>
      <c r="D108" s="107"/>
      <c r="E108" s="107"/>
      <c r="F108" s="99">
        <v>0.05</v>
      </c>
    </row>
    <row r="109" spans="1:6" ht="24">
      <c r="A109" s="101" t="s">
        <v>267</v>
      </c>
      <c r="B109" s="108" t="s">
        <v>3342</v>
      </c>
      <c r="C109" s="104"/>
      <c r="D109" s="104"/>
      <c r="E109" s="104"/>
      <c r="F109" s="109">
        <v>0.05</v>
      </c>
    </row>
    <row r="110" spans="1:6">
      <c r="A110" s="93" t="s">
        <v>273</v>
      </c>
      <c r="B110" s="94" t="s">
        <v>3055</v>
      </c>
      <c r="C110" s="95">
        <v>0.129</v>
      </c>
      <c r="D110" s="95">
        <v>0.129</v>
      </c>
      <c r="E110" s="95">
        <v>0.126</v>
      </c>
      <c r="F110" s="96">
        <v>0.13</v>
      </c>
    </row>
    <row r="111" spans="1:6">
      <c r="A111" s="93" t="s">
        <v>273</v>
      </c>
      <c r="B111" s="97" t="s">
        <v>3068</v>
      </c>
      <c r="C111" s="98">
        <v>0.11</v>
      </c>
      <c r="D111" s="98">
        <v>0.11</v>
      </c>
      <c r="E111" s="98">
        <v>9.9000000000000005E-2</v>
      </c>
      <c r="F111" s="99">
        <v>0.128</v>
      </c>
    </row>
    <row r="112" spans="1:6">
      <c r="A112" s="93" t="s">
        <v>273</v>
      </c>
      <c r="B112" s="97" t="s">
        <v>3081</v>
      </c>
      <c r="C112" s="98">
        <v>0.125</v>
      </c>
      <c r="D112" s="98">
        <v>0.125</v>
      </c>
      <c r="E112" s="98">
        <v>0.12</v>
      </c>
      <c r="F112" s="99">
        <v>0.125</v>
      </c>
    </row>
    <row r="113" spans="1:6">
      <c r="A113" s="93" t="s">
        <v>273</v>
      </c>
      <c r="B113" s="97" t="s">
        <v>3093</v>
      </c>
      <c r="C113" s="98">
        <v>0.13</v>
      </c>
      <c r="D113" s="98">
        <v>0.13</v>
      </c>
      <c r="E113" s="98">
        <v>0.13</v>
      </c>
      <c r="F113" s="99">
        <v>0.13</v>
      </c>
    </row>
    <row r="114" spans="1:6">
      <c r="A114" s="93" t="s">
        <v>273</v>
      </c>
      <c r="B114" s="97" t="s">
        <v>3105</v>
      </c>
      <c r="C114" s="98">
        <v>0.123</v>
      </c>
      <c r="D114" s="98">
        <v>0.123</v>
      </c>
      <c r="E114" s="98">
        <v>0.12</v>
      </c>
      <c r="F114" s="99">
        <v>0.13</v>
      </c>
    </row>
    <row r="115" spans="1:6">
      <c r="A115" s="93" t="s">
        <v>273</v>
      </c>
      <c r="B115" s="97" t="s">
        <v>3116</v>
      </c>
      <c r="C115" s="98">
        <v>0.125</v>
      </c>
      <c r="D115" s="98">
        <v>0.125</v>
      </c>
      <c r="E115" s="98">
        <v>0.11700000000000001</v>
      </c>
      <c r="F115" s="99">
        <v>0.13</v>
      </c>
    </row>
    <row r="116" spans="1:6">
      <c r="A116" s="93" t="s">
        <v>273</v>
      </c>
      <c r="B116" s="97" t="s">
        <v>3127</v>
      </c>
      <c r="C116" s="98">
        <v>0.11700000000000001</v>
      </c>
      <c r="D116" s="98">
        <v>0.11700000000000001</v>
      </c>
      <c r="E116" s="98">
        <v>8.7999999999999995E-2</v>
      </c>
      <c r="F116" s="99">
        <v>0.13</v>
      </c>
    </row>
    <row r="117" spans="1:6">
      <c r="A117" s="93" t="s">
        <v>273</v>
      </c>
      <c r="B117" s="97" t="s">
        <v>3138</v>
      </c>
      <c r="C117" s="98">
        <v>0.13</v>
      </c>
      <c r="D117" s="98">
        <v>0.13</v>
      </c>
      <c r="E117" s="98">
        <v>0.129</v>
      </c>
      <c r="F117" s="99">
        <v>0.13</v>
      </c>
    </row>
    <row r="118" spans="1:6">
      <c r="A118" s="93" t="s">
        <v>273</v>
      </c>
      <c r="B118" s="97" t="s">
        <v>3148</v>
      </c>
      <c r="C118" s="98">
        <v>0.123</v>
      </c>
      <c r="D118" s="98">
        <v>0.123</v>
      </c>
      <c r="E118" s="98">
        <v>0.11600000000000001</v>
      </c>
      <c r="F118" s="99">
        <v>0.13</v>
      </c>
    </row>
    <row r="119" spans="1:6">
      <c r="A119" s="93" t="s">
        <v>273</v>
      </c>
      <c r="B119" s="97" t="s">
        <v>3158</v>
      </c>
      <c r="C119" s="98">
        <v>0.127</v>
      </c>
      <c r="D119" s="98">
        <v>0.127</v>
      </c>
      <c r="E119" s="98">
        <v>0.124</v>
      </c>
      <c r="F119" s="99">
        <v>0.13</v>
      </c>
    </row>
    <row r="120" spans="1:6">
      <c r="A120" s="93" t="s">
        <v>273</v>
      </c>
      <c r="B120" s="97" t="s">
        <v>3168</v>
      </c>
      <c r="C120" s="98">
        <v>0.125</v>
      </c>
      <c r="D120" s="98">
        <v>0.125</v>
      </c>
      <c r="E120" s="98">
        <v>0.122</v>
      </c>
      <c r="F120" s="99">
        <v>0.13</v>
      </c>
    </row>
    <row r="121" spans="1:6">
      <c r="A121" s="93" t="s">
        <v>273</v>
      </c>
      <c r="B121" s="97" t="s">
        <v>3178</v>
      </c>
      <c r="C121" s="98">
        <v>0.13</v>
      </c>
      <c r="D121" s="98">
        <v>0.13</v>
      </c>
      <c r="E121" s="98">
        <v>0.13</v>
      </c>
      <c r="F121" s="99">
        <v>0.13</v>
      </c>
    </row>
    <row r="122" spans="1:6">
      <c r="A122" s="93" t="s">
        <v>273</v>
      </c>
      <c r="B122" s="97" t="s">
        <v>3188</v>
      </c>
      <c r="C122" s="98">
        <v>0.13</v>
      </c>
      <c r="D122" s="98">
        <v>0.13</v>
      </c>
      <c r="E122" s="98">
        <v>0.125</v>
      </c>
      <c r="F122" s="99">
        <v>0.13</v>
      </c>
    </row>
    <row r="123" spans="1:6">
      <c r="A123" s="93" t="s">
        <v>273</v>
      </c>
      <c r="B123" s="97" t="s">
        <v>3198</v>
      </c>
      <c r="C123" s="98">
        <v>0.129</v>
      </c>
      <c r="D123" s="98">
        <v>0.129</v>
      </c>
      <c r="E123" s="98">
        <v>0.123</v>
      </c>
      <c r="F123" s="99">
        <v>0.13</v>
      </c>
    </row>
    <row r="124" spans="1:6">
      <c r="A124" s="93" t="s">
        <v>273</v>
      </c>
      <c r="B124" s="97" t="s">
        <v>3208</v>
      </c>
      <c r="C124" s="98">
        <v>0.10199999999999999</v>
      </c>
      <c r="D124" s="98">
        <v>0.10100000000000001</v>
      </c>
      <c r="E124" s="98">
        <v>0.08</v>
      </c>
      <c r="F124" s="106"/>
    </row>
    <row r="125" spans="1:6">
      <c r="A125" s="93" t="s">
        <v>273</v>
      </c>
      <c r="B125" s="97" t="s">
        <v>3218</v>
      </c>
      <c r="C125" s="98">
        <v>0.13</v>
      </c>
      <c r="D125" s="98">
        <v>0.13</v>
      </c>
      <c r="E125" s="98">
        <v>0.129</v>
      </c>
      <c r="F125" s="106"/>
    </row>
    <row r="126" spans="1:6">
      <c r="A126" s="93" t="s">
        <v>273</v>
      </c>
      <c r="B126" s="97" t="s">
        <v>3228</v>
      </c>
      <c r="C126" s="98">
        <v>0.13</v>
      </c>
      <c r="D126" s="98">
        <v>0.13</v>
      </c>
      <c r="E126" s="98">
        <v>0.126</v>
      </c>
      <c r="F126" s="106"/>
    </row>
    <row r="127" spans="1:6">
      <c r="A127" s="93" t="s">
        <v>273</v>
      </c>
      <c r="B127" s="97" t="s">
        <v>3238</v>
      </c>
      <c r="C127" s="98">
        <v>0.125</v>
      </c>
      <c r="D127" s="98">
        <v>0.125</v>
      </c>
      <c r="E127" s="98">
        <v>0.121</v>
      </c>
      <c r="F127" s="106"/>
    </row>
    <row r="128" spans="1:6">
      <c r="A128" s="93" t="s">
        <v>273</v>
      </c>
      <c r="B128" s="97" t="s">
        <v>3248</v>
      </c>
      <c r="C128" s="98">
        <v>0.12</v>
      </c>
      <c r="D128" s="98">
        <v>0.12</v>
      </c>
      <c r="E128" s="98">
        <v>0.105</v>
      </c>
      <c r="F128" s="106"/>
    </row>
    <row r="129" spans="1:6">
      <c r="A129" s="93" t="s">
        <v>273</v>
      </c>
      <c r="B129" s="97" t="s">
        <v>3257</v>
      </c>
      <c r="C129" s="98">
        <v>0.13</v>
      </c>
      <c r="D129" s="98">
        <v>0.13</v>
      </c>
      <c r="E129" s="98">
        <v>0.126</v>
      </c>
      <c r="F129" s="106"/>
    </row>
    <row r="130" spans="1:6">
      <c r="A130" s="93" t="s">
        <v>273</v>
      </c>
      <c r="B130" s="97" t="s">
        <v>3265</v>
      </c>
      <c r="C130" s="98">
        <v>0.125</v>
      </c>
      <c r="D130" s="98">
        <v>0.125</v>
      </c>
      <c r="E130" s="98">
        <v>0.122</v>
      </c>
      <c r="F130" s="106"/>
    </row>
    <row r="131" spans="1:6">
      <c r="A131" s="93" t="s">
        <v>273</v>
      </c>
      <c r="B131" s="97" t="s">
        <v>3273</v>
      </c>
      <c r="C131" s="98">
        <v>0.127</v>
      </c>
      <c r="D131" s="98">
        <v>0.126</v>
      </c>
      <c r="E131" s="98">
        <v>0.123</v>
      </c>
      <c r="F131" s="106"/>
    </row>
    <row r="132" spans="1:6">
      <c r="A132" s="93" t="s">
        <v>273</v>
      </c>
      <c r="B132" s="97" t="s">
        <v>3280</v>
      </c>
      <c r="C132" s="98">
        <v>9.0999999999999998E-2</v>
      </c>
      <c r="D132" s="98">
        <v>0.121</v>
      </c>
      <c r="E132" s="98">
        <v>9.9000000000000005E-2</v>
      </c>
      <c r="F132" s="106"/>
    </row>
    <row r="133" spans="1:6">
      <c r="A133" s="93" t="s">
        <v>273</v>
      </c>
      <c r="B133" s="97" t="s">
        <v>3287</v>
      </c>
      <c r="C133" s="98">
        <v>0.13</v>
      </c>
      <c r="D133" s="98">
        <v>0.13</v>
      </c>
      <c r="E133" s="98">
        <v>0.129</v>
      </c>
      <c r="F133" s="106"/>
    </row>
    <row r="134" spans="1:6">
      <c r="A134" s="93" t="s">
        <v>273</v>
      </c>
      <c r="B134" s="97" t="s">
        <v>3294</v>
      </c>
      <c r="C134" s="98">
        <v>6.8000000000000005E-2</v>
      </c>
      <c r="D134" s="98">
        <v>6.5000000000000002E-2</v>
      </c>
      <c r="E134" s="98">
        <v>6.5000000000000002E-2</v>
      </c>
      <c r="F134" s="99">
        <v>0.13</v>
      </c>
    </row>
    <row r="135" spans="1:6">
      <c r="A135" s="93" t="s">
        <v>273</v>
      </c>
      <c r="B135" s="97" t="s">
        <v>3301</v>
      </c>
      <c r="C135" s="98">
        <v>0.123</v>
      </c>
      <c r="D135" s="98">
        <v>0.123</v>
      </c>
      <c r="E135" s="98">
        <v>0.11</v>
      </c>
      <c r="F135" s="106"/>
    </row>
    <row r="136" spans="1:6">
      <c r="A136" s="93" t="s">
        <v>273</v>
      </c>
      <c r="B136" s="97" t="s">
        <v>3308</v>
      </c>
      <c r="C136" s="98">
        <v>0.13</v>
      </c>
      <c r="D136" s="98">
        <v>0.13</v>
      </c>
      <c r="E136" s="98">
        <v>0.125</v>
      </c>
      <c r="F136" s="106"/>
    </row>
    <row r="137" spans="1:6">
      <c r="A137" s="93" t="s">
        <v>273</v>
      </c>
      <c r="B137" s="97" t="s">
        <v>3313</v>
      </c>
      <c r="C137" s="98">
        <v>0.121</v>
      </c>
      <c r="D137" s="98">
        <v>0.122</v>
      </c>
      <c r="E137" s="98">
        <v>0.115</v>
      </c>
      <c r="F137" s="106"/>
    </row>
    <row r="138" spans="1:6">
      <c r="A138" s="93" t="s">
        <v>273</v>
      </c>
      <c r="B138" s="97" t="s">
        <v>3318</v>
      </c>
      <c r="C138" s="98">
        <v>0.105</v>
      </c>
      <c r="D138" s="98">
        <v>0.125</v>
      </c>
      <c r="E138" s="98">
        <v>0.112</v>
      </c>
      <c r="F138" s="106"/>
    </row>
    <row r="139" spans="1:6">
      <c r="A139" s="93" t="s">
        <v>273</v>
      </c>
      <c r="B139" s="97" t="s">
        <v>3323</v>
      </c>
      <c r="C139" s="98">
        <v>0.127</v>
      </c>
      <c r="D139" s="98">
        <v>0.127</v>
      </c>
      <c r="E139" s="98">
        <v>0.122</v>
      </c>
      <c r="F139" s="99">
        <v>0.13</v>
      </c>
    </row>
    <row r="140" spans="1:6">
      <c r="A140" s="93" t="s">
        <v>273</v>
      </c>
      <c r="B140" s="97" t="s">
        <v>3328</v>
      </c>
      <c r="C140" s="98">
        <v>0.125</v>
      </c>
      <c r="D140" s="98">
        <v>0.125</v>
      </c>
      <c r="E140" s="98">
        <v>0.11899999999999999</v>
      </c>
      <c r="F140" s="99">
        <v>0.13</v>
      </c>
    </row>
    <row r="141" spans="1:6">
      <c r="A141" s="93" t="s">
        <v>273</v>
      </c>
      <c r="B141" s="97" t="s">
        <v>3333</v>
      </c>
      <c r="C141" s="98">
        <v>0.125</v>
      </c>
      <c r="D141" s="98">
        <v>0.125</v>
      </c>
      <c r="E141" s="98">
        <v>0.11700000000000001</v>
      </c>
      <c r="F141" s="106"/>
    </row>
    <row r="142" spans="1:6">
      <c r="A142" s="93" t="s">
        <v>273</v>
      </c>
      <c r="B142" s="97" t="s">
        <v>3338</v>
      </c>
      <c r="C142" s="98">
        <v>0.125</v>
      </c>
      <c r="D142" s="98">
        <v>0.125</v>
      </c>
      <c r="E142" s="98">
        <v>0.115</v>
      </c>
      <c r="F142" s="106"/>
    </row>
    <row r="143" spans="1:6">
      <c r="A143" s="93" t="s">
        <v>273</v>
      </c>
      <c r="B143" s="97" t="s">
        <v>3343</v>
      </c>
      <c r="C143" s="98">
        <v>0.121</v>
      </c>
      <c r="D143" s="98">
        <v>0.121</v>
      </c>
      <c r="E143" s="98">
        <v>0.108</v>
      </c>
      <c r="F143" s="106"/>
    </row>
    <row r="144" spans="1:6">
      <c r="A144" s="93" t="s">
        <v>273</v>
      </c>
      <c r="B144" s="110" t="s">
        <v>3347</v>
      </c>
      <c r="C144" s="111">
        <v>0.126</v>
      </c>
      <c r="D144" s="111">
        <v>0.126</v>
      </c>
      <c r="E144" s="111">
        <v>0.121</v>
      </c>
      <c r="F144" s="106"/>
    </row>
    <row r="145" spans="1:6">
      <c r="A145" s="101" t="s">
        <v>273</v>
      </c>
      <c r="B145" s="112" t="s">
        <v>3351</v>
      </c>
      <c r="C145" s="113"/>
      <c r="D145" s="113"/>
      <c r="E145" s="113"/>
      <c r="F145" s="114">
        <v>0.05</v>
      </c>
    </row>
    <row r="146" spans="1:6" ht="24">
      <c r="A146" s="115" t="s">
        <v>273</v>
      </c>
      <c r="B146" s="100" t="s">
        <v>3355</v>
      </c>
      <c r="C146" s="107"/>
      <c r="D146" s="107"/>
      <c r="E146" s="107"/>
      <c r="F146" s="116">
        <v>0.05</v>
      </c>
    </row>
    <row r="147" spans="1:6" ht="24">
      <c r="A147" s="93" t="s">
        <v>273</v>
      </c>
      <c r="B147" s="97" t="s">
        <v>3359</v>
      </c>
      <c r="C147" s="107"/>
      <c r="D147" s="107"/>
      <c r="E147" s="107"/>
      <c r="F147" s="99">
        <v>0.05</v>
      </c>
    </row>
    <row r="148" spans="1:6" ht="24">
      <c r="A148" s="93" t="s">
        <v>273</v>
      </c>
      <c r="B148" s="97" t="s">
        <v>3363</v>
      </c>
      <c r="C148" s="107"/>
      <c r="D148" s="107"/>
      <c r="E148" s="107"/>
      <c r="F148" s="99">
        <v>0.05</v>
      </c>
    </row>
    <row r="149" spans="1:6" ht="24">
      <c r="A149" s="93" t="s">
        <v>273</v>
      </c>
      <c r="B149" s="97" t="s">
        <v>3367</v>
      </c>
      <c r="C149" s="107"/>
      <c r="D149" s="107"/>
      <c r="E149" s="107"/>
      <c r="F149" s="99">
        <v>0.05</v>
      </c>
    </row>
    <row r="150" spans="1:6" ht="24">
      <c r="A150" s="93" t="s">
        <v>273</v>
      </c>
      <c r="B150" s="97" t="s">
        <v>3370</v>
      </c>
      <c r="C150" s="107"/>
      <c r="D150" s="107"/>
      <c r="E150" s="107"/>
      <c r="F150" s="99">
        <v>0.05</v>
      </c>
    </row>
    <row r="151" spans="1:6" ht="24">
      <c r="A151" s="93" t="s">
        <v>273</v>
      </c>
      <c r="B151" s="97" t="s">
        <v>3373</v>
      </c>
      <c r="C151" s="107"/>
      <c r="D151" s="107"/>
      <c r="E151" s="107"/>
      <c r="F151" s="99">
        <v>0.05</v>
      </c>
    </row>
    <row r="152" spans="1:6" ht="24">
      <c r="A152" s="93" t="s">
        <v>273</v>
      </c>
      <c r="B152" s="97" t="s">
        <v>3376</v>
      </c>
      <c r="C152" s="107"/>
      <c r="D152" s="107"/>
      <c r="E152" s="107"/>
      <c r="F152" s="99">
        <v>0.05</v>
      </c>
    </row>
    <row r="153" spans="1:6">
      <c r="A153" s="93" t="s">
        <v>273</v>
      </c>
      <c r="B153" s="97" t="s">
        <v>3379</v>
      </c>
      <c r="C153" s="107"/>
      <c r="D153" s="107"/>
      <c r="E153" s="107"/>
      <c r="F153" s="99">
        <v>0.05</v>
      </c>
    </row>
    <row r="154" spans="1:6">
      <c r="A154" s="93" t="s">
        <v>273</v>
      </c>
      <c r="B154" s="97" t="s">
        <v>3382</v>
      </c>
      <c r="C154" s="107"/>
      <c r="D154" s="107"/>
      <c r="E154" s="107"/>
      <c r="F154" s="99">
        <v>0.05</v>
      </c>
    </row>
    <row r="155" spans="1:6" ht="24">
      <c r="A155" s="93" t="s">
        <v>273</v>
      </c>
      <c r="B155" s="97" t="s">
        <v>3385</v>
      </c>
      <c r="C155" s="107"/>
      <c r="D155" s="107"/>
      <c r="E155" s="107"/>
      <c r="F155" s="99">
        <v>0.05</v>
      </c>
    </row>
    <row r="156" spans="1:6" ht="24">
      <c r="A156" s="93" t="s">
        <v>273</v>
      </c>
      <c r="B156" s="97" t="s">
        <v>3387</v>
      </c>
      <c r="C156" s="107"/>
      <c r="D156" s="107"/>
      <c r="E156" s="107"/>
      <c r="F156" s="99">
        <v>0.05</v>
      </c>
    </row>
    <row r="157" spans="1:6">
      <c r="A157" s="101" t="s">
        <v>273</v>
      </c>
      <c r="B157" s="108" t="s">
        <v>3389</v>
      </c>
      <c r="C157" s="104"/>
      <c r="D157" s="104"/>
      <c r="E157" s="104"/>
      <c r="F157" s="109">
        <v>0.05</v>
      </c>
    </row>
    <row r="158" spans="1:6">
      <c r="A158" s="93" t="s">
        <v>278</v>
      </c>
      <c r="B158" s="94" t="s">
        <v>3056</v>
      </c>
      <c r="C158" s="95">
        <v>0.13</v>
      </c>
      <c r="D158" s="95">
        <v>0.13</v>
      </c>
      <c r="E158" s="95">
        <v>0.13</v>
      </c>
      <c r="F158" s="96">
        <v>0.13</v>
      </c>
    </row>
    <row r="159" spans="1:6">
      <c r="A159" s="93" t="s">
        <v>278</v>
      </c>
      <c r="B159" s="97" t="s">
        <v>3069</v>
      </c>
      <c r="C159" s="98">
        <v>0.13</v>
      </c>
      <c r="D159" s="98">
        <v>0.13</v>
      </c>
      <c r="E159" s="98">
        <v>0.13</v>
      </c>
      <c r="F159" s="99">
        <v>0.13</v>
      </c>
    </row>
    <row r="160" spans="1:6">
      <c r="A160" s="93" t="s">
        <v>278</v>
      </c>
      <c r="B160" s="97" t="s">
        <v>3082</v>
      </c>
      <c r="C160" s="98">
        <v>0.13</v>
      </c>
      <c r="D160" s="98">
        <v>0.13</v>
      </c>
      <c r="E160" s="98">
        <v>0.129</v>
      </c>
      <c r="F160" s="99">
        <v>0.13</v>
      </c>
    </row>
    <row r="161" spans="1:6">
      <c r="A161" s="93" t="s">
        <v>278</v>
      </c>
      <c r="B161" s="97" t="s">
        <v>3094</v>
      </c>
      <c r="C161" s="98">
        <v>0.128</v>
      </c>
      <c r="D161" s="98">
        <v>0.128</v>
      </c>
      <c r="E161" s="98">
        <v>0.125</v>
      </c>
      <c r="F161" s="99">
        <v>0.13</v>
      </c>
    </row>
    <row r="162" spans="1:6">
      <c r="A162" s="93" t="s">
        <v>278</v>
      </c>
      <c r="B162" s="97" t="s">
        <v>3106</v>
      </c>
      <c r="C162" s="98">
        <v>0.122</v>
      </c>
      <c r="D162" s="98">
        <v>0.122</v>
      </c>
      <c r="E162" s="98">
        <v>0.126</v>
      </c>
      <c r="F162" s="99">
        <v>0.122</v>
      </c>
    </row>
    <row r="163" spans="1:6">
      <c r="A163" s="93" t="s">
        <v>278</v>
      </c>
      <c r="B163" s="97" t="s">
        <v>3117</v>
      </c>
      <c r="C163" s="98">
        <v>0.13</v>
      </c>
      <c r="D163" s="98">
        <v>0.13</v>
      </c>
      <c r="E163" s="98">
        <v>0.125</v>
      </c>
      <c r="F163" s="99">
        <v>0.13</v>
      </c>
    </row>
    <row r="164" spans="1:6">
      <c r="A164" s="93" t="s">
        <v>278</v>
      </c>
      <c r="B164" s="97" t="s">
        <v>3128</v>
      </c>
      <c r="C164" s="98">
        <v>0.13</v>
      </c>
      <c r="D164" s="98">
        <v>0.13</v>
      </c>
      <c r="E164" s="98">
        <v>0.13</v>
      </c>
      <c r="F164" s="99">
        <v>0.13</v>
      </c>
    </row>
    <row r="165" spans="1:6">
      <c r="A165" s="93" t="s">
        <v>278</v>
      </c>
      <c r="B165" s="97" t="s">
        <v>3139</v>
      </c>
      <c r="C165" s="98">
        <v>0.13</v>
      </c>
      <c r="D165" s="98">
        <v>0.13</v>
      </c>
      <c r="E165" s="98">
        <v>0.124</v>
      </c>
      <c r="F165" s="99">
        <v>0.13</v>
      </c>
    </row>
    <row r="166" spans="1:6">
      <c r="A166" s="93" t="s">
        <v>278</v>
      </c>
      <c r="B166" s="97" t="s">
        <v>3149</v>
      </c>
      <c r="C166" s="98">
        <v>0.13</v>
      </c>
      <c r="D166" s="98">
        <v>0.13</v>
      </c>
      <c r="E166" s="98">
        <v>0.13</v>
      </c>
      <c r="F166" s="99">
        <v>0.13</v>
      </c>
    </row>
    <row r="167" spans="1:6">
      <c r="A167" s="93" t="s">
        <v>278</v>
      </c>
      <c r="B167" s="97" t="s">
        <v>3159</v>
      </c>
      <c r="C167" s="98">
        <v>0.125</v>
      </c>
      <c r="D167" s="98">
        <v>0.125</v>
      </c>
      <c r="E167" s="98">
        <v>0.121</v>
      </c>
      <c r="F167" s="106"/>
    </row>
    <row r="168" spans="1:6">
      <c r="A168" s="93" t="s">
        <v>278</v>
      </c>
      <c r="B168" s="97" t="s">
        <v>3169</v>
      </c>
      <c r="C168" s="98">
        <v>0.13</v>
      </c>
      <c r="D168" s="98">
        <v>0.13</v>
      </c>
      <c r="E168" s="98">
        <v>0.126</v>
      </c>
      <c r="F168" s="106"/>
    </row>
    <row r="169" spans="1:6">
      <c r="A169" s="93" t="s">
        <v>278</v>
      </c>
      <c r="B169" s="97" t="s">
        <v>3179</v>
      </c>
      <c r="C169" s="98">
        <v>0.128</v>
      </c>
      <c r="D169" s="98">
        <v>0.129</v>
      </c>
      <c r="E169" s="98">
        <v>0.13</v>
      </c>
      <c r="F169" s="106"/>
    </row>
    <row r="170" spans="1:6">
      <c r="A170" s="93" t="s">
        <v>278</v>
      </c>
      <c r="B170" s="97" t="s">
        <v>3189</v>
      </c>
      <c r="C170" s="98">
        <v>0.14099999999999999</v>
      </c>
      <c r="D170" s="98">
        <v>0.13</v>
      </c>
      <c r="E170" s="98">
        <v>0.125</v>
      </c>
      <c r="F170" s="106"/>
    </row>
    <row r="171" spans="1:6">
      <c r="A171" s="93" t="s">
        <v>278</v>
      </c>
      <c r="B171" s="97" t="s">
        <v>3199</v>
      </c>
      <c r="C171" s="98">
        <v>0.127</v>
      </c>
      <c r="D171" s="98">
        <v>0.126</v>
      </c>
      <c r="E171" s="98">
        <v>0.126</v>
      </c>
      <c r="F171" s="99">
        <v>0.11799999999999999</v>
      </c>
    </row>
    <row r="172" spans="1:6">
      <c r="A172" s="93" t="s">
        <v>278</v>
      </c>
      <c r="B172" s="97" t="s">
        <v>3209</v>
      </c>
      <c r="C172" s="98">
        <v>0.13</v>
      </c>
      <c r="D172" s="98">
        <v>0.13</v>
      </c>
      <c r="E172" s="98">
        <v>0.13</v>
      </c>
      <c r="F172" s="106"/>
    </row>
    <row r="173" spans="1:6">
      <c r="A173" s="93" t="s">
        <v>278</v>
      </c>
      <c r="B173" s="97" t="s">
        <v>3219</v>
      </c>
      <c r="C173" s="98">
        <v>0.13</v>
      </c>
      <c r="D173" s="98">
        <v>0.13</v>
      </c>
      <c r="E173" s="98">
        <v>0.13</v>
      </c>
      <c r="F173" s="106"/>
    </row>
    <row r="174" spans="1:6">
      <c r="A174" s="93" t="s">
        <v>278</v>
      </c>
      <c r="B174" s="97" t="s">
        <v>3229</v>
      </c>
      <c r="C174" s="98">
        <v>0.13</v>
      </c>
      <c r="D174" s="98">
        <v>0.13</v>
      </c>
      <c r="E174" s="98">
        <v>0.13</v>
      </c>
      <c r="F174" s="99">
        <v>0.13</v>
      </c>
    </row>
    <row r="175" spans="1:6">
      <c r="A175" s="93" t="s">
        <v>278</v>
      </c>
      <c r="B175" s="97" t="s">
        <v>3239</v>
      </c>
      <c r="C175" s="98">
        <v>0.13</v>
      </c>
      <c r="D175" s="98">
        <v>0.13</v>
      </c>
      <c r="E175" s="98">
        <v>0.13</v>
      </c>
      <c r="F175" s="99">
        <v>0.13</v>
      </c>
    </row>
    <row r="176" spans="1:6">
      <c r="A176" s="93" t="s">
        <v>278</v>
      </c>
      <c r="B176" s="97" t="s">
        <v>3249</v>
      </c>
      <c r="C176" s="98">
        <v>0.13</v>
      </c>
      <c r="D176" s="98">
        <v>0.13</v>
      </c>
      <c r="E176" s="98">
        <v>0.13</v>
      </c>
      <c r="F176" s="99">
        <v>0.13</v>
      </c>
    </row>
    <row r="177" spans="1:6">
      <c r="A177" s="93" t="s">
        <v>278</v>
      </c>
      <c r="B177" s="97" t="s">
        <v>3258</v>
      </c>
      <c r="C177" s="98">
        <v>0.13</v>
      </c>
      <c r="D177" s="98">
        <v>0.13</v>
      </c>
      <c r="E177" s="98">
        <v>0.13</v>
      </c>
      <c r="F177" s="99">
        <v>0.13</v>
      </c>
    </row>
    <row r="178" spans="1:6">
      <c r="A178" s="93" t="s">
        <v>278</v>
      </c>
      <c r="B178" s="97" t="s">
        <v>3266</v>
      </c>
      <c r="C178" s="98">
        <v>0.13</v>
      </c>
      <c r="D178" s="98">
        <v>0.13</v>
      </c>
      <c r="E178" s="98">
        <v>0.13</v>
      </c>
      <c r="F178" s="99">
        <v>0.127</v>
      </c>
    </row>
    <row r="179" spans="1:6">
      <c r="A179" s="93" t="s">
        <v>278</v>
      </c>
      <c r="B179" s="97" t="s">
        <v>3274</v>
      </c>
      <c r="C179" s="98">
        <v>0.13</v>
      </c>
      <c r="D179" s="98">
        <v>0.13</v>
      </c>
      <c r="E179" s="98">
        <v>0.13</v>
      </c>
      <c r="F179" s="106"/>
    </row>
    <row r="180" spans="1:6">
      <c r="A180" s="93" t="s">
        <v>278</v>
      </c>
      <c r="B180" s="97" t="s">
        <v>3281</v>
      </c>
      <c r="C180" s="98">
        <v>0.13</v>
      </c>
      <c r="D180" s="98">
        <v>0.13</v>
      </c>
      <c r="E180" s="98">
        <v>0.125</v>
      </c>
      <c r="F180" s="99">
        <v>0.13</v>
      </c>
    </row>
    <row r="181" spans="1:6">
      <c r="A181" s="93" t="s">
        <v>278</v>
      </c>
      <c r="B181" s="97" t="s">
        <v>3288</v>
      </c>
      <c r="C181" s="98">
        <v>0.122</v>
      </c>
      <c r="D181" s="98">
        <v>0.123</v>
      </c>
      <c r="E181" s="98">
        <v>0.126</v>
      </c>
      <c r="F181" s="99">
        <v>0.121</v>
      </c>
    </row>
    <row r="182" spans="1:6">
      <c r="A182" s="93" t="s">
        <v>278</v>
      </c>
      <c r="B182" s="97" t="s">
        <v>3295</v>
      </c>
      <c r="C182" s="98">
        <v>0.125</v>
      </c>
      <c r="D182" s="98">
        <v>0.125</v>
      </c>
      <c r="E182" s="98">
        <v>0.11700000000000001</v>
      </c>
      <c r="F182" s="99">
        <v>0.13</v>
      </c>
    </row>
    <row r="183" spans="1:6">
      <c r="A183" s="93" t="s">
        <v>278</v>
      </c>
      <c r="B183" s="97" t="s">
        <v>3302</v>
      </c>
      <c r="C183" s="98">
        <v>0.127</v>
      </c>
      <c r="D183" s="98">
        <v>0.127</v>
      </c>
      <c r="E183" s="98">
        <v>0.128</v>
      </c>
      <c r="F183" s="106"/>
    </row>
    <row r="184" spans="1:6">
      <c r="A184" s="93" t="s">
        <v>278</v>
      </c>
      <c r="B184" s="97" t="s">
        <v>3309</v>
      </c>
      <c r="C184" s="98">
        <v>0.125</v>
      </c>
      <c r="D184" s="98">
        <v>0.125</v>
      </c>
      <c r="E184" s="98">
        <v>0.127</v>
      </c>
      <c r="F184" s="106"/>
    </row>
    <row r="185" spans="1:6">
      <c r="A185" s="93" t="s">
        <v>278</v>
      </c>
      <c r="B185" s="97" t="s">
        <v>3314</v>
      </c>
      <c r="C185" s="98">
        <v>0.127</v>
      </c>
      <c r="D185" s="98">
        <v>0.127</v>
      </c>
      <c r="E185" s="98">
        <v>0.128</v>
      </c>
      <c r="F185" s="99">
        <v>0.13</v>
      </c>
    </row>
    <row r="186" spans="1:6" ht="24">
      <c r="A186" s="93" t="s">
        <v>278</v>
      </c>
      <c r="B186" s="97" t="s">
        <v>3319</v>
      </c>
      <c r="C186" s="107"/>
      <c r="D186" s="107"/>
      <c r="E186" s="107"/>
      <c r="F186" s="99">
        <v>0.05</v>
      </c>
    </row>
    <row r="187" spans="1:6">
      <c r="A187" s="93" t="s">
        <v>278</v>
      </c>
      <c r="B187" s="97" t="s">
        <v>3324</v>
      </c>
      <c r="C187" s="107"/>
      <c r="D187" s="107"/>
      <c r="E187" s="107"/>
      <c r="F187" s="99">
        <v>0.05</v>
      </c>
    </row>
    <row r="188" spans="1:6">
      <c r="A188" s="93" t="s">
        <v>278</v>
      </c>
      <c r="B188" s="97" t="s">
        <v>3329</v>
      </c>
      <c r="C188" s="107"/>
      <c r="D188" s="107"/>
      <c r="E188" s="107"/>
      <c r="F188" s="99">
        <v>0.05</v>
      </c>
    </row>
    <row r="189" spans="1:6" ht="24">
      <c r="A189" s="93" t="s">
        <v>278</v>
      </c>
      <c r="B189" s="97" t="s">
        <v>3334</v>
      </c>
      <c r="C189" s="107"/>
      <c r="D189" s="107"/>
      <c r="E189" s="107"/>
      <c r="F189" s="99">
        <v>0.05</v>
      </c>
    </row>
    <row r="190" spans="1:6" ht="24">
      <c r="A190" s="93" t="s">
        <v>278</v>
      </c>
      <c r="B190" s="97" t="s">
        <v>3339</v>
      </c>
      <c r="C190" s="107"/>
      <c r="D190" s="107"/>
      <c r="E190" s="107"/>
      <c r="F190" s="99">
        <v>0.05</v>
      </c>
    </row>
    <row r="191" spans="1:6" ht="24">
      <c r="A191" s="93" t="s">
        <v>278</v>
      </c>
      <c r="B191" s="97" t="s">
        <v>3344</v>
      </c>
      <c r="C191" s="107"/>
      <c r="D191" s="107"/>
      <c r="E191" s="107"/>
      <c r="F191" s="99">
        <v>0.05</v>
      </c>
    </row>
    <row r="192" spans="1:6" ht="24">
      <c r="A192" s="93" t="s">
        <v>278</v>
      </c>
      <c r="B192" s="97" t="s">
        <v>3348</v>
      </c>
      <c r="C192" s="107"/>
      <c r="D192" s="107"/>
      <c r="E192" s="107"/>
      <c r="F192" s="99">
        <v>0.05</v>
      </c>
    </row>
    <row r="193" spans="1:6" ht="24">
      <c r="A193" s="93" t="s">
        <v>278</v>
      </c>
      <c r="B193" s="97" t="s">
        <v>3352</v>
      </c>
      <c r="C193" s="107"/>
      <c r="D193" s="107"/>
      <c r="E193" s="107"/>
      <c r="F193" s="99">
        <v>0.05</v>
      </c>
    </row>
    <row r="194" spans="1:6" ht="24">
      <c r="A194" s="93" t="s">
        <v>278</v>
      </c>
      <c r="B194" s="97" t="s">
        <v>3356</v>
      </c>
      <c r="C194" s="107"/>
      <c r="D194" s="107"/>
      <c r="E194" s="107"/>
      <c r="F194" s="99">
        <v>0.05</v>
      </c>
    </row>
    <row r="195" spans="1:6">
      <c r="A195" s="93" t="s">
        <v>278</v>
      </c>
      <c r="B195" s="97" t="s">
        <v>3360</v>
      </c>
      <c r="C195" s="107"/>
      <c r="D195" s="107"/>
      <c r="E195" s="107"/>
      <c r="F195" s="99">
        <v>0.05</v>
      </c>
    </row>
    <row r="196" spans="1:6" ht="24">
      <c r="A196" s="93" t="s">
        <v>278</v>
      </c>
      <c r="B196" s="97" t="s">
        <v>3364</v>
      </c>
      <c r="C196" s="107"/>
      <c r="D196" s="107"/>
      <c r="E196" s="107"/>
      <c r="F196" s="99">
        <v>0.05</v>
      </c>
    </row>
    <row r="197" spans="1:6" ht="24">
      <c r="A197" s="93" t="s">
        <v>278</v>
      </c>
      <c r="B197" s="97" t="s">
        <v>3368</v>
      </c>
      <c r="C197" s="107"/>
      <c r="D197" s="107"/>
      <c r="E197" s="107"/>
      <c r="F197" s="99">
        <v>0.05</v>
      </c>
    </row>
    <row r="198" spans="1:6" ht="24">
      <c r="A198" s="93" t="s">
        <v>278</v>
      </c>
      <c r="B198" s="97" t="s">
        <v>3371</v>
      </c>
      <c r="C198" s="107"/>
      <c r="D198" s="107"/>
      <c r="E198" s="107"/>
      <c r="F198" s="99">
        <v>0.05</v>
      </c>
    </row>
    <row r="199" spans="1:6" ht="24">
      <c r="A199" s="93" t="s">
        <v>278</v>
      </c>
      <c r="B199" s="97" t="s">
        <v>3374</v>
      </c>
      <c r="C199" s="107"/>
      <c r="D199" s="107"/>
      <c r="E199" s="107"/>
      <c r="F199" s="99">
        <v>0.05</v>
      </c>
    </row>
    <row r="200" spans="1:6" ht="24">
      <c r="A200" s="93" t="s">
        <v>278</v>
      </c>
      <c r="B200" s="97" t="s">
        <v>3377</v>
      </c>
      <c r="C200" s="107"/>
      <c r="D200" s="107"/>
      <c r="E200" s="107"/>
      <c r="F200" s="99">
        <v>0.05</v>
      </c>
    </row>
    <row r="201" spans="1:6" ht="24">
      <c r="A201" s="93" t="s">
        <v>278</v>
      </c>
      <c r="B201" s="97" t="s">
        <v>3380</v>
      </c>
      <c r="C201" s="107"/>
      <c r="D201" s="107"/>
      <c r="E201" s="107"/>
      <c r="F201" s="99">
        <v>0.05</v>
      </c>
    </row>
    <row r="202" spans="1:6" ht="24">
      <c r="A202" s="93" t="s">
        <v>278</v>
      </c>
      <c r="B202" s="97" t="s">
        <v>3383</v>
      </c>
      <c r="C202" s="107"/>
      <c r="D202" s="107"/>
      <c r="E202" s="107"/>
      <c r="F202" s="99">
        <v>0.05</v>
      </c>
    </row>
    <row r="203" spans="1:6" ht="24">
      <c r="A203" s="93" t="s">
        <v>278</v>
      </c>
      <c r="B203" s="97" t="s">
        <v>3386</v>
      </c>
      <c r="C203" s="107"/>
      <c r="D203" s="107"/>
      <c r="E203" s="107"/>
      <c r="F203" s="99">
        <v>0.05</v>
      </c>
    </row>
    <row r="204" spans="1:6">
      <c r="A204" s="93" t="s">
        <v>278</v>
      </c>
      <c r="B204" s="97" t="s">
        <v>3388</v>
      </c>
      <c r="C204" s="107"/>
      <c r="D204" s="107"/>
      <c r="E204" s="107"/>
      <c r="F204" s="99">
        <v>0.05</v>
      </c>
    </row>
    <row r="205" spans="1:6">
      <c r="A205" s="101" t="s">
        <v>278</v>
      </c>
      <c r="B205" s="108" t="s">
        <v>3390</v>
      </c>
      <c r="C205" s="104"/>
      <c r="D205" s="104"/>
      <c r="E205" s="104"/>
      <c r="F205" s="109">
        <v>0.05</v>
      </c>
    </row>
    <row r="206" spans="1:6">
      <c r="A206" s="93" t="s">
        <v>283</v>
      </c>
      <c r="B206" s="94" t="s">
        <v>3057</v>
      </c>
      <c r="C206" s="95">
        <v>0.15</v>
      </c>
      <c r="D206" s="95">
        <v>0.15</v>
      </c>
      <c r="E206" s="95">
        <v>0.15</v>
      </c>
      <c r="F206" s="96">
        <v>0.15</v>
      </c>
    </row>
    <row r="207" spans="1:6">
      <c r="A207" s="93" t="s">
        <v>283</v>
      </c>
      <c r="B207" s="97" t="s">
        <v>3070</v>
      </c>
      <c r="C207" s="98">
        <v>0.15</v>
      </c>
      <c r="D207" s="98">
        <v>0.15</v>
      </c>
      <c r="E207" s="98">
        <v>0.15</v>
      </c>
      <c r="F207" s="99">
        <v>0.14399999999999999</v>
      </c>
    </row>
    <row r="208" spans="1:6">
      <c r="A208" s="93" t="s">
        <v>283</v>
      </c>
      <c r="B208" s="97" t="s">
        <v>3083</v>
      </c>
      <c r="C208" s="98">
        <v>0.15</v>
      </c>
      <c r="D208" s="98">
        <v>0.15</v>
      </c>
      <c r="E208" s="98">
        <v>0.15</v>
      </c>
      <c r="F208" s="99">
        <v>0.15</v>
      </c>
    </row>
    <row r="209" spans="1:6">
      <c r="A209" s="93" t="s">
        <v>283</v>
      </c>
      <c r="B209" s="97" t="s">
        <v>3095</v>
      </c>
      <c r="C209" s="98">
        <v>0.13700000000000001</v>
      </c>
      <c r="D209" s="98">
        <v>0.13700000000000001</v>
      </c>
      <c r="E209" s="98">
        <v>0.14000000000000001</v>
      </c>
      <c r="F209" s="99">
        <v>0.11700000000000001</v>
      </c>
    </row>
    <row r="210" spans="1:6">
      <c r="A210" s="93" t="s">
        <v>283</v>
      </c>
      <c r="B210" s="97" t="s">
        <v>3107</v>
      </c>
      <c r="C210" s="98">
        <v>0.15</v>
      </c>
      <c r="D210" s="98">
        <v>0.15</v>
      </c>
      <c r="E210" s="98">
        <v>0.15</v>
      </c>
      <c r="F210" s="99">
        <v>0.13800000000000001</v>
      </c>
    </row>
    <row r="211" spans="1:6">
      <c r="A211" s="93" t="s">
        <v>283</v>
      </c>
      <c r="B211" s="97" t="s">
        <v>3118</v>
      </c>
      <c r="C211" s="98">
        <v>0.13700000000000001</v>
      </c>
      <c r="D211" s="98">
        <v>0.13500000000000001</v>
      </c>
      <c r="E211" s="98">
        <v>0.13600000000000001</v>
      </c>
      <c r="F211" s="99">
        <v>0.1</v>
      </c>
    </row>
    <row r="212" spans="1:6">
      <c r="A212" s="93" t="s">
        <v>283</v>
      </c>
      <c r="B212" s="97" t="s">
        <v>3129</v>
      </c>
      <c r="C212" s="98">
        <v>0.15</v>
      </c>
      <c r="D212" s="98">
        <v>0.15</v>
      </c>
      <c r="E212" s="98">
        <v>0.14799999999999999</v>
      </c>
      <c r="F212" s="99">
        <v>0.13600000000000001</v>
      </c>
    </row>
    <row r="213" spans="1:6">
      <c r="A213" s="93" t="s">
        <v>283</v>
      </c>
      <c r="B213" s="97" t="s">
        <v>3140</v>
      </c>
      <c r="C213" s="98">
        <v>0.15</v>
      </c>
      <c r="D213" s="98">
        <v>0.15</v>
      </c>
      <c r="E213" s="98">
        <v>0.15</v>
      </c>
      <c r="F213" s="99">
        <v>0.13800000000000001</v>
      </c>
    </row>
    <row r="214" spans="1:6">
      <c r="A214" s="93" t="s">
        <v>283</v>
      </c>
      <c r="B214" s="97" t="s">
        <v>3150</v>
      </c>
      <c r="C214" s="98">
        <v>9.0999999999999998E-2</v>
      </c>
      <c r="D214" s="98">
        <v>0.09</v>
      </c>
      <c r="E214" s="98">
        <v>9.1999999999999998E-2</v>
      </c>
      <c r="F214" s="106"/>
    </row>
    <row r="215" spans="1:6">
      <c r="A215" s="93" t="s">
        <v>283</v>
      </c>
      <c r="B215" s="97" t="s">
        <v>3160</v>
      </c>
      <c r="C215" s="98">
        <v>0.15</v>
      </c>
      <c r="D215" s="98">
        <v>0.15</v>
      </c>
      <c r="E215" s="98">
        <v>0.15</v>
      </c>
      <c r="F215" s="99">
        <v>0.15</v>
      </c>
    </row>
    <row r="216" spans="1:6">
      <c r="A216" s="93" t="s">
        <v>283</v>
      </c>
      <c r="B216" s="97" t="s">
        <v>3170</v>
      </c>
      <c r="C216" s="98">
        <v>0.14699999999999999</v>
      </c>
      <c r="D216" s="98">
        <v>0.14699999999999999</v>
      </c>
      <c r="E216" s="98">
        <v>0.15</v>
      </c>
      <c r="F216" s="99">
        <v>0.14000000000000001</v>
      </c>
    </row>
    <row r="217" spans="1:6">
      <c r="A217" s="93" t="s">
        <v>283</v>
      </c>
      <c r="B217" s="97" t="s">
        <v>3180</v>
      </c>
      <c r="C217" s="98">
        <v>0.15</v>
      </c>
      <c r="D217" s="98">
        <v>0.15</v>
      </c>
      <c r="E217" s="98">
        <v>0.15</v>
      </c>
      <c r="F217" s="99">
        <v>0.15</v>
      </c>
    </row>
    <row r="218" spans="1:6">
      <c r="A218" s="93" t="s">
        <v>283</v>
      </c>
      <c r="B218" s="97" t="s">
        <v>3190</v>
      </c>
      <c r="C218" s="98">
        <v>0.15</v>
      </c>
      <c r="D218" s="98">
        <v>0.15</v>
      </c>
      <c r="E218" s="98">
        <v>0.15</v>
      </c>
      <c r="F218" s="99">
        <v>0.15</v>
      </c>
    </row>
    <row r="219" spans="1:6">
      <c r="A219" s="93" t="s">
        <v>283</v>
      </c>
      <c r="B219" s="97" t="s">
        <v>3200</v>
      </c>
      <c r="C219" s="98">
        <v>0.15</v>
      </c>
      <c r="D219" s="98">
        <v>0.15</v>
      </c>
      <c r="E219" s="98">
        <v>0.15</v>
      </c>
      <c r="F219" s="99">
        <v>0.14799999999999999</v>
      </c>
    </row>
    <row r="220" spans="1:6">
      <c r="A220" s="93" t="s">
        <v>283</v>
      </c>
      <c r="B220" s="97" t="s">
        <v>3210</v>
      </c>
      <c r="C220" s="98">
        <v>0.15</v>
      </c>
      <c r="D220" s="98">
        <v>0.15</v>
      </c>
      <c r="E220" s="98">
        <v>0.15</v>
      </c>
      <c r="F220" s="99">
        <v>0.15</v>
      </c>
    </row>
    <row r="221" spans="1:6">
      <c r="A221" s="93" t="s">
        <v>283</v>
      </c>
      <c r="B221" s="97" t="s">
        <v>3220</v>
      </c>
      <c r="C221" s="98"/>
      <c r="D221" s="107"/>
      <c r="E221" s="107"/>
      <c r="F221" s="99">
        <v>0.14799999999999999</v>
      </c>
    </row>
    <row r="222" spans="1:6">
      <c r="A222" s="93" t="s">
        <v>283</v>
      </c>
      <c r="B222" s="97" t="s">
        <v>3230</v>
      </c>
      <c r="C222" s="98"/>
      <c r="D222" s="107"/>
      <c r="E222" s="107"/>
      <c r="F222" s="99">
        <v>0.1</v>
      </c>
    </row>
    <row r="223" spans="1:6">
      <c r="A223" s="93" t="s">
        <v>283</v>
      </c>
      <c r="B223" s="97" t="s">
        <v>3240</v>
      </c>
      <c r="C223" s="98"/>
      <c r="D223" s="107"/>
      <c r="E223" s="107"/>
      <c r="F223" s="99">
        <v>0.15</v>
      </c>
    </row>
    <row r="224" spans="1:6">
      <c r="A224" s="93" t="s">
        <v>283</v>
      </c>
      <c r="B224" s="97" t="s">
        <v>3250</v>
      </c>
      <c r="C224" s="98"/>
      <c r="D224" s="107"/>
      <c r="E224" s="107"/>
      <c r="F224" s="99">
        <v>0.15</v>
      </c>
    </row>
    <row r="225" spans="1:6">
      <c r="A225" s="93" t="s">
        <v>283</v>
      </c>
      <c r="B225" s="97" t="s">
        <v>3259</v>
      </c>
      <c r="C225" s="98">
        <v>0.15</v>
      </c>
      <c r="D225" s="98">
        <v>0.15</v>
      </c>
      <c r="E225" s="98">
        <v>0.15</v>
      </c>
      <c r="F225" s="99">
        <v>0.15</v>
      </c>
    </row>
    <row r="226" spans="1:6">
      <c r="A226" s="93" t="s">
        <v>283</v>
      </c>
      <c r="B226" s="97" t="s">
        <v>3267</v>
      </c>
      <c r="C226" s="98">
        <v>0.15</v>
      </c>
      <c r="D226" s="98">
        <v>0.15</v>
      </c>
      <c r="E226" s="98">
        <v>0.15</v>
      </c>
      <c r="F226" s="99">
        <v>0.14799999999999999</v>
      </c>
    </row>
    <row r="227" spans="1:6">
      <c r="A227" s="93" t="s">
        <v>283</v>
      </c>
      <c r="B227" s="97" t="s">
        <v>3275</v>
      </c>
      <c r="C227" s="98">
        <v>0.15</v>
      </c>
      <c r="D227" s="98">
        <v>0.15</v>
      </c>
      <c r="E227" s="98">
        <v>0.15</v>
      </c>
      <c r="F227" s="99">
        <v>0.15</v>
      </c>
    </row>
    <row r="228" spans="1:6">
      <c r="A228" s="93" t="s">
        <v>283</v>
      </c>
      <c r="B228" s="97" t="s">
        <v>3282</v>
      </c>
      <c r="C228" s="98">
        <v>0.15</v>
      </c>
      <c r="D228" s="98">
        <v>0.15</v>
      </c>
      <c r="E228" s="98">
        <v>0.15</v>
      </c>
      <c r="F228" s="99">
        <v>0.15</v>
      </c>
    </row>
    <row r="229" spans="1:6">
      <c r="A229" s="93" t="s">
        <v>283</v>
      </c>
      <c r="B229" s="97" t="s">
        <v>3289</v>
      </c>
      <c r="C229" s="98">
        <v>0.15</v>
      </c>
      <c r="D229" s="98">
        <v>0.15</v>
      </c>
      <c r="E229" s="98">
        <v>0.15</v>
      </c>
      <c r="F229" s="106"/>
    </row>
    <row r="230" spans="1:6">
      <c r="A230" s="93" t="s">
        <v>283</v>
      </c>
      <c r="B230" s="97" t="s">
        <v>3296</v>
      </c>
      <c r="C230" s="98">
        <v>0.14499999999999999</v>
      </c>
      <c r="D230" s="98">
        <v>0.14499999999999999</v>
      </c>
      <c r="E230" s="98">
        <v>0.14399999999999999</v>
      </c>
      <c r="F230" s="106"/>
    </row>
    <row r="231" spans="1:6">
      <c r="A231" s="93" t="s">
        <v>283</v>
      </c>
      <c r="B231" s="97" t="s">
        <v>3303</v>
      </c>
      <c r="C231" s="98">
        <v>0.128</v>
      </c>
      <c r="D231" s="98">
        <v>0.125</v>
      </c>
      <c r="E231" s="98">
        <v>0.13200000000000001</v>
      </c>
      <c r="F231" s="106"/>
    </row>
    <row r="232" spans="1:6">
      <c r="A232" s="93" t="s">
        <v>283</v>
      </c>
      <c r="B232" s="97" t="s">
        <v>3310</v>
      </c>
      <c r="C232" s="98">
        <v>0.14499999999999999</v>
      </c>
      <c r="D232" s="98">
        <v>0.14399999999999999</v>
      </c>
      <c r="E232" s="98">
        <v>0.14599999999999999</v>
      </c>
      <c r="F232" s="99">
        <v>0.13800000000000001</v>
      </c>
    </row>
    <row r="233" spans="1:6">
      <c r="A233" s="93" t="s">
        <v>283</v>
      </c>
      <c r="B233" s="97" t="s">
        <v>3315</v>
      </c>
      <c r="C233" s="98">
        <v>0.14499999999999999</v>
      </c>
      <c r="D233" s="98">
        <v>0.14299999999999999</v>
      </c>
      <c r="E233" s="98">
        <v>0.14199999999999999</v>
      </c>
      <c r="F233" s="106"/>
    </row>
    <row r="234" spans="1:6">
      <c r="A234" s="93" t="s">
        <v>283</v>
      </c>
      <c r="B234" s="97" t="s">
        <v>3393</v>
      </c>
      <c r="C234" s="98">
        <v>0.14000000000000001</v>
      </c>
      <c r="D234" s="98">
        <v>0.14000000000000001</v>
      </c>
      <c r="E234" s="98">
        <v>0.14399999999999999</v>
      </c>
      <c r="F234" s="106"/>
    </row>
    <row r="235" spans="1:6">
      <c r="A235" s="93" t="s">
        <v>283</v>
      </c>
      <c r="B235" s="97" t="s">
        <v>3325</v>
      </c>
      <c r="C235" s="98">
        <v>0.14099999999999999</v>
      </c>
      <c r="D235" s="98">
        <v>0.14199999999999999</v>
      </c>
      <c r="E235" s="98">
        <v>0.14499999999999999</v>
      </c>
      <c r="F235" s="99">
        <v>0.15</v>
      </c>
    </row>
    <row r="236" spans="1:6">
      <c r="A236" s="93" t="s">
        <v>283</v>
      </c>
      <c r="B236" s="97" t="s">
        <v>3330</v>
      </c>
      <c r="C236" s="107"/>
      <c r="D236" s="107"/>
      <c r="E236" s="107"/>
      <c r="F236" s="99">
        <v>0.14299999999999999</v>
      </c>
    </row>
    <row r="237" spans="1:6" ht="24">
      <c r="A237" s="93" t="s">
        <v>283</v>
      </c>
      <c r="B237" s="97" t="s">
        <v>3335</v>
      </c>
      <c r="C237" s="107"/>
      <c r="D237" s="107"/>
      <c r="E237" s="107"/>
      <c r="F237" s="99">
        <v>0.05</v>
      </c>
    </row>
    <row r="238" spans="1:6" ht="24">
      <c r="A238" s="93" t="s">
        <v>283</v>
      </c>
      <c r="B238" s="97" t="s">
        <v>3340</v>
      </c>
      <c r="C238" s="107"/>
      <c r="D238" s="107"/>
      <c r="E238" s="107"/>
      <c r="F238" s="99">
        <v>0.05</v>
      </c>
    </row>
    <row r="239" spans="1:6" ht="24">
      <c r="A239" s="93" t="s">
        <v>283</v>
      </c>
      <c r="B239" s="97" t="s">
        <v>3345</v>
      </c>
      <c r="C239" s="107"/>
      <c r="D239" s="107"/>
      <c r="E239" s="107"/>
      <c r="F239" s="99">
        <v>0.05</v>
      </c>
    </row>
    <row r="240" spans="1:6" ht="24">
      <c r="A240" s="93" t="s">
        <v>283</v>
      </c>
      <c r="B240" s="97" t="s">
        <v>3349</v>
      </c>
      <c r="C240" s="107"/>
      <c r="D240" s="107"/>
      <c r="E240" s="107"/>
      <c r="F240" s="99">
        <v>0.05</v>
      </c>
    </row>
    <row r="241" spans="1:6" ht="24">
      <c r="A241" s="93" t="s">
        <v>283</v>
      </c>
      <c r="B241" s="97" t="s">
        <v>3353</v>
      </c>
      <c r="C241" s="107"/>
      <c r="D241" s="107"/>
      <c r="E241" s="107"/>
      <c r="F241" s="99">
        <v>0.05</v>
      </c>
    </row>
    <row r="242" spans="1:6" ht="24">
      <c r="A242" s="93" t="s">
        <v>283</v>
      </c>
      <c r="B242" s="97" t="s">
        <v>3357</v>
      </c>
      <c r="C242" s="107"/>
      <c r="D242" s="107"/>
      <c r="E242" s="107"/>
      <c r="F242" s="99">
        <v>0.05</v>
      </c>
    </row>
    <row r="243" spans="1:6" ht="24">
      <c r="A243" s="93" t="s">
        <v>283</v>
      </c>
      <c r="B243" s="97" t="s">
        <v>3361</v>
      </c>
      <c r="C243" s="107"/>
      <c r="D243" s="107"/>
      <c r="E243" s="107"/>
      <c r="F243" s="99">
        <v>0.05</v>
      </c>
    </row>
    <row r="244" spans="1:6" ht="24">
      <c r="A244" s="101" t="s">
        <v>283</v>
      </c>
      <c r="B244" s="108" t="s">
        <v>3365</v>
      </c>
      <c r="C244" s="104"/>
      <c r="D244" s="104"/>
      <c r="E244" s="104"/>
      <c r="F244" s="109">
        <v>0.05</v>
      </c>
    </row>
    <row r="245" spans="1:6">
      <c r="A245" s="93" t="s">
        <v>286</v>
      </c>
      <c r="B245" s="94" t="s">
        <v>3058</v>
      </c>
      <c r="C245" s="95">
        <v>0.15</v>
      </c>
      <c r="D245" s="95">
        <v>0.15</v>
      </c>
      <c r="E245" s="95">
        <v>0.15</v>
      </c>
      <c r="F245" s="96">
        <v>0.14299999999999999</v>
      </c>
    </row>
    <row r="246" spans="1:6">
      <c r="A246" s="93" t="s">
        <v>286</v>
      </c>
      <c r="B246" s="97" t="s">
        <v>3071</v>
      </c>
      <c r="C246" s="98">
        <v>0.15</v>
      </c>
      <c r="D246" s="98">
        <v>0.15</v>
      </c>
      <c r="E246" s="98">
        <v>0.15</v>
      </c>
      <c r="F246" s="99">
        <v>0.114</v>
      </c>
    </row>
    <row r="247" spans="1:6">
      <c r="A247" s="93" t="s">
        <v>286</v>
      </c>
      <c r="B247" s="97" t="s">
        <v>3084</v>
      </c>
      <c r="C247" s="98">
        <v>0.15</v>
      </c>
      <c r="D247" s="98">
        <v>0.15</v>
      </c>
      <c r="E247" s="98">
        <v>0.15</v>
      </c>
      <c r="F247" s="99">
        <v>0.15</v>
      </c>
    </row>
    <row r="248" spans="1:6">
      <c r="A248" s="93" t="s">
        <v>286</v>
      </c>
      <c r="B248" s="97" t="s">
        <v>3096</v>
      </c>
      <c r="C248" s="98">
        <v>0.15</v>
      </c>
      <c r="D248" s="98">
        <v>0.15</v>
      </c>
      <c r="E248" s="98">
        <v>0.15</v>
      </c>
      <c r="F248" s="99">
        <v>0.14000000000000001</v>
      </c>
    </row>
    <row r="249" spans="1:6">
      <c r="A249" s="93" t="s">
        <v>286</v>
      </c>
      <c r="B249" s="97" t="s">
        <v>3108</v>
      </c>
      <c r="C249" s="98">
        <v>0.15</v>
      </c>
      <c r="D249" s="98">
        <v>0.14899999999999999</v>
      </c>
      <c r="E249" s="98">
        <v>0.15</v>
      </c>
      <c r="F249" s="99">
        <v>0.1</v>
      </c>
    </row>
    <row r="250" spans="1:6">
      <c r="A250" s="93" t="s">
        <v>286</v>
      </c>
      <c r="B250" s="97" t="s">
        <v>3119</v>
      </c>
      <c r="C250" s="98">
        <v>0.15</v>
      </c>
      <c r="D250" s="98">
        <v>0.15</v>
      </c>
      <c r="E250" s="98">
        <v>0.15</v>
      </c>
      <c r="F250" s="99">
        <v>0.14399999999999999</v>
      </c>
    </row>
    <row r="251" spans="1:6">
      <c r="A251" s="93" t="s">
        <v>286</v>
      </c>
      <c r="B251" s="97" t="s">
        <v>3130</v>
      </c>
      <c r="C251" s="98">
        <v>0.15</v>
      </c>
      <c r="D251" s="98">
        <v>0.15</v>
      </c>
      <c r="E251" s="98">
        <v>0.15</v>
      </c>
      <c r="F251" s="99">
        <v>0.14299999999999999</v>
      </c>
    </row>
    <row r="252" spans="1:6">
      <c r="A252" s="93" t="s">
        <v>286</v>
      </c>
      <c r="B252" s="97" t="s">
        <v>3141</v>
      </c>
      <c r="C252" s="98">
        <v>0.15</v>
      </c>
      <c r="D252" s="98">
        <v>0.15</v>
      </c>
      <c r="E252" s="98">
        <v>0.15</v>
      </c>
      <c r="F252" s="99">
        <v>0.1</v>
      </c>
    </row>
    <row r="253" spans="1:6">
      <c r="A253" s="93" t="s">
        <v>286</v>
      </c>
      <c r="B253" s="97" t="s">
        <v>3151</v>
      </c>
      <c r="C253" s="98">
        <v>0.15</v>
      </c>
      <c r="D253" s="98">
        <v>0.15</v>
      </c>
      <c r="E253" s="98">
        <v>0.15</v>
      </c>
      <c r="F253" s="99">
        <v>0.1</v>
      </c>
    </row>
    <row r="254" spans="1:6">
      <c r="A254" s="93" t="s">
        <v>286</v>
      </c>
      <c r="B254" s="97" t="s">
        <v>3161</v>
      </c>
      <c r="C254" s="107"/>
      <c r="D254" s="107"/>
      <c r="E254" s="107"/>
      <c r="F254" s="99">
        <v>0.15</v>
      </c>
    </row>
    <row r="255" spans="1:6">
      <c r="A255" s="93" t="s">
        <v>286</v>
      </c>
      <c r="B255" s="97" t="s">
        <v>3171</v>
      </c>
      <c r="C255" s="107"/>
      <c r="D255" s="107"/>
      <c r="E255" s="107"/>
      <c r="F255" s="99">
        <v>0.14299999999999999</v>
      </c>
    </row>
    <row r="256" spans="1:6">
      <c r="A256" s="93" t="s">
        <v>286</v>
      </c>
      <c r="B256" s="97" t="s">
        <v>3181</v>
      </c>
      <c r="C256" s="98">
        <v>0.14599999999999999</v>
      </c>
      <c r="D256" s="98">
        <v>0.14699999999999999</v>
      </c>
      <c r="E256" s="98">
        <v>0.15</v>
      </c>
      <c r="F256" s="99">
        <v>0.13200000000000001</v>
      </c>
    </row>
    <row r="257" spans="1:6">
      <c r="A257" s="93" t="s">
        <v>286</v>
      </c>
      <c r="B257" s="97" t="s">
        <v>3191</v>
      </c>
      <c r="C257" s="98">
        <v>0.15</v>
      </c>
      <c r="D257" s="98">
        <v>0.15</v>
      </c>
      <c r="E257" s="98">
        <v>0.15</v>
      </c>
      <c r="F257" s="99">
        <v>0.13900000000000001</v>
      </c>
    </row>
    <row r="258" spans="1:6">
      <c r="A258" s="93" t="s">
        <v>286</v>
      </c>
      <c r="B258" s="97" t="s">
        <v>3201</v>
      </c>
      <c r="C258" s="98">
        <v>0.15</v>
      </c>
      <c r="D258" s="98">
        <v>0.15</v>
      </c>
      <c r="E258" s="98">
        <v>0.15</v>
      </c>
      <c r="F258" s="99">
        <v>0.13</v>
      </c>
    </row>
    <row r="259" spans="1:6">
      <c r="A259" s="93" t="s">
        <v>286</v>
      </c>
      <c r="B259" s="97" t="s">
        <v>3211</v>
      </c>
      <c r="C259" s="98">
        <v>0.14799999999999999</v>
      </c>
      <c r="D259" s="98">
        <v>0.14899999999999999</v>
      </c>
      <c r="E259" s="98">
        <v>0.15</v>
      </c>
      <c r="F259" s="99">
        <v>0.13700000000000001</v>
      </c>
    </row>
    <row r="260" spans="1:6">
      <c r="A260" s="93" t="s">
        <v>286</v>
      </c>
      <c r="B260" s="97" t="s">
        <v>3221</v>
      </c>
      <c r="C260" s="98">
        <v>0.15</v>
      </c>
      <c r="D260" s="98">
        <v>0.15</v>
      </c>
      <c r="E260" s="98">
        <v>0.15</v>
      </c>
      <c r="F260" s="99">
        <v>0.14199999999999999</v>
      </c>
    </row>
    <row r="261" spans="1:6">
      <c r="A261" s="93" t="s">
        <v>286</v>
      </c>
      <c r="B261" s="97" t="s">
        <v>3231</v>
      </c>
      <c r="C261" s="98">
        <v>0.15</v>
      </c>
      <c r="D261" s="98">
        <v>0.15</v>
      </c>
      <c r="E261" s="98">
        <v>0.14899999999999999</v>
      </c>
      <c r="F261" s="99">
        <v>0.14799999999999999</v>
      </c>
    </row>
    <row r="262" spans="1:6">
      <c r="A262" s="93" t="s">
        <v>286</v>
      </c>
      <c r="B262" s="97" t="s">
        <v>3241</v>
      </c>
      <c r="C262" s="98">
        <v>0.15</v>
      </c>
      <c r="D262" s="98">
        <v>0.15</v>
      </c>
      <c r="E262" s="98">
        <v>0.15</v>
      </c>
      <c r="F262" s="106"/>
    </row>
    <row r="263" spans="1:6">
      <c r="A263" s="93" t="s">
        <v>286</v>
      </c>
      <c r="B263" s="97" t="s">
        <v>3251</v>
      </c>
      <c r="C263" s="98">
        <v>0.14899999999999999</v>
      </c>
      <c r="D263" s="98">
        <v>0.14899999999999999</v>
      </c>
      <c r="E263" s="98">
        <v>0.15</v>
      </c>
      <c r="F263" s="99">
        <v>0.13</v>
      </c>
    </row>
    <row r="264" spans="1:6">
      <c r="A264" s="93" t="s">
        <v>286</v>
      </c>
      <c r="B264" s="97" t="s">
        <v>3260</v>
      </c>
      <c r="C264" s="98">
        <v>0.14799999999999999</v>
      </c>
      <c r="D264" s="98">
        <v>0.14699999999999999</v>
      </c>
      <c r="E264" s="98">
        <v>0.15</v>
      </c>
      <c r="F264" s="99">
        <v>7.8E-2</v>
      </c>
    </row>
    <row r="265" spans="1:6">
      <c r="A265" s="93" t="s">
        <v>286</v>
      </c>
      <c r="B265" s="97" t="s">
        <v>3268</v>
      </c>
      <c r="C265" s="98">
        <v>0.15</v>
      </c>
      <c r="D265" s="98">
        <v>0.15</v>
      </c>
      <c r="E265" s="98">
        <v>0.15</v>
      </c>
      <c r="F265" s="99">
        <v>7.3999999999999996E-2</v>
      </c>
    </row>
    <row r="266" spans="1:6">
      <c r="A266" s="93" t="s">
        <v>286</v>
      </c>
      <c r="B266" s="97" t="s">
        <v>3276</v>
      </c>
      <c r="C266" s="98">
        <v>0.14699999999999999</v>
      </c>
      <c r="D266" s="98">
        <v>0.14699999999999999</v>
      </c>
      <c r="E266" s="98">
        <v>0.15</v>
      </c>
      <c r="F266" s="99">
        <v>0.14299999999999999</v>
      </c>
    </row>
    <row r="267" spans="1:6">
      <c r="A267" s="93" t="s">
        <v>286</v>
      </c>
      <c r="B267" s="97" t="s">
        <v>3283</v>
      </c>
      <c r="C267" s="98">
        <v>0.14199999999999999</v>
      </c>
      <c r="D267" s="98">
        <v>0.14299999999999999</v>
      </c>
      <c r="E267" s="98">
        <v>0.15</v>
      </c>
      <c r="F267" s="106"/>
    </row>
    <row r="268" spans="1:6">
      <c r="A268" s="93" t="s">
        <v>286</v>
      </c>
      <c r="B268" s="97" t="s">
        <v>3290</v>
      </c>
      <c r="C268" s="98">
        <v>0.15</v>
      </c>
      <c r="D268" s="98">
        <v>0.15</v>
      </c>
      <c r="E268" s="98">
        <v>0.15</v>
      </c>
      <c r="F268" s="99">
        <v>0.13</v>
      </c>
    </row>
    <row r="269" spans="1:6">
      <c r="A269" s="93" t="s">
        <v>286</v>
      </c>
      <c r="B269" s="97" t="s">
        <v>3297</v>
      </c>
      <c r="C269" s="98">
        <v>0.15</v>
      </c>
      <c r="D269" s="98">
        <v>0.15</v>
      </c>
      <c r="E269" s="98">
        <v>0.15</v>
      </c>
      <c r="F269" s="99">
        <v>0.14299999999999999</v>
      </c>
    </row>
    <row r="270" spans="1:6">
      <c r="A270" s="93" t="s">
        <v>286</v>
      </c>
      <c r="B270" s="97" t="s">
        <v>3304</v>
      </c>
      <c r="C270" s="98">
        <v>0.14499999999999999</v>
      </c>
      <c r="D270" s="98">
        <v>0.14499999999999999</v>
      </c>
      <c r="E270" s="98">
        <v>0.15</v>
      </c>
      <c r="F270" s="99">
        <v>0.14699999999999999</v>
      </c>
    </row>
    <row r="271" spans="1:6">
      <c r="A271" s="93" t="s">
        <v>286</v>
      </c>
      <c r="B271" s="97" t="s">
        <v>3311</v>
      </c>
      <c r="C271" s="98">
        <v>0.15</v>
      </c>
      <c r="D271" s="98">
        <v>0.15</v>
      </c>
      <c r="E271" s="98">
        <v>0.15</v>
      </c>
      <c r="F271" s="99">
        <v>0.13800000000000001</v>
      </c>
    </row>
    <row r="272" spans="1:6">
      <c r="A272" s="93" t="s">
        <v>286</v>
      </c>
      <c r="B272" s="97" t="s">
        <v>3316</v>
      </c>
      <c r="C272" s="107"/>
      <c r="D272" s="107"/>
      <c r="E272" s="107"/>
      <c r="F272" s="99">
        <v>0.14000000000000001</v>
      </c>
    </row>
    <row r="273" spans="1:6">
      <c r="A273" s="93" t="s">
        <v>286</v>
      </c>
      <c r="B273" s="97" t="s">
        <v>3321</v>
      </c>
      <c r="C273" s="98">
        <v>0.14199999999999999</v>
      </c>
      <c r="D273" s="98">
        <v>0.14299999999999999</v>
      </c>
      <c r="E273" s="98">
        <v>0.15</v>
      </c>
      <c r="F273" s="99">
        <v>0.1</v>
      </c>
    </row>
    <row r="274" spans="1:6">
      <c r="A274" s="93" t="s">
        <v>286</v>
      </c>
      <c r="B274" s="97" t="s">
        <v>3326</v>
      </c>
      <c r="C274" s="98">
        <v>0.14799999999999999</v>
      </c>
      <c r="D274" s="98">
        <v>0.14799999999999999</v>
      </c>
      <c r="E274" s="98">
        <v>0.15</v>
      </c>
      <c r="F274" s="99">
        <v>6.7000000000000004E-2</v>
      </c>
    </row>
    <row r="275" spans="1:6">
      <c r="A275" s="93" t="s">
        <v>286</v>
      </c>
      <c r="B275" s="97" t="s">
        <v>3331</v>
      </c>
      <c r="C275" s="98">
        <v>0.15</v>
      </c>
      <c r="D275" s="98">
        <v>0.15</v>
      </c>
      <c r="E275" s="98">
        <v>0.15</v>
      </c>
      <c r="F275" s="99">
        <v>0.15</v>
      </c>
    </row>
    <row r="276" spans="1:6">
      <c r="A276" s="93" t="s">
        <v>286</v>
      </c>
      <c r="B276" s="97" t="s">
        <v>3336</v>
      </c>
      <c r="C276" s="98">
        <v>0.14499999999999999</v>
      </c>
      <c r="D276" s="98">
        <v>0.14299999999999999</v>
      </c>
      <c r="E276" s="98">
        <v>0.15</v>
      </c>
      <c r="F276" s="99">
        <v>5.8999999999999997E-2</v>
      </c>
    </row>
    <row r="277" spans="1:6">
      <c r="A277" s="93" t="s">
        <v>286</v>
      </c>
      <c r="B277" s="97" t="s">
        <v>3341</v>
      </c>
      <c r="C277" s="98">
        <v>0.15</v>
      </c>
      <c r="D277" s="98">
        <v>0.15</v>
      </c>
      <c r="E277" s="98">
        <v>0.15</v>
      </c>
      <c r="F277" s="99">
        <v>0.121</v>
      </c>
    </row>
    <row r="278" spans="1:6">
      <c r="A278" s="93" t="s">
        <v>286</v>
      </c>
      <c r="B278" s="97" t="s">
        <v>3346</v>
      </c>
      <c r="C278" s="98">
        <v>0.15</v>
      </c>
      <c r="D278" s="98">
        <v>0.15</v>
      </c>
      <c r="E278" s="98">
        <v>0.15</v>
      </c>
      <c r="F278" s="99">
        <v>0.13800000000000001</v>
      </c>
    </row>
    <row r="279" spans="1:6" ht="24">
      <c r="A279" s="93" t="s">
        <v>286</v>
      </c>
      <c r="B279" s="97" t="s">
        <v>3350</v>
      </c>
      <c r="C279" s="107"/>
      <c r="D279" s="107"/>
      <c r="E279" s="107"/>
      <c r="F279" s="99">
        <v>0.05</v>
      </c>
    </row>
    <row r="280" spans="1:6" ht="24">
      <c r="A280" s="93" t="s">
        <v>286</v>
      </c>
      <c r="B280" s="97" t="s">
        <v>3354</v>
      </c>
      <c r="C280" s="107"/>
      <c r="D280" s="107"/>
      <c r="E280" s="107"/>
      <c r="F280" s="99">
        <v>0.05</v>
      </c>
    </row>
    <row r="281" spans="1:6" ht="24">
      <c r="A281" s="93" t="s">
        <v>286</v>
      </c>
      <c r="B281" s="97" t="s">
        <v>3358</v>
      </c>
      <c r="C281" s="107"/>
      <c r="D281" s="107"/>
      <c r="E281" s="107"/>
      <c r="F281" s="99">
        <v>0.05</v>
      </c>
    </row>
    <row r="282" spans="1:6" ht="24">
      <c r="A282" s="93" t="s">
        <v>286</v>
      </c>
      <c r="B282" s="97" t="s">
        <v>3362</v>
      </c>
      <c r="C282" s="107"/>
      <c r="D282" s="107"/>
      <c r="E282" s="107"/>
      <c r="F282" s="99">
        <v>0.05</v>
      </c>
    </row>
    <row r="283" spans="1:6" ht="24">
      <c r="A283" s="93" t="s">
        <v>286</v>
      </c>
      <c r="B283" s="97" t="s">
        <v>3366</v>
      </c>
      <c r="C283" s="107"/>
      <c r="D283" s="107"/>
      <c r="E283" s="107"/>
      <c r="F283" s="99">
        <v>0.05</v>
      </c>
    </row>
    <row r="284" spans="1:6" ht="24">
      <c r="A284" s="93" t="s">
        <v>286</v>
      </c>
      <c r="B284" s="97" t="s">
        <v>3369</v>
      </c>
      <c r="C284" s="107"/>
      <c r="D284" s="107"/>
      <c r="E284" s="107"/>
      <c r="F284" s="99">
        <v>0.05</v>
      </c>
    </row>
    <row r="285" spans="1:6" ht="24">
      <c r="A285" s="93" t="s">
        <v>286</v>
      </c>
      <c r="B285" s="97" t="s">
        <v>3372</v>
      </c>
      <c r="C285" s="107"/>
      <c r="D285" s="107"/>
      <c r="E285" s="107"/>
      <c r="F285" s="99">
        <v>0.05</v>
      </c>
    </row>
    <row r="286" spans="1:6" ht="24">
      <c r="A286" s="93" t="s">
        <v>286</v>
      </c>
      <c r="B286" s="97" t="s">
        <v>3375</v>
      </c>
      <c r="C286" s="107"/>
      <c r="D286" s="107"/>
      <c r="E286" s="107"/>
      <c r="F286" s="99">
        <v>0.05</v>
      </c>
    </row>
    <row r="287" spans="1:6" ht="24">
      <c r="A287" s="93" t="s">
        <v>286</v>
      </c>
      <c r="B287" s="97" t="s">
        <v>3378</v>
      </c>
      <c r="C287" s="107"/>
      <c r="D287" s="107"/>
      <c r="E287" s="107"/>
      <c r="F287" s="99">
        <v>0.05</v>
      </c>
    </row>
    <row r="288" spans="1:6" ht="24">
      <c r="A288" s="93" t="s">
        <v>286</v>
      </c>
      <c r="B288" s="97" t="s">
        <v>3381</v>
      </c>
      <c r="C288" s="107"/>
      <c r="D288" s="107"/>
      <c r="E288" s="107"/>
      <c r="F288" s="99">
        <v>0.05</v>
      </c>
    </row>
    <row r="289" spans="1:6" ht="24">
      <c r="A289" s="101" t="s">
        <v>286</v>
      </c>
      <c r="B289" s="108" t="s">
        <v>3384</v>
      </c>
      <c r="C289" s="104"/>
      <c r="D289" s="104"/>
      <c r="E289" s="104"/>
      <c r="F289" s="109">
        <v>0.05</v>
      </c>
    </row>
    <row r="290" spans="1:6">
      <c r="A290" s="93" t="s">
        <v>289</v>
      </c>
      <c r="B290" s="94" t="s">
        <v>3059</v>
      </c>
      <c r="C290" s="95">
        <v>0.15</v>
      </c>
      <c r="D290" s="95">
        <v>0.15</v>
      </c>
      <c r="E290" s="95">
        <v>0.15</v>
      </c>
      <c r="F290" s="117"/>
    </row>
    <row r="291" spans="1:6">
      <c r="A291" s="93" t="s">
        <v>289</v>
      </c>
      <c r="B291" s="97" t="s">
        <v>3072</v>
      </c>
      <c r="C291" s="98">
        <v>0.15</v>
      </c>
      <c r="D291" s="98">
        <v>0.15</v>
      </c>
      <c r="E291" s="98">
        <v>0.15</v>
      </c>
      <c r="F291" s="106"/>
    </row>
    <row r="292" spans="1:6">
      <c r="A292" s="93" t="s">
        <v>289</v>
      </c>
      <c r="B292" s="97" t="s">
        <v>3085</v>
      </c>
      <c r="C292" s="98">
        <v>0.15</v>
      </c>
      <c r="D292" s="98">
        <v>0.15</v>
      </c>
      <c r="E292" s="98">
        <v>0.15</v>
      </c>
      <c r="F292" s="99">
        <v>0.14699999999999999</v>
      </c>
    </row>
    <row r="293" spans="1:6">
      <c r="A293" s="93" t="s">
        <v>289</v>
      </c>
      <c r="B293" s="97" t="s">
        <v>3391</v>
      </c>
      <c r="C293" s="107"/>
      <c r="D293" s="107"/>
      <c r="E293" s="107"/>
      <c r="F293" s="99">
        <v>0.1</v>
      </c>
    </row>
    <row r="294" spans="1:6">
      <c r="A294" s="93" t="s">
        <v>289</v>
      </c>
      <c r="B294" s="97" t="s">
        <v>3097</v>
      </c>
      <c r="C294" s="98">
        <v>0.15</v>
      </c>
      <c r="D294" s="98">
        <v>0.15</v>
      </c>
      <c r="E294" s="98">
        <v>0.15</v>
      </c>
      <c r="F294" s="99">
        <v>0.15</v>
      </c>
    </row>
    <row r="295" spans="1:6">
      <c r="A295" s="93" t="s">
        <v>289</v>
      </c>
      <c r="B295" s="97" t="s">
        <v>3109</v>
      </c>
      <c r="C295" s="98">
        <v>0.15</v>
      </c>
      <c r="D295" s="98">
        <v>0.15</v>
      </c>
      <c r="E295" s="98">
        <v>0.15</v>
      </c>
      <c r="F295" s="99">
        <v>0.15</v>
      </c>
    </row>
    <row r="296" spans="1:6">
      <c r="A296" s="93" t="s">
        <v>289</v>
      </c>
      <c r="B296" s="97" t="s">
        <v>3120</v>
      </c>
      <c r="C296" s="98">
        <v>0.15</v>
      </c>
      <c r="D296" s="98">
        <v>0.15</v>
      </c>
      <c r="E296" s="98">
        <v>0.15</v>
      </c>
      <c r="F296" s="99">
        <v>0.15</v>
      </c>
    </row>
    <row r="297" spans="1:6">
      <c r="A297" s="93" t="s">
        <v>289</v>
      </c>
      <c r="B297" s="97" t="s">
        <v>3131</v>
      </c>
      <c r="C297" s="98">
        <v>0.14799999999999999</v>
      </c>
      <c r="D297" s="98">
        <v>0.14899999999999999</v>
      </c>
      <c r="E297" s="98">
        <v>0.15</v>
      </c>
      <c r="F297" s="99">
        <v>0.13700000000000001</v>
      </c>
    </row>
    <row r="298" spans="1:6">
      <c r="A298" s="93" t="s">
        <v>289</v>
      </c>
      <c r="B298" s="97" t="s">
        <v>3142</v>
      </c>
      <c r="C298" s="98">
        <v>0.13400000000000001</v>
      </c>
      <c r="D298" s="98">
        <v>0.13400000000000001</v>
      </c>
      <c r="E298" s="98">
        <v>0.14499999999999999</v>
      </c>
      <c r="F298" s="99">
        <v>0.14799999999999999</v>
      </c>
    </row>
    <row r="299" spans="1:6">
      <c r="A299" s="93" t="s">
        <v>289</v>
      </c>
      <c r="B299" s="97" t="s">
        <v>3152</v>
      </c>
      <c r="C299" s="98">
        <v>0.15</v>
      </c>
      <c r="D299" s="98">
        <v>0.15</v>
      </c>
      <c r="E299" s="98">
        <v>0.15</v>
      </c>
      <c r="F299" s="106"/>
    </row>
    <row r="300" spans="1:6">
      <c r="A300" s="93" t="s">
        <v>289</v>
      </c>
      <c r="B300" s="97" t="s">
        <v>3162</v>
      </c>
      <c r="C300" s="98">
        <v>0.15</v>
      </c>
      <c r="D300" s="98">
        <v>0.15</v>
      </c>
      <c r="E300" s="98">
        <v>0.15</v>
      </c>
      <c r="F300" s="99">
        <v>0.15</v>
      </c>
    </row>
    <row r="301" spans="1:6">
      <c r="A301" s="93" t="s">
        <v>289</v>
      </c>
      <c r="B301" s="97" t="s">
        <v>3172</v>
      </c>
      <c r="C301" s="98">
        <v>0.15</v>
      </c>
      <c r="D301" s="98">
        <v>0.15</v>
      </c>
      <c r="E301" s="98">
        <v>0.15</v>
      </c>
      <c r="F301" s="106"/>
    </row>
    <row r="302" spans="1:6">
      <c r="A302" s="93" t="s">
        <v>289</v>
      </c>
      <c r="B302" s="97" t="s">
        <v>3182</v>
      </c>
      <c r="C302" s="98">
        <v>0.15</v>
      </c>
      <c r="D302" s="98">
        <v>0.15</v>
      </c>
      <c r="E302" s="98">
        <v>0.15</v>
      </c>
      <c r="F302" s="99">
        <v>0.15</v>
      </c>
    </row>
    <row r="303" spans="1:6">
      <c r="A303" s="93" t="s">
        <v>289</v>
      </c>
      <c r="B303" s="97" t="s">
        <v>3192</v>
      </c>
      <c r="C303" s="98">
        <v>0.15</v>
      </c>
      <c r="D303" s="98">
        <v>0.15</v>
      </c>
      <c r="E303" s="98">
        <v>0.15</v>
      </c>
      <c r="F303" s="99">
        <v>0.15</v>
      </c>
    </row>
    <row r="304" spans="1:6">
      <c r="A304" s="93" t="s">
        <v>289</v>
      </c>
      <c r="B304" s="97" t="s">
        <v>3202</v>
      </c>
      <c r="C304" s="98">
        <v>0.15</v>
      </c>
      <c r="D304" s="98">
        <v>0.15</v>
      </c>
      <c r="E304" s="98">
        <v>0.15</v>
      </c>
      <c r="F304" s="106"/>
    </row>
    <row r="305" spans="1:6">
      <c r="A305" s="93" t="s">
        <v>289</v>
      </c>
      <c r="B305" s="97" t="s">
        <v>3212</v>
      </c>
      <c r="C305" s="98">
        <v>0.15</v>
      </c>
      <c r="D305" s="98">
        <v>0.15</v>
      </c>
      <c r="E305" s="98">
        <v>0.15</v>
      </c>
      <c r="F305" s="99">
        <v>0.14000000000000001</v>
      </c>
    </row>
    <row r="306" spans="1:6">
      <c r="A306" s="93" t="s">
        <v>289</v>
      </c>
      <c r="B306" s="97" t="s">
        <v>3222</v>
      </c>
      <c r="C306" s="98">
        <v>0.15</v>
      </c>
      <c r="D306" s="98">
        <v>0.15</v>
      </c>
      <c r="E306" s="98">
        <v>0.15</v>
      </c>
      <c r="F306" s="106"/>
    </row>
    <row r="307" spans="1:6">
      <c r="A307" s="93" t="s">
        <v>289</v>
      </c>
      <c r="B307" s="97" t="s">
        <v>3232</v>
      </c>
      <c r="C307" s="98">
        <v>0.15</v>
      </c>
      <c r="D307" s="98">
        <v>0.15</v>
      </c>
      <c r="E307" s="98">
        <v>0.15</v>
      </c>
      <c r="F307" s="99">
        <v>0.14299999999999999</v>
      </c>
    </row>
    <row r="308" spans="1:6">
      <c r="A308" s="93" t="s">
        <v>289</v>
      </c>
      <c r="B308" s="97" t="s">
        <v>3242</v>
      </c>
      <c r="C308" s="98">
        <v>0.15</v>
      </c>
      <c r="D308" s="98">
        <v>0.15</v>
      </c>
      <c r="E308" s="98">
        <v>0.15</v>
      </c>
      <c r="F308" s="99">
        <v>0.15</v>
      </c>
    </row>
    <row r="309" spans="1:6">
      <c r="A309" s="93" t="s">
        <v>289</v>
      </c>
      <c r="B309" s="97" t="s">
        <v>3252</v>
      </c>
      <c r="C309" s="98">
        <v>0.15</v>
      </c>
      <c r="D309" s="98">
        <v>0.15</v>
      </c>
      <c r="E309" s="98">
        <v>0.15</v>
      </c>
      <c r="F309" s="106"/>
    </row>
    <row r="310" spans="1:6">
      <c r="A310" s="93" t="s">
        <v>289</v>
      </c>
      <c r="B310" s="97" t="s">
        <v>3261</v>
      </c>
      <c r="C310" s="98">
        <v>0.15</v>
      </c>
      <c r="D310" s="98">
        <v>0.15</v>
      </c>
      <c r="E310" s="98">
        <v>0.15</v>
      </c>
      <c r="F310" s="99">
        <v>0.13700000000000001</v>
      </c>
    </row>
    <row r="311" spans="1:6">
      <c r="A311" s="93" t="s">
        <v>289</v>
      </c>
      <c r="B311" s="97" t="s">
        <v>3269</v>
      </c>
      <c r="C311" s="98">
        <v>0.15</v>
      </c>
      <c r="D311" s="98">
        <v>0.15</v>
      </c>
      <c r="E311" s="98">
        <v>0.15</v>
      </c>
      <c r="F311" s="99">
        <v>0.15</v>
      </c>
    </row>
    <row r="312" spans="1:6">
      <c r="A312" s="93" t="s">
        <v>289</v>
      </c>
      <c r="B312" s="97" t="s">
        <v>3277</v>
      </c>
      <c r="C312" s="98">
        <v>0.15</v>
      </c>
      <c r="D312" s="98">
        <v>0.15</v>
      </c>
      <c r="E312" s="98">
        <v>0.15</v>
      </c>
      <c r="F312" s="99">
        <v>0.1</v>
      </c>
    </row>
    <row r="313" spans="1:6">
      <c r="A313" s="93" t="s">
        <v>289</v>
      </c>
      <c r="B313" s="97" t="s">
        <v>3284</v>
      </c>
      <c r="C313" s="98">
        <v>0.15</v>
      </c>
      <c r="D313" s="98">
        <v>0.15</v>
      </c>
      <c r="E313" s="98">
        <v>0.15</v>
      </c>
      <c r="F313" s="99">
        <v>0.15</v>
      </c>
    </row>
    <row r="314" spans="1:6" ht="24">
      <c r="A314" s="93" t="s">
        <v>289</v>
      </c>
      <c r="B314" s="97" t="s">
        <v>3291</v>
      </c>
      <c r="C314" s="107"/>
      <c r="D314" s="107"/>
      <c r="E314" s="107"/>
      <c r="F314" s="99">
        <v>0.05</v>
      </c>
    </row>
    <row r="315" spans="1:6" ht="24">
      <c r="A315" s="93" t="s">
        <v>289</v>
      </c>
      <c r="B315" s="97" t="s">
        <v>3298</v>
      </c>
      <c r="C315" s="107"/>
      <c r="D315" s="107"/>
      <c r="E315" s="107"/>
      <c r="F315" s="99">
        <v>0.05</v>
      </c>
    </row>
    <row r="316" spans="1:6" ht="24">
      <c r="A316" s="101" t="s">
        <v>289</v>
      </c>
      <c r="B316" s="108" t="s">
        <v>3305</v>
      </c>
      <c r="C316" s="104"/>
      <c r="D316" s="104"/>
      <c r="E316" s="104"/>
      <c r="F316" s="109">
        <v>0.05</v>
      </c>
    </row>
    <row r="317" spans="1:6">
      <c r="A317" s="93" t="s">
        <v>292</v>
      </c>
      <c r="B317" s="94" t="s">
        <v>3060</v>
      </c>
      <c r="C317" s="95">
        <v>0.15</v>
      </c>
      <c r="D317" s="95">
        <v>0.15</v>
      </c>
      <c r="E317" s="95">
        <v>0.15</v>
      </c>
      <c r="F317" s="96">
        <v>0.15</v>
      </c>
    </row>
    <row r="318" spans="1:6">
      <c r="A318" s="93" t="s">
        <v>292</v>
      </c>
      <c r="B318" s="97" t="s">
        <v>3073</v>
      </c>
      <c r="C318" s="98">
        <v>0.107</v>
      </c>
      <c r="D318" s="98">
        <v>0.11</v>
      </c>
      <c r="E318" s="98">
        <v>0.112</v>
      </c>
      <c r="F318" s="106"/>
    </row>
    <row r="319" spans="1:6">
      <c r="A319" s="93" t="s">
        <v>292</v>
      </c>
      <c r="B319" s="97" t="s">
        <v>3086</v>
      </c>
      <c r="C319" s="98">
        <v>0.15</v>
      </c>
      <c r="D319" s="98">
        <v>0.15</v>
      </c>
      <c r="E319" s="98">
        <v>0.15</v>
      </c>
      <c r="F319" s="99">
        <v>0.15</v>
      </c>
    </row>
    <row r="320" spans="1:6">
      <c r="A320" s="93" t="s">
        <v>292</v>
      </c>
      <c r="B320" s="97" t="s">
        <v>3098</v>
      </c>
      <c r="C320" s="98">
        <v>0.15</v>
      </c>
      <c r="D320" s="98">
        <v>0.15</v>
      </c>
      <c r="E320" s="98">
        <v>0.15</v>
      </c>
      <c r="F320" s="106"/>
    </row>
    <row r="321" spans="1:6">
      <c r="A321" s="93" t="s">
        <v>292</v>
      </c>
      <c r="B321" s="97" t="s">
        <v>3110</v>
      </c>
      <c r="C321" s="98">
        <v>0.15</v>
      </c>
      <c r="D321" s="98">
        <v>0.15</v>
      </c>
      <c r="E321" s="98">
        <v>0.15</v>
      </c>
      <c r="F321" s="106"/>
    </row>
    <row r="322" spans="1:6">
      <c r="A322" s="93" t="s">
        <v>292</v>
      </c>
      <c r="B322" s="97" t="s">
        <v>3121</v>
      </c>
      <c r="C322" s="98">
        <v>0.15</v>
      </c>
      <c r="D322" s="98">
        <v>0.15</v>
      </c>
      <c r="E322" s="98">
        <v>0.15</v>
      </c>
      <c r="F322" s="99">
        <v>0.15</v>
      </c>
    </row>
    <row r="323" spans="1:6">
      <c r="A323" s="93" t="s">
        <v>292</v>
      </c>
      <c r="B323" s="97" t="s">
        <v>3132</v>
      </c>
      <c r="C323" s="98">
        <v>0.15</v>
      </c>
      <c r="D323" s="98">
        <v>0.15</v>
      </c>
      <c r="E323" s="98">
        <v>0.15</v>
      </c>
      <c r="F323" s="106"/>
    </row>
    <row r="324" spans="1:6">
      <c r="A324" s="93" t="s">
        <v>292</v>
      </c>
      <c r="B324" s="97" t="s">
        <v>3143</v>
      </c>
      <c r="C324" s="98">
        <v>0.15</v>
      </c>
      <c r="D324" s="98">
        <v>0.15</v>
      </c>
      <c r="E324" s="98">
        <v>0.15</v>
      </c>
      <c r="F324" s="106"/>
    </row>
    <row r="325" spans="1:6">
      <c r="A325" s="93" t="s">
        <v>292</v>
      </c>
      <c r="B325" s="97" t="s">
        <v>3153</v>
      </c>
      <c r="C325" s="98">
        <v>0.15</v>
      </c>
      <c r="D325" s="98">
        <v>0.15</v>
      </c>
      <c r="E325" s="98">
        <v>0.15</v>
      </c>
      <c r="F325" s="99">
        <v>0.14699999999999999</v>
      </c>
    </row>
    <row r="326" spans="1:6">
      <c r="A326" s="93" t="s">
        <v>292</v>
      </c>
      <c r="B326" s="97" t="s">
        <v>3163</v>
      </c>
      <c r="C326" s="98">
        <v>0.15</v>
      </c>
      <c r="D326" s="98">
        <v>0.15</v>
      </c>
      <c r="E326" s="98">
        <v>0.15</v>
      </c>
      <c r="F326" s="106"/>
    </row>
    <row r="327" spans="1:6">
      <c r="A327" s="93" t="s">
        <v>292</v>
      </c>
      <c r="B327" s="97" t="s">
        <v>3173</v>
      </c>
      <c r="C327" s="98">
        <v>0.15</v>
      </c>
      <c r="D327" s="98">
        <v>0.15</v>
      </c>
      <c r="E327" s="98">
        <v>0.15</v>
      </c>
      <c r="F327" s="99">
        <v>0.15</v>
      </c>
    </row>
    <row r="328" spans="1:6">
      <c r="A328" s="93" t="s">
        <v>292</v>
      </c>
      <c r="B328" s="97" t="s">
        <v>3183</v>
      </c>
      <c r="C328" s="98">
        <v>0.15</v>
      </c>
      <c r="D328" s="98">
        <v>0.15</v>
      </c>
      <c r="E328" s="98">
        <v>0.15</v>
      </c>
      <c r="F328" s="99">
        <v>0.14099999999999999</v>
      </c>
    </row>
    <row r="329" spans="1:6">
      <c r="A329" s="93" t="s">
        <v>292</v>
      </c>
      <c r="B329" s="97" t="s">
        <v>3193</v>
      </c>
      <c r="C329" s="98">
        <v>0.15</v>
      </c>
      <c r="D329" s="98">
        <v>0.15</v>
      </c>
      <c r="E329" s="98">
        <v>0.15</v>
      </c>
      <c r="F329" s="99">
        <v>0.15</v>
      </c>
    </row>
    <row r="330" spans="1:6">
      <c r="A330" s="93" t="s">
        <v>292</v>
      </c>
      <c r="B330" s="97" t="s">
        <v>3203</v>
      </c>
      <c r="C330" s="98">
        <v>0.15</v>
      </c>
      <c r="D330" s="98">
        <v>0.15</v>
      </c>
      <c r="E330" s="98">
        <v>0.15</v>
      </c>
      <c r="F330" s="106"/>
    </row>
    <row r="331" spans="1:6">
      <c r="A331" s="93" t="s">
        <v>292</v>
      </c>
      <c r="B331" s="97" t="s">
        <v>3213</v>
      </c>
      <c r="C331" s="98">
        <v>0.15</v>
      </c>
      <c r="D331" s="98">
        <v>0.15</v>
      </c>
      <c r="E331" s="98">
        <v>0.15</v>
      </c>
      <c r="F331" s="99">
        <v>0.15</v>
      </c>
    </row>
    <row r="332" spans="1:6">
      <c r="A332" s="93" t="s">
        <v>292</v>
      </c>
      <c r="B332" s="97" t="s">
        <v>3223</v>
      </c>
      <c r="C332" s="98">
        <v>0.15</v>
      </c>
      <c r="D332" s="98">
        <v>0.15</v>
      </c>
      <c r="E332" s="98">
        <v>0.15</v>
      </c>
      <c r="F332" s="99">
        <v>0.15</v>
      </c>
    </row>
    <row r="333" spans="1:6">
      <c r="A333" s="93" t="s">
        <v>292</v>
      </c>
      <c r="B333" s="97" t="s">
        <v>3233</v>
      </c>
      <c r="C333" s="98">
        <v>0.15</v>
      </c>
      <c r="D333" s="98">
        <v>0.15</v>
      </c>
      <c r="E333" s="98">
        <v>0.15</v>
      </c>
      <c r="F333" s="99">
        <v>0.14099999999999999</v>
      </c>
    </row>
    <row r="334" spans="1:6">
      <c r="A334" s="93" t="s">
        <v>292</v>
      </c>
      <c r="B334" s="97" t="s">
        <v>3243</v>
      </c>
      <c r="C334" s="98">
        <v>0.15</v>
      </c>
      <c r="D334" s="98">
        <v>0.15</v>
      </c>
      <c r="E334" s="98">
        <v>0.15</v>
      </c>
      <c r="F334" s="99">
        <v>0.15</v>
      </c>
    </row>
    <row r="335" spans="1:6">
      <c r="A335" s="93" t="s">
        <v>292</v>
      </c>
      <c r="B335" s="97" t="s">
        <v>3253</v>
      </c>
      <c r="C335" s="98">
        <v>0.15</v>
      </c>
      <c r="D335" s="98">
        <v>0.15</v>
      </c>
      <c r="E335" s="98">
        <v>0.15</v>
      </c>
      <c r="F335" s="106"/>
    </row>
    <row r="336" spans="1:6">
      <c r="A336" s="93" t="s">
        <v>292</v>
      </c>
      <c r="B336" s="97" t="s">
        <v>3262</v>
      </c>
      <c r="C336" s="98">
        <v>0.15</v>
      </c>
      <c r="D336" s="98">
        <v>0.15</v>
      </c>
      <c r="E336" s="98">
        <v>0.15</v>
      </c>
      <c r="F336" s="99">
        <v>0.11799999999999999</v>
      </c>
    </row>
    <row r="337" spans="1:6">
      <c r="A337" s="101" t="s">
        <v>292</v>
      </c>
      <c r="B337" s="108" t="s">
        <v>3270</v>
      </c>
      <c r="C337" s="104"/>
      <c r="D337" s="104"/>
      <c r="E337" s="104"/>
      <c r="F337" s="109">
        <v>0.14299999999999999</v>
      </c>
    </row>
    <row r="338" spans="1:6">
      <c r="A338" s="93" t="s">
        <v>295</v>
      </c>
      <c r="B338" s="94" t="s">
        <v>3061</v>
      </c>
      <c r="C338" s="95">
        <v>0.15</v>
      </c>
      <c r="D338" s="95">
        <v>0.15</v>
      </c>
      <c r="E338" s="95">
        <v>0.15</v>
      </c>
      <c r="F338" s="117"/>
    </row>
    <row r="339" spans="1:6">
      <c r="A339" s="93" t="s">
        <v>295</v>
      </c>
      <c r="B339" s="97" t="s">
        <v>3074</v>
      </c>
      <c r="C339" s="98">
        <v>0.15</v>
      </c>
      <c r="D339" s="98">
        <v>0.15</v>
      </c>
      <c r="E339" s="98">
        <v>0.15</v>
      </c>
      <c r="F339" s="106"/>
    </row>
    <row r="340" spans="1:6">
      <c r="A340" s="93" t="s">
        <v>295</v>
      </c>
      <c r="B340" s="97" t="s">
        <v>3087</v>
      </c>
      <c r="C340" s="98">
        <v>0.15</v>
      </c>
      <c r="D340" s="98">
        <v>0.15</v>
      </c>
      <c r="E340" s="98">
        <v>0.15</v>
      </c>
      <c r="F340" s="106"/>
    </row>
    <row r="341" spans="1:6">
      <c r="A341" s="93" t="s">
        <v>295</v>
      </c>
      <c r="B341" s="97" t="s">
        <v>3099</v>
      </c>
      <c r="C341" s="98">
        <v>0.15</v>
      </c>
      <c r="D341" s="98">
        <v>0.15</v>
      </c>
      <c r="E341" s="98">
        <v>0.15</v>
      </c>
      <c r="F341" s="99">
        <v>0.15</v>
      </c>
    </row>
    <row r="342" spans="1:6">
      <c r="A342" s="93" t="s">
        <v>295</v>
      </c>
      <c r="B342" s="97" t="s">
        <v>3111</v>
      </c>
      <c r="C342" s="98">
        <v>0.15</v>
      </c>
      <c r="D342" s="98">
        <v>0.15</v>
      </c>
      <c r="E342" s="98">
        <v>0.15</v>
      </c>
      <c r="F342" s="99">
        <v>0.15</v>
      </c>
    </row>
    <row r="343" spans="1:6">
      <c r="A343" s="93" t="s">
        <v>295</v>
      </c>
      <c r="B343" s="97" t="s">
        <v>3122</v>
      </c>
      <c r="C343" s="98">
        <v>0.15</v>
      </c>
      <c r="D343" s="98">
        <v>0.15</v>
      </c>
      <c r="E343" s="98">
        <v>0.15</v>
      </c>
      <c r="F343" s="99">
        <v>0.15</v>
      </c>
    </row>
    <row r="344" spans="1:6">
      <c r="A344" s="101" t="s">
        <v>295</v>
      </c>
      <c r="B344" s="108" t="s">
        <v>3133</v>
      </c>
      <c r="C344" s="103">
        <v>0.15</v>
      </c>
      <c r="D344" s="103">
        <v>0.15</v>
      </c>
      <c r="E344" s="103">
        <v>0.15</v>
      </c>
      <c r="F344" s="109">
        <v>0.15</v>
      </c>
    </row>
  </sheetData>
  <sheetProtection password="C66D" sheet="1" objects="1" scenarios="1"/>
  <mergeCells count="1">
    <mergeCell ref="A1:B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3394</v>
      </c>
      <c r="C1" s="21">
        <f>项目基本情况!D3</f>
        <v>44755</v>
      </c>
      <c r="D1" s="20" t="s">
        <v>3395</v>
      </c>
      <c r="E1" s="22">
        <f>'数据-取费表'!B22</f>
        <v>2</v>
      </c>
      <c r="F1" s="20" t="s">
        <v>3396</v>
      </c>
      <c r="G1" s="23">
        <f ca="1">INDIRECT("d"&amp;$K$1)/100</f>
        <v>3.7000000000000005E-2</v>
      </c>
      <c r="H1" s="20" t="s">
        <v>3397</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3396</v>
      </c>
      <c r="E2" s="24"/>
      <c r="F2" s="24" t="s">
        <v>3398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3399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3400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3401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3402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3403</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3404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3405</v>
      </c>
      <c r="C10" s="48"/>
      <c r="D10" s="48"/>
      <c r="E10" s="48"/>
      <c r="F10" s="48"/>
      <c r="G10" s="48"/>
      <c r="H10" s="48"/>
      <c r="I10" s="16"/>
      <c r="J10" s="16"/>
      <c r="K10" s="48"/>
      <c r="L10" s="49" t="s">
        <v>3406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3407</v>
      </c>
      <c r="C11" s="52" t="s">
        <v>3408</v>
      </c>
      <c r="D11" s="53" t="s">
        <v>3409</v>
      </c>
      <c r="E11" s="54"/>
      <c r="F11" s="53" t="s">
        <v>3410</v>
      </c>
      <c r="G11" s="55"/>
      <c r="H11" s="54"/>
      <c r="I11" s="53" t="s">
        <v>3411</v>
      </c>
      <c r="J11" s="54"/>
      <c r="K11" s="50"/>
      <c r="L11" s="51" t="s">
        <v>3407</v>
      </c>
      <c r="M11" s="52" t="s">
        <v>3408</v>
      </c>
      <c r="N11" s="51" t="s">
        <v>3412</v>
      </c>
      <c r="O11" s="53" t="s">
        <v>3413</v>
      </c>
      <c r="P11" s="55"/>
      <c r="Q11" s="55"/>
      <c r="R11" s="55"/>
      <c r="S11" s="55"/>
      <c r="T11" s="54"/>
      <c r="U11" s="53" t="s">
        <v>3414</v>
      </c>
      <c r="V11" s="55"/>
      <c r="W11" s="54"/>
      <c r="X11" s="51" t="s">
        <v>3415</v>
      </c>
      <c r="Y11" s="51" t="s">
        <v>3416</v>
      </c>
      <c r="Z11" s="51" t="s">
        <v>3417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3418</v>
      </c>
      <c r="E12" s="59" t="s">
        <v>3400</v>
      </c>
      <c r="F12" s="59" t="s">
        <v>3401</v>
      </c>
      <c r="G12" s="59" t="s">
        <v>3402</v>
      </c>
      <c r="H12" s="59" t="s">
        <v>3403</v>
      </c>
      <c r="I12" s="73" t="s">
        <v>3419</v>
      </c>
      <c r="J12" s="73" t="s">
        <v>3419</v>
      </c>
      <c r="K12" s="56"/>
      <c r="L12" s="57"/>
      <c r="M12" s="58"/>
      <c r="N12" s="57"/>
      <c r="O12" s="73" t="s">
        <v>3420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3421</v>
      </c>
      <c r="C13" s="62">
        <v>44701</v>
      </c>
      <c r="D13" s="63">
        <v>3.7</v>
      </c>
      <c r="E13" s="63">
        <f>D13</f>
        <v>3.7</v>
      </c>
      <c r="F13" s="63">
        <f>D13</f>
        <v>3.7</v>
      </c>
      <c r="G13" s="63">
        <f>D13</f>
        <v>3.7</v>
      </c>
      <c r="H13" s="63">
        <v>4.45</v>
      </c>
      <c r="I13" s="63"/>
      <c r="J13" s="63"/>
      <c r="K13" s="60"/>
      <c r="L13" s="61" t="s">
        <v>3421</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3422</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3423</v>
      </c>
      <c r="Y42" s="65" t="s">
        <v>3423</v>
      </c>
      <c r="Z42" s="65" t="s">
        <v>3423</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3423</v>
      </c>
      <c r="Y43" s="65" t="s">
        <v>3423</v>
      </c>
      <c r="Z43" s="65" t="s">
        <v>3423</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3423</v>
      </c>
      <c r="Y44" s="65" t="s">
        <v>3423</v>
      </c>
      <c r="Z44" s="65" t="s">
        <v>3423</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3423</v>
      </c>
      <c r="Y45" s="65" t="s">
        <v>3423</v>
      </c>
      <c r="Z45" s="65" t="s">
        <v>3423</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3423</v>
      </c>
      <c r="Y46" s="65" t="s">
        <v>3423</v>
      </c>
      <c r="Z46" s="65" t="s">
        <v>3423</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3423</v>
      </c>
      <c r="Y47" s="65" t="s">
        <v>3423</v>
      </c>
      <c r="Z47" s="65" t="s">
        <v>3423</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3423</v>
      </c>
      <c r="Y48" s="65" t="s">
        <v>3423</v>
      </c>
      <c r="Z48" s="65" t="s">
        <v>3423</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3423</v>
      </c>
      <c r="Y49" s="65" t="s">
        <v>3423</v>
      </c>
      <c r="Z49" s="65" t="s">
        <v>3423</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3423</v>
      </c>
      <c r="Y50" s="65" t="s">
        <v>3423</v>
      </c>
      <c r="Z50" s="65" t="s">
        <v>3423</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3423</v>
      </c>
      <c r="V51" s="65" t="s">
        <v>3423</v>
      </c>
      <c r="W51" s="65" t="s">
        <v>3423</v>
      </c>
      <c r="X51" s="65" t="s">
        <v>3423</v>
      </c>
      <c r="Y51" s="65" t="s">
        <v>3423</v>
      </c>
      <c r="Z51" s="65" t="s">
        <v>3423</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3423</v>
      </c>
      <c r="J63" s="65" t="s">
        <v>3423</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2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3424</v>
      </c>
      <c r="E1" s="2" t="s">
        <v>3425</v>
      </c>
      <c r="F1" s="3" t="s">
        <v>3426</v>
      </c>
    </row>
    <row r="2" spans="1:13" ht="18.75">
      <c r="A2" s="4" t="s">
        <v>3427</v>
      </c>
    </row>
    <row r="3" spans="1:13">
      <c r="A3" s="5" t="s">
        <v>3428</v>
      </c>
    </row>
    <row r="4" spans="1:13">
      <c r="A4" s="6" t="s">
        <v>1278</v>
      </c>
      <c r="B4" s="7" t="s">
        <v>451</v>
      </c>
      <c r="C4" s="8"/>
      <c r="D4" s="9"/>
      <c r="E4" s="7" t="s">
        <v>2588</v>
      </c>
      <c r="F4" s="8"/>
      <c r="G4" s="9"/>
      <c r="H4" s="7" t="s">
        <v>3429</v>
      </c>
      <c r="I4" s="8"/>
      <c r="J4" s="9"/>
      <c r="K4" s="7" t="s">
        <v>2590</v>
      </c>
      <c r="L4" s="8"/>
      <c r="M4" s="9"/>
    </row>
    <row r="5" spans="1:13">
      <c r="A5" s="10" t="s">
        <v>208</v>
      </c>
      <c r="B5" s="6" t="s">
        <v>3430</v>
      </c>
      <c r="C5" s="6" t="s">
        <v>3431</v>
      </c>
      <c r="D5" s="6" t="s">
        <v>3432</v>
      </c>
      <c r="E5" s="6" t="s">
        <v>3430</v>
      </c>
      <c r="F5" s="6" t="s">
        <v>3431</v>
      </c>
      <c r="G5" s="6" t="s">
        <v>3432</v>
      </c>
      <c r="H5" s="6" t="s">
        <v>3430</v>
      </c>
      <c r="I5" s="6" t="s">
        <v>3431</v>
      </c>
      <c r="J5" s="6" t="s">
        <v>3432</v>
      </c>
      <c r="K5" s="6" t="s">
        <v>3430</v>
      </c>
      <c r="L5" s="6" t="s">
        <v>3431</v>
      </c>
      <c r="M5" s="6" t="s">
        <v>3432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99" t="str">
        <f>IF(项目基本情况!B9="房地产市场价值","估价结果一览表","结果表-2")</f>
        <v>结果表-2</v>
      </c>
      <c r="B1" s="3299"/>
      <c r="C1" s="3299"/>
      <c r="D1" s="3299"/>
      <c r="E1" s="3299"/>
      <c r="F1" s="3299"/>
      <c r="G1" s="3299"/>
      <c r="H1" s="3299"/>
      <c r="I1" s="3299"/>
    </row>
    <row r="2" spans="1:9" ht="30" customHeight="1">
      <c r="A2" s="3300" t="s">
        <v>107</v>
      </c>
      <c r="B2" s="3300" t="s">
        <v>108</v>
      </c>
      <c r="C2" s="3300" t="s">
        <v>109</v>
      </c>
      <c r="D2" s="3300" t="str">
        <f>结果表!D116</f>
        <v>出让国有建设用地使用权价值</v>
      </c>
      <c r="E2" s="3300"/>
      <c r="F2" s="3300" t="str">
        <f>结果表!F116</f>
        <v>在建建筑物价值</v>
      </c>
      <c r="G2" s="3300"/>
      <c r="H2" s="3300" t="str">
        <f>IF(项目基本情况!B9="房地产市场价值","房地产市场价值","房地产价值")</f>
        <v>房地产价值</v>
      </c>
      <c r="I2" s="3300"/>
    </row>
    <row r="3" spans="1:9" ht="15">
      <c r="A3" s="3294"/>
      <c r="B3" s="3294"/>
      <c r="C3" s="3294"/>
      <c r="D3" s="3215" t="s">
        <v>110</v>
      </c>
      <c r="E3" s="3215" t="s">
        <v>111</v>
      </c>
      <c r="F3" s="3215" t="s">
        <v>110</v>
      </c>
      <c r="G3" s="3215" t="s">
        <v>111</v>
      </c>
      <c r="H3" s="3215" t="s">
        <v>110</v>
      </c>
      <c r="I3" s="3215" t="s">
        <v>111</v>
      </c>
    </row>
    <row r="4" spans="1:9" ht="15">
      <c r="A4" s="3216" t="str">
        <f>项目基本情况!S2</f>
        <v>北京市房地产</v>
      </c>
      <c r="B4" s="3215">
        <f>项目基本情况!C17</f>
        <v>16578.28</v>
      </c>
      <c r="C4" s="3215">
        <f>项目基本情况!C18</f>
        <v>5788.26</v>
      </c>
      <c r="D4" s="3215">
        <f ca="1">结果表!D118</f>
        <v>19180</v>
      </c>
      <c r="E4" s="3215">
        <f ca="1">结果表!E118</f>
        <v>11570</v>
      </c>
      <c r="F4" s="3215">
        <f ca="1">结果表!F118</f>
        <v>4125</v>
      </c>
      <c r="G4" s="3215">
        <f ca="1">结果表!G118</f>
        <v>2488</v>
      </c>
      <c r="H4" s="3215">
        <f ca="1">结果表!H118</f>
        <v>23305</v>
      </c>
      <c r="I4" s="3215">
        <f ca="1">结果表!I118</f>
        <v>14058</v>
      </c>
    </row>
    <row r="5" spans="1:9" ht="30" customHeight="1">
      <c r="A5" s="3294" t="s">
        <v>112</v>
      </c>
      <c r="B5" s="3294"/>
      <c r="C5" s="3294"/>
      <c r="D5" s="3295" t="str">
        <f ca="1">结果表!D119</f>
        <v>壹亿玖仟壹佰捌拾万元整</v>
      </c>
      <c r="E5" s="3295"/>
      <c r="F5" s="3295" t="str">
        <f ca="1">结果表!F119</f>
        <v>肆仟壹佰贰拾伍万元整</v>
      </c>
      <c r="G5" s="3295"/>
      <c r="H5" s="3295" t="str">
        <f ca="1">结果表!H119</f>
        <v>贰亿叁仟叁佰零伍万元整</v>
      </c>
      <c r="I5" s="3295"/>
    </row>
    <row r="6" spans="1:9" ht="15.75">
      <c r="A6" s="3290" t="str">
        <f>结果表!A120</f>
        <v>估价师知悉的法定优先受偿款</v>
      </c>
      <c r="B6" s="3290"/>
      <c r="C6" s="3290"/>
      <c r="D6" s="3290">
        <f>结果表!D120</f>
        <v>0</v>
      </c>
      <c r="E6" s="3290"/>
      <c r="F6" s="3290"/>
      <c r="G6" s="3290"/>
      <c r="H6" s="3290"/>
      <c r="I6" s="3290"/>
    </row>
    <row r="7" spans="1:9" ht="15">
      <c r="A7" s="3294" t="s">
        <v>112</v>
      </c>
      <c r="B7" s="3294"/>
      <c r="C7" s="3294"/>
      <c r="D7" s="3296" t="str">
        <f>结果表!D121</f>
        <v>零元整</v>
      </c>
      <c r="E7" s="3297"/>
      <c r="F7" s="3297"/>
      <c r="G7" s="3297"/>
      <c r="H7" s="3297"/>
      <c r="I7" s="3298"/>
    </row>
    <row r="8" spans="1:9" ht="15.75">
      <c r="A8" s="3290" t="str">
        <f>结果表!A122</f>
        <v>房地产抵押价值</v>
      </c>
      <c r="B8" s="3290"/>
      <c r="C8" s="3290"/>
      <c r="D8" s="3290">
        <f ca="1">结果表!D122</f>
        <v>23305</v>
      </c>
      <c r="E8" s="3290"/>
      <c r="F8" s="3290"/>
      <c r="G8" s="3290"/>
      <c r="H8" s="3290"/>
      <c r="I8" s="3290"/>
    </row>
    <row r="9" spans="1:9" ht="15">
      <c r="A9" s="3294" t="s">
        <v>112</v>
      </c>
      <c r="B9" s="3294"/>
      <c r="C9" s="3294"/>
      <c r="D9" s="3295" t="str">
        <f ca="1">结果表!D123</f>
        <v>贰亿叁仟叁佰零伍万元整</v>
      </c>
      <c r="E9" s="3295"/>
      <c r="F9" s="3295"/>
      <c r="G9" s="3295"/>
      <c r="H9" s="3295"/>
      <c r="I9" s="3295"/>
    </row>
    <row r="10" spans="1:9" ht="15.75">
      <c r="A10" s="3290" t="str">
        <f>结果表!A124</f>
        <v/>
      </c>
      <c r="B10" s="3290"/>
      <c r="C10" s="3290"/>
      <c r="D10" s="3290" t="str">
        <f>结果表!D124</f>
        <v>——</v>
      </c>
      <c r="E10" s="3290"/>
      <c r="F10" s="3290"/>
      <c r="G10" s="3290"/>
      <c r="H10" s="3290"/>
      <c r="I10" s="3290"/>
    </row>
    <row r="11" spans="1:9" ht="15">
      <c r="A11" s="3294" t="s">
        <v>112</v>
      </c>
      <c r="B11" s="3294"/>
      <c r="C11" s="3294"/>
      <c r="D11" s="3295" t="e">
        <f>结果表!D125</f>
        <v>#VALUE!</v>
      </c>
      <c r="E11" s="3295"/>
      <c r="F11" s="3295"/>
      <c r="G11" s="3295"/>
      <c r="H11" s="3295"/>
      <c r="I11" s="3295"/>
    </row>
    <row r="12" spans="1:9" ht="15.75">
      <c r="A12" s="3290" t="str">
        <f>结果表!A126</f>
        <v>抵押净值</v>
      </c>
      <c r="B12" s="3290"/>
      <c r="C12" s="3290"/>
      <c r="D12" s="3290">
        <f ca="1">结果表!D126</f>
        <v>9891</v>
      </c>
      <c r="E12" s="3290"/>
      <c r="F12" s="3290"/>
      <c r="G12" s="3290"/>
      <c r="H12" s="3290"/>
      <c r="I12" s="3290"/>
    </row>
    <row r="13" spans="1:9" ht="15">
      <c r="A13" s="3291" t="s">
        <v>112</v>
      </c>
      <c r="B13" s="3291"/>
      <c r="C13" s="3291"/>
      <c r="D13" s="3292" t="str">
        <f ca="1">结果表!D127</f>
        <v>玖仟捌佰玖拾壹万元整</v>
      </c>
      <c r="E13" s="3292"/>
      <c r="F13" s="3292"/>
      <c r="G13" s="3292"/>
      <c r="H13" s="3292"/>
      <c r="I13" s="3292"/>
    </row>
    <row r="14" spans="1:9">
      <c r="A14" s="3293" t="s">
        <v>113</v>
      </c>
      <c r="B14" s="3293"/>
      <c r="C14" s="3293"/>
      <c r="D14" s="3293"/>
      <c r="E14" s="3293"/>
      <c r="F14" s="3293"/>
      <c r="G14" s="3293"/>
      <c r="H14" s="3293"/>
      <c r="I14" s="3293"/>
    </row>
    <row r="16" spans="1:9" ht="18.75">
      <c r="A16" s="3217"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307" t="s">
        <v>114</v>
      </c>
      <c r="B1" s="3307"/>
      <c r="C1" s="3307"/>
      <c r="D1" s="3307"/>
    </row>
    <row r="2" spans="1:4" ht="18">
      <c r="A2" s="3308" t="s">
        <v>115</v>
      </c>
      <c r="B2" s="3308"/>
      <c r="C2" s="3308"/>
      <c r="D2" s="3308"/>
    </row>
    <row r="3" spans="1:4" ht="18.75">
      <c r="A3" s="3204" t="s">
        <v>116</v>
      </c>
      <c r="B3" s="3204" t="s">
        <v>117</v>
      </c>
      <c r="C3" s="3204" t="s">
        <v>118</v>
      </c>
      <c r="D3" s="3204" t="s">
        <v>119</v>
      </c>
    </row>
    <row r="4" spans="1:4" ht="56.25" customHeight="1">
      <c r="A4" s="3205">
        <f>项目基本情况!B4</f>
        <v>0</v>
      </c>
      <c r="B4" s="3206">
        <f>项目基本情况!C4</f>
        <v>0</v>
      </c>
      <c r="C4" s="3207"/>
      <c r="D4" s="3208" t="s">
        <v>120</v>
      </c>
    </row>
    <row r="5" spans="1:4" ht="56.25" customHeight="1">
      <c r="A5" s="3205">
        <f>项目基本情况!D4</f>
        <v>0</v>
      </c>
      <c r="B5" s="3206">
        <f>项目基本情况!E4</f>
        <v>0</v>
      </c>
      <c r="C5" s="3209"/>
      <c r="D5" s="3208" t="s">
        <v>120</v>
      </c>
    </row>
    <row r="6" spans="1:4" ht="18">
      <c r="A6" s="3308" t="s">
        <v>121</v>
      </c>
      <c r="B6" s="3308"/>
      <c r="C6" s="3308"/>
      <c r="D6" s="3308"/>
    </row>
    <row r="7" spans="1:4" ht="18.75">
      <c r="A7" s="3204" t="s">
        <v>116</v>
      </c>
      <c r="B7" s="3206" t="s">
        <v>122</v>
      </c>
      <c r="C7" s="3204" t="s">
        <v>118</v>
      </c>
      <c r="D7" s="3204" t="s">
        <v>119</v>
      </c>
    </row>
    <row r="8" spans="1:4" ht="56.25" customHeight="1">
      <c r="A8" s="3210" t="s">
        <v>123</v>
      </c>
      <c r="B8" s="3210" t="s">
        <v>124</v>
      </c>
      <c r="C8" s="3207"/>
      <c r="D8" s="3208" t="s">
        <v>120</v>
      </c>
    </row>
    <row r="9" spans="1:4">
      <c r="A9" s="3211"/>
      <c r="B9" s="3211"/>
      <c r="C9" s="3211"/>
      <c r="D9" s="3211"/>
    </row>
    <row r="10" spans="1:4" ht="18.75">
      <c r="A10" s="3203" t="s">
        <v>125</v>
      </c>
      <c r="B10" s="3211"/>
      <c r="C10" s="3211"/>
      <c r="D10" s="3211"/>
    </row>
    <row r="11" spans="1:4" ht="30" customHeight="1">
      <c r="A11" s="3309" t="s">
        <v>126</v>
      </c>
      <c r="B11" s="3302"/>
      <c r="C11" s="3302"/>
      <c r="D11" s="3302"/>
    </row>
    <row r="12" spans="1:4" ht="15.75">
      <c r="A12" s="33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5"/>
      <c r="C12" s="3305"/>
      <c r="D12" s="3305"/>
    </row>
    <row r="13" spans="1:4" ht="30" customHeight="1">
      <c r="A13" s="33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5"/>
      <c r="C13" s="3305"/>
      <c r="D13" s="3305"/>
    </row>
    <row r="14" spans="1:4" ht="15.75" customHeight="1">
      <c r="A14" s="3302" t="str">
        <f>IF(项目基本情况!B8="抵押","4.本次评估估价师所知悉的法定优先受偿款情况说明如下：","——")</f>
        <v>4.本次评估估价师所知悉的法定优先受偿款情况说明如下：</v>
      </c>
      <c r="B14" s="3305"/>
      <c r="C14" s="3305"/>
      <c r="D14" s="3305"/>
    </row>
    <row r="15" spans="1:4" ht="42" customHeight="1">
      <c r="A15" s="33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2"/>
      <c r="C15" s="3302"/>
      <c r="D15" s="3302"/>
    </row>
    <row r="16" spans="1:4" ht="30" customHeight="1">
      <c r="A16" s="3306" t="s">
        <v>127</v>
      </c>
      <c r="B16" s="3306"/>
      <c r="C16" s="3306"/>
      <c r="D16" s="3306"/>
    </row>
    <row r="17" spans="1:4" ht="144" customHeight="1">
      <c r="A17" s="3306" t="s">
        <v>128</v>
      </c>
      <c r="B17" s="3306"/>
      <c r="C17" s="3306"/>
      <c r="D17" s="3306"/>
    </row>
    <row r="18" spans="1:4" ht="15.75" customHeight="1">
      <c r="A18" s="3302" t="str">
        <f>IF(项目基本情况!B8="抵押",结果表!K120,"——")</f>
        <v>故，本次评估不存在估价师知悉的法定优先受偿款</v>
      </c>
      <c r="B18" s="3302"/>
      <c r="C18" s="3302"/>
      <c r="D18" s="3302"/>
    </row>
    <row r="19" spans="1:4" ht="46.5" customHeight="1">
      <c r="A19" s="33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2"/>
      <c r="C19" s="3302"/>
      <c r="D19" s="3302"/>
    </row>
    <row r="20" spans="1:4" ht="57.75" customHeight="1">
      <c r="A20" s="33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2"/>
      <c r="C20" s="3302"/>
      <c r="D20" s="3302"/>
    </row>
    <row r="21" spans="1:4" ht="57.75" customHeight="1">
      <c r="A21" s="33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3"/>
      <c r="C21" s="3303"/>
      <c r="D21" s="3303"/>
    </row>
    <row r="22" spans="1:4" ht="18.75" customHeight="1">
      <c r="A22" s="3304" t="s">
        <v>129</v>
      </c>
      <c r="B22" s="3304"/>
      <c r="C22" s="3304"/>
      <c r="D22" s="3304"/>
    </row>
    <row r="23" spans="1:4">
      <c r="A23" s="3212"/>
      <c r="B23" s="1589"/>
      <c r="C23" s="1589"/>
      <c r="D23" s="1589"/>
    </row>
    <row r="24" spans="1:4">
      <c r="A24" s="3212"/>
      <c r="B24" s="1589"/>
      <c r="C24" s="1589"/>
      <c r="D24" s="1589"/>
    </row>
    <row r="25" spans="1:4" ht="18.75">
      <c r="A25" s="3213" t="s">
        <v>130</v>
      </c>
    </row>
    <row r="26" spans="1:4" ht="18">
      <c r="A26" s="3214"/>
    </row>
    <row r="27" spans="1:4" ht="18.75">
      <c r="A27" s="3214" t="s">
        <v>131</v>
      </c>
    </row>
    <row r="30" spans="1:4" ht="18.75">
      <c r="D30" s="3213" t="s">
        <v>132</v>
      </c>
    </row>
    <row r="31" spans="1:4" ht="13.5" customHeight="1">
      <c r="C31" s="3301">
        <v>42551</v>
      </c>
      <c r="D31" s="33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99" customWidth="1"/>
    <col min="3" max="10" width="12.5" style="3199" customWidth="1"/>
    <col min="11" max="16384" width="9" style="3199"/>
  </cols>
  <sheetData>
    <row r="1" spans="1:10" ht="18.75">
      <c r="A1" s="3200" t="s">
        <v>133</v>
      </c>
      <c r="B1" s="3201"/>
      <c r="C1" s="3201"/>
      <c r="D1" s="3201"/>
      <c r="E1" s="3201"/>
      <c r="F1" s="3201"/>
      <c r="G1" s="3201"/>
      <c r="H1" s="3201"/>
      <c r="I1" s="3201"/>
      <c r="J1" s="3201"/>
    </row>
    <row r="2" spans="1:10" ht="18.75">
      <c r="A2" s="3202"/>
      <c r="B2" s="3201"/>
      <c r="C2" s="3201"/>
      <c r="D2" s="3201"/>
      <c r="E2" s="3201"/>
      <c r="F2" s="3201"/>
      <c r="G2" s="3201"/>
      <c r="H2" s="3201"/>
      <c r="I2" s="3201"/>
      <c r="J2" s="3201"/>
    </row>
    <row r="3" spans="1:10">
      <c r="A3" s="3201"/>
      <c r="B3" s="3201"/>
      <c r="C3" s="3201"/>
      <c r="D3" s="3201"/>
      <c r="E3" s="3201"/>
      <c r="F3" s="3201"/>
      <c r="G3" s="3201"/>
      <c r="H3" s="3201"/>
      <c r="I3" s="3201"/>
      <c r="J3" s="3201"/>
    </row>
    <row r="4" spans="1:10">
      <c r="A4" s="3201"/>
      <c r="B4" s="3201"/>
      <c r="C4" s="3201"/>
      <c r="D4" s="3201"/>
      <c r="E4" s="3201"/>
      <c r="F4" s="3201"/>
      <c r="G4" s="3201"/>
      <c r="H4" s="3201"/>
      <c r="I4" s="3201"/>
      <c r="J4" s="3201"/>
    </row>
    <row r="5" spans="1:10">
      <c r="A5" s="3201"/>
      <c r="B5" s="3201"/>
      <c r="C5" s="3201"/>
      <c r="D5" s="3201"/>
      <c r="E5" s="3201"/>
      <c r="F5" s="3201"/>
      <c r="G5" s="3201"/>
      <c r="H5" s="3201"/>
      <c r="I5" s="3201"/>
      <c r="J5" s="3201"/>
    </row>
    <row r="6" spans="1:10">
      <c r="A6" s="3201"/>
      <c r="B6" s="3201"/>
      <c r="C6" s="3201"/>
      <c r="D6" s="3201"/>
      <c r="E6" s="3201"/>
      <c r="F6" s="3201"/>
      <c r="G6" s="3201"/>
      <c r="H6" s="3201"/>
      <c r="I6" s="3201"/>
      <c r="J6" s="3201"/>
    </row>
    <row r="7" spans="1:10">
      <c r="A7" s="3201"/>
      <c r="B7" s="3201"/>
      <c r="C7" s="3201"/>
      <c r="D7" s="3201"/>
      <c r="E7" s="3201"/>
      <c r="F7" s="3201"/>
      <c r="G7" s="3201"/>
      <c r="H7" s="3201"/>
      <c r="I7" s="3201"/>
      <c r="J7" s="3201"/>
    </row>
    <row r="8" spans="1:10">
      <c r="A8" s="3201"/>
      <c r="B8" s="3201"/>
      <c r="C8" s="3201"/>
      <c r="D8" s="3201"/>
      <c r="E8" s="3201"/>
      <c r="F8" s="3201"/>
      <c r="G8" s="3201"/>
      <c r="H8" s="3201"/>
      <c r="I8" s="3201"/>
      <c r="J8" s="3201"/>
    </row>
    <row r="9" spans="1:10">
      <c r="A9" s="3201"/>
      <c r="B9" s="3201"/>
      <c r="C9" s="3201"/>
      <c r="D9" s="3201"/>
      <c r="E9" s="3201"/>
      <c r="F9" s="3201"/>
      <c r="G9" s="3201"/>
      <c r="H9" s="3201"/>
      <c r="I9" s="3201"/>
      <c r="J9" s="3201"/>
    </row>
    <row r="10" spans="1:10">
      <c r="A10" s="3201"/>
      <c r="B10" s="3201"/>
      <c r="C10" s="3201"/>
      <c r="D10" s="3201"/>
      <c r="E10" s="3201"/>
      <c r="F10" s="3201"/>
      <c r="G10" s="3201"/>
      <c r="H10" s="3201"/>
      <c r="I10" s="3201"/>
      <c r="J10" s="3201"/>
    </row>
    <row r="11" spans="1:10">
      <c r="A11" s="3201"/>
      <c r="B11" s="3201"/>
      <c r="C11" s="3201"/>
      <c r="D11" s="3201"/>
      <c r="E11" s="3201"/>
      <c r="F11" s="3201"/>
      <c r="G11" s="3201"/>
      <c r="H11" s="3201"/>
      <c r="I11" s="3201"/>
      <c r="J11" s="3201"/>
    </row>
    <row r="12" spans="1:10">
      <c r="A12" s="3201"/>
      <c r="B12" s="3201"/>
      <c r="C12" s="3201"/>
      <c r="D12" s="3201"/>
      <c r="E12" s="3201"/>
      <c r="F12" s="3201"/>
      <c r="G12" s="3201"/>
      <c r="H12" s="3201"/>
      <c r="I12" s="3201"/>
      <c r="J12" s="3201"/>
    </row>
    <row r="13" spans="1:10">
      <c r="A13" s="3201"/>
      <c r="B13" s="3201"/>
      <c r="C13" s="3201"/>
      <c r="D13" s="3201"/>
      <c r="E13" s="3201"/>
      <c r="F13" s="3201"/>
      <c r="G13" s="3201"/>
      <c r="H13" s="3201"/>
      <c r="I13" s="3201"/>
      <c r="J13" s="3201"/>
    </row>
    <row r="14" spans="1:10">
      <c r="A14" s="3201"/>
      <c r="B14" s="3201"/>
      <c r="C14" s="3201"/>
      <c r="D14" s="3201"/>
      <c r="E14" s="3201"/>
      <c r="F14" s="3201"/>
      <c r="G14" s="3201"/>
      <c r="H14" s="3201"/>
      <c r="I14" s="3201"/>
      <c r="J14" s="3201"/>
    </row>
    <row r="15" spans="1:10">
      <c r="A15" s="3201"/>
      <c r="B15" s="3201"/>
      <c r="C15" s="3201"/>
      <c r="D15" s="3201"/>
      <c r="E15" s="3201"/>
      <c r="F15" s="3201"/>
      <c r="G15" s="3201"/>
      <c r="H15" s="3201"/>
      <c r="I15" s="3201"/>
      <c r="J15" s="3201"/>
    </row>
    <row r="16" spans="1:10">
      <c r="A16" s="3201"/>
      <c r="B16" s="3201"/>
      <c r="C16" s="3201"/>
      <c r="D16" s="3201"/>
      <c r="E16" s="3201"/>
      <c r="F16" s="3201"/>
      <c r="G16" s="3201"/>
      <c r="H16" s="3201"/>
      <c r="I16" s="3201"/>
      <c r="J16" s="3201"/>
    </row>
    <row r="17" spans="1:10">
      <c r="A17" s="3201"/>
      <c r="B17" s="3201"/>
      <c r="C17" s="3201"/>
      <c r="D17" s="3201"/>
      <c r="E17" s="3201"/>
      <c r="F17" s="3201"/>
      <c r="G17" s="3201"/>
      <c r="H17" s="3201"/>
      <c r="I17" s="3201"/>
      <c r="J17" s="3201"/>
    </row>
    <row r="18" spans="1:10">
      <c r="A18" s="3201"/>
      <c r="B18" s="3201"/>
      <c r="C18" s="3201"/>
      <c r="D18" s="3201"/>
      <c r="E18" s="3201"/>
      <c r="F18" s="3201"/>
      <c r="G18" s="3201"/>
      <c r="H18" s="3201"/>
      <c r="I18" s="3201"/>
      <c r="J18" s="3201"/>
    </row>
    <row r="19" spans="1:10">
      <c r="A19" s="3201"/>
      <c r="B19" s="3201"/>
      <c r="C19" s="3201"/>
      <c r="D19" s="3201"/>
      <c r="E19" s="3201"/>
      <c r="F19" s="3201"/>
      <c r="G19" s="3201"/>
      <c r="H19" s="3201"/>
      <c r="I19" s="3201"/>
      <c r="J19" s="3201"/>
    </row>
    <row r="20" spans="1:10">
      <c r="A20" s="3201"/>
      <c r="B20" s="3201"/>
      <c r="C20" s="3201"/>
      <c r="D20" s="3201"/>
      <c r="E20" s="3201"/>
      <c r="F20" s="3201"/>
      <c r="G20" s="3201"/>
      <c r="H20" s="3201"/>
      <c r="I20" s="3201"/>
      <c r="J20" s="3201"/>
    </row>
    <row r="21" spans="1:10">
      <c r="A21" s="3201"/>
      <c r="B21" s="3201"/>
      <c r="C21" s="3201"/>
      <c r="D21" s="3201"/>
      <c r="E21" s="3201"/>
      <c r="F21" s="3201"/>
      <c r="G21" s="3201"/>
      <c r="H21" s="3201"/>
      <c r="I21" s="3201"/>
      <c r="J21" s="3201"/>
    </row>
    <row r="22" spans="1:10">
      <c r="A22" s="3201"/>
      <c r="B22" s="3201"/>
      <c r="C22" s="3201"/>
      <c r="D22" s="3201"/>
      <c r="E22" s="3201"/>
      <c r="F22" s="3201"/>
      <c r="G22" s="3201"/>
      <c r="H22" s="3201"/>
      <c r="I22" s="3201"/>
      <c r="J22" s="3201"/>
    </row>
    <row r="23" spans="1:10">
      <c r="A23" s="3201"/>
      <c r="B23" s="3201"/>
      <c r="C23" s="3201"/>
      <c r="D23" s="3201"/>
      <c r="E23" s="3201"/>
      <c r="F23" s="3201"/>
      <c r="G23" s="3201"/>
      <c r="H23" s="3201"/>
      <c r="I23" s="3201"/>
      <c r="J23" s="3201"/>
    </row>
    <row r="24" spans="1:10">
      <c r="A24" s="3201"/>
      <c r="B24" s="3201"/>
      <c r="C24" s="3201"/>
      <c r="D24" s="3201"/>
      <c r="E24" s="3201"/>
      <c r="F24" s="3201"/>
      <c r="G24" s="3201"/>
      <c r="H24" s="3201"/>
      <c r="I24" s="3201"/>
      <c r="J24" s="3201"/>
    </row>
    <row r="25" spans="1:10">
      <c r="A25" s="3201"/>
      <c r="B25" s="3201"/>
      <c r="C25" s="3201"/>
      <c r="D25" s="3201"/>
      <c r="E25" s="3201"/>
      <c r="F25" s="3201"/>
      <c r="G25" s="3201"/>
      <c r="H25" s="3201"/>
      <c r="I25" s="3201"/>
      <c r="J25" s="3201"/>
    </row>
    <row r="26" spans="1:10">
      <c r="A26" s="3201"/>
      <c r="B26" s="3201"/>
      <c r="C26" s="3201"/>
      <c r="D26" s="3201"/>
      <c r="E26" s="3201"/>
      <c r="F26" s="3201"/>
      <c r="G26" s="3201"/>
      <c r="H26" s="3201"/>
      <c r="I26" s="3201"/>
      <c r="J26" s="3201"/>
    </row>
    <row r="27" spans="1:10">
      <c r="A27" s="3201"/>
      <c r="B27" s="3201"/>
      <c r="C27" s="3201"/>
      <c r="D27" s="3201"/>
      <c r="E27" s="3201"/>
      <c r="F27" s="3201"/>
      <c r="G27" s="3201"/>
      <c r="H27" s="3201"/>
      <c r="I27" s="3201"/>
      <c r="J27" s="3201"/>
    </row>
    <row r="28" spans="1:10">
      <c r="A28" s="3201"/>
      <c r="B28" s="3201"/>
      <c r="C28" s="3201"/>
      <c r="D28" s="3201"/>
      <c r="E28" s="3201"/>
      <c r="F28" s="3201"/>
      <c r="G28" s="3201"/>
      <c r="H28" s="3201"/>
      <c r="I28" s="3201"/>
      <c r="J28" s="3201"/>
    </row>
    <row r="29" spans="1:10">
      <c r="A29" s="3201"/>
      <c r="B29" s="3201"/>
      <c r="C29" s="3201"/>
      <c r="D29" s="3201"/>
      <c r="E29" s="3201"/>
      <c r="F29" s="3201"/>
      <c r="G29" s="3201"/>
      <c r="H29" s="3201"/>
      <c r="I29" s="3201"/>
      <c r="J29" s="3201"/>
    </row>
    <row r="30" spans="1:10">
      <c r="A30" s="3201"/>
      <c r="B30" s="3201"/>
      <c r="C30" s="3201"/>
      <c r="D30" s="3201"/>
      <c r="E30" s="3201"/>
      <c r="F30" s="3201"/>
      <c r="G30" s="3201"/>
      <c r="H30" s="3201"/>
      <c r="I30" s="3201"/>
      <c r="J30" s="3201"/>
    </row>
    <row r="31" spans="1:10">
      <c r="A31" s="3201"/>
      <c r="B31" s="3201"/>
      <c r="C31" s="3201"/>
      <c r="D31" s="3201"/>
      <c r="E31" s="3201"/>
      <c r="F31" s="3201"/>
      <c r="G31" s="3201"/>
      <c r="H31" s="3201"/>
      <c r="I31" s="3201"/>
      <c r="J31" s="3201"/>
    </row>
  </sheetData>
  <sheetProtection password="C66D"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82" customWidth="1"/>
    <col min="2" max="16384" width="14.5" style="3133"/>
  </cols>
  <sheetData>
    <row r="1" spans="1:7" s="3181" customFormat="1" ht="18.75">
      <c r="A1" s="3183" t="s">
        <v>134</v>
      </c>
    </row>
    <row r="3" spans="1:7">
      <c r="A3" s="3184" t="s">
        <v>135</v>
      </c>
      <c r="B3" s="3133" t="s">
        <v>136</v>
      </c>
      <c r="G3" s="3185"/>
    </row>
    <row r="4" spans="1:7">
      <c r="G4" s="3185"/>
    </row>
    <row r="5" spans="1:7">
      <c r="A5" s="3186" t="s">
        <v>137</v>
      </c>
      <c r="B5" s="3133" t="s">
        <v>138</v>
      </c>
      <c r="G5" s="3185"/>
    </row>
    <row r="6" spans="1:7">
      <c r="G6" s="3185"/>
    </row>
    <row r="7" spans="1:7">
      <c r="A7" s="3187" t="s">
        <v>139</v>
      </c>
      <c r="B7" s="3133" t="s">
        <v>140</v>
      </c>
      <c r="G7" s="3185"/>
    </row>
    <row r="8" spans="1:7">
      <c r="G8" s="3185"/>
    </row>
    <row r="9" spans="1:7">
      <c r="A9" s="3188" t="s">
        <v>141</v>
      </c>
      <c r="B9" s="3133" t="s">
        <v>142</v>
      </c>
    </row>
    <row r="11" spans="1:7">
      <c r="A11" s="3189" t="s">
        <v>143</v>
      </c>
      <c r="B11" s="3190" t="s">
        <v>144</v>
      </c>
    </row>
    <row r="13" spans="1:7">
      <c r="A13" s="3191" t="s">
        <v>145</v>
      </c>
    </row>
    <row r="15" spans="1:7" ht="13.5">
      <c r="A15" s="3312" t="s">
        <v>146</v>
      </c>
      <c r="B15" s="3317" t="s">
        <v>147</v>
      </c>
      <c r="C15" s="3311"/>
    </row>
    <row r="16" spans="1:7" ht="13.5">
      <c r="A16" s="3313"/>
      <c r="B16" s="3317" t="s">
        <v>148</v>
      </c>
      <c r="C16" s="3311"/>
    </row>
    <row r="17" spans="1:3" ht="13.5">
      <c r="A17" s="3313"/>
      <c r="B17" s="3316" t="s">
        <v>149</v>
      </c>
      <c r="C17" s="3192" t="s">
        <v>146</v>
      </c>
    </row>
    <row r="18" spans="1:3" ht="13.5">
      <c r="A18" s="3313"/>
      <c r="B18" s="3316"/>
      <c r="C18" s="3192" t="s">
        <v>150</v>
      </c>
    </row>
    <row r="19" spans="1:3" ht="13.5">
      <c r="A19" s="3313"/>
      <c r="B19" s="3316"/>
      <c r="C19" s="3192" t="s">
        <v>151</v>
      </c>
    </row>
    <row r="20" spans="1:3" ht="13.5">
      <c r="A20" s="3314"/>
      <c r="B20" s="3310" t="s">
        <v>152</v>
      </c>
      <c r="C20" s="3311"/>
    </row>
    <row r="21" spans="1:3" ht="13.5">
      <c r="A21" s="3193" t="s">
        <v>153</v>
      </c>
      <c r="B21" s="3194"/>
      <c r="C21" s="3195"/>
    </row>
    <row r="22" spans="1:3" ht="13.5">
      <c r="A22" s="3315" t="s">
        <v>154</v>
      </c>
      <c r="B22" s="3310" t="s">
        <v>155</v>
      </c>
      <c r="C22" s="3311"/>
    </row>
    <row r="23" spans="1:3" ht="13.5">
      <c r="A23" s="3315"/>
      <c r="B23" s="3310" t="s">
        <v>156</v>
      </c>
      <c r="C23" s="3311"/>
    </row>
    <row r="24" spans="1:3" ht="13.5">
      <c r="A24" s="3315"/>
      <c r="B24" s="3310" t="s">
        <v>157</v>
      </c>
      <c r="C24" s="3311"/>
    </row>
    <row r="25" spans="1:3" ht="13.5">
      <c r="A25" s="3315"/>
      <c r="B25" s="3316" t="s">
        <v>158</v>
      </c>
      <c r="C25" s="3192" t="s">
        <v>159</v>
      </c>
    </row>
    <row r="26" spans="1:3" ht="13.5">
      <c r="A26" s="3315"/>
      <c r="B26" s="3316"/>
      <c r="C26" s="3192" t="s">
        <v>160</v>
      </c>
    </row>
    <row r="27" spans="1:3" ht="13.5">
      <c r="A27" s="3315"/>
      <c r="B27" s="3316"/>
      <c r="C27" s="3192" t="s">
        <v>161</v>
      </c>
    </row>
    <row r="28" spans="1:3" ht="13.5">
      <c r="A28" s="3315"/>
      <c r="B28" s="3316"/>
      <c r="C28" s="3192" t="s">
        <v>162</v>
      </c>
    </row>
    <row r="29" spans="1:3" ht="13.5">
      <c r="A29" s="3315"/>
      <c r="B29" s="3316"/>
      <c r="C29" s="3192" t="s">
        <v>163</v>
      </c>
    </row>
    <row r="30" spans="1:3" ht="13.5">
      <c r="A30" s="3315"/>
      <c r="B30" s="3316"/>
      <c r="C30" s="3192" t="s">
        <v>164</v>
      </c>
    </row>
    <row r="31" spans="1:3" ht="13.5">
      <c r="A31" s="3315"/>
      <c r="B31" s="3316"/>
      <c r="C31" s="3192" t="s">
        <v>165</v>
      </c>
    </row>
    <row r="32" spans="1:3" ht="13.5">
      <c r="A32" s="3315"/>
      <c r="B32" s="3316"/>
      <c r="C32" s="3192" t="s">
        <v>166</v>
      </c>
    </row>
    <row r="33" spans="1:3" ht="13.5">
      <c r="A33" s="3315"/>
      <c r="B33" s="3316"/>
      <c r="C33" s="3192" t="s">
        <v>167</v>
      </c>
    </row>
    <row r="34" spans="1:3">
      <c r="A34" s="3196" t="s">
        <v>168</v>
      </c>
    </row>
    <row r="37" spans="1:3">
      <c r="A37" s="3196" t="s">
        <v>169</v>
      </c>
    </row>
    <row r="38" spans="1:3" ht="13.5">
      <c r="A38" s="3197" t="s">
        <v>170</v>
      </c>
    </row>
    <row r="39" spans="1:3" ht="13.5">
      <c r="A39" s="3197" t="s">
        <v>171</v>
      </c>
    </row>
    <row r="40" spans="1:3" ht="13.5">
      <c r="A40" s="3197" t="s">
        <v>172</v>
      </c>
    </row>
    <row r="41" spans="1:3" ht="13.5">
      <c r="A41" s="3198" t="s">
        <v>173</v>
      </c>
    </row>
    <row r="42" spans="1:3" ht="13.5">
      <c r="A42" s="319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52" customWidth="1"/>
    <col min="2" max="2" width="38.625" style="3152" customWidth="1"/>
    <col min="3" max="3" width="26" style="3152" customWidth="1"/>
    <col min="4" max="4" width="35" style="3152" hidden="1" customWidth="1"/>
    <col min="5" max="5" width="30.125" style="3152" customWidth="1"/>
    <col min="6" max="6" width="35.5" style="3152" customWidth="1"/>
    <col min="7" max="7" width="31" style="3152" customWidth="1"/>
    <col min="8" max="8" width="37.5" style="3152" hidden="1" customWidth="1"/>
    <col min="9" max="16384" width="22.625" style="3152"/>
  </cols>
  <sheetData>
    <row r="1" spans="1:8" ht="24" customHeight="1">
      <c r="A1" s="3153"/>
      <c r="B1" s="3153"/>
      <c r="C1" s="3153"/>
      <c r="D1" s="3153"/>
      <c r="E1" s="3153"/>
      <c r="F1" s="3153"/>
      <c r="G1" s="3153"/>
      <c r="H1" s="3153"/>
    </row>
    <row r="2" spans="1:8" ht="24" customHeight="1">
      <c r="A2" s="3154" t="s">
        <v>175</v>
      </c>
      <c r="B2" s="3155">
        <f ca="1">TODAY()</f>
        <v>44774</v>
      </c>
      <c r="C2" s="3156" t="s">
        <v>176</v>
      </c>
      <c r="D2" s="3156"/>
      <c r="E2" s="3156"/>
      <c r="F2" s="3153"/>
      <c r="G2" s="3153"/>
      <c r="H2" s="3153"/>
    </row>
    <row r="3" spans="1:8" ht="24" customHeight="1">
      <c r="A3" s="3157" t="s">
        <v>177</v>
      </c>
      <c r="B3" s="3158" t="s">
        <v>178</v>
      </c>
      <c r="C3" s="3158" t="s">
        <v>179</v>
      </c>
      <c r="D3" s="3159" t="s">
        <v>180</v>
      </c>
      <c r="E3" s="3160" t="s">
        <v>181</v>
      </c>
      <c r="F3" s="3161" t="s">
        <v>182</v>
      </c>
      <c r="G3" s="3158" t="s">
        <v>179</v>
      </c>
      <c r="H3" s="3159" t="s">
        <v>183</v>
      </c>
    </row>
    <row r="4" spans="1:8" ht="24" customHeight="1">
      <c r="A4" s="3161" t="s">
        <v>184</v>
      </c>
      <c r="B4" s="3161">
        <f ca="1">IF(C4&lt;B2,"已过期",1119970066)</f>
        <v>1119970066</v>
      </c>
      <c r="C4" s="3162">
        <v>44876</v>
      </c>
      <c r="D4" s="3163" t="str">
        <f ca="1">A4&amp;"（注册号："&amp;B4&amp;"）"</f>
        <v>梁津（注册号：1119970066）</v>
      </c>
      <c r="E4" s="3164" t="s">
        <v>184</v>
      </c>
      <c r="F4" s="3161">
        <f ca="1">IF(G4&lt;B2,"已过期",96010014)</f>
        <v>96010014</v>
      </c>
      <c r="G4" s="3165">
        <v>47118</v>
      </c>
      <c r="H4" s="3166" t="str">
        <f ca="1">E4&amp;"（注册号："&amp;F4&amp;"）"</f>
        <v>梁津（注册号：96010014）</v>
      </c>
    </row>
    <row r="5" spans="1:8" ht="24" customHeight="1">
      <c r="A5" s="3161" t="s">
        <v>185</v>
      </c>
      <c r="B5" s="3161">
        <f ca="1">IF(C5&lt;B2,"已过期",1119970111)</f>
        <v>1119970111</v>
      </c>
      <c r="C5" s="3162">
        <v>44876</v>
      </c>
      <c r="D5" s="3163" t="str">
        <f t="shared" ref="D5:D16" ca="1" si="0">A5&amp;"（注册号："&amp;B5&amp;"）"</f>
        <v>叶凌（注册号：1119970111）</v>
      </c>
      <c r="E5" s="3164" t="s">
        <v>185</v>
      </c>
      <c r="F5" s="3161">
        <f ca="1">IF(G5&lt;B2,"已过期",94010078)</f>
        <v>94010078</v>
      </c>
      <c r="G5" s="3165">
        <v>46387</v>
      </c>
      <c r="H5" s="3166" t="str">
        <f t="shared" ref="H5:H16" ca="1" si="1">E5&amp;"（注册号："&amp;F5&amp;"）"</f>
        <v>叶凌（注册号：94010078）</v>
      </c>
    </row>
    <row r="6" spans="1:8" ht="24" customHeight="1">
      <c r="A6" s="3161" t="s">
        <v>186</v>
      </c>
      <c r="B6" s="3161">
        <f ca="1">IF(C6&lt;B2,"已过期",1120050019)</f>
        <v>1120050019</v>
      </c>
      <c r="C6" s="3162">
        <v>45410</v>
      </c>
      <c r="D6" s="3163" t="str">
        <f t="shared" ca="1" si="0"/>
        <v>王鹏（注册号：1120050019）</v>
      </c>
      <c r="E6" s="3164" t="s">
        <v>186</v>
      </c>
      <c r="F6" s="3161">
        <f ca="1">IF(G6&lt;B2,"已过期",2002110030)</f>
        <v>2002110030</v>
      </c>
      <c r="G6" s="3165">
        <v>46387</v>
      </c>
      <c r="H6" s="3166" t="str">
        <f t="shared" ca="1" si="1"/>
        <v>王鹏（注册号：2002110030）</v>
      </c>
    </row>
    <row r="7" spans="1:8" ht="24" customHeight="1">
      <c r="A7" s="3161" t="s">
        <v>187</v>
      </c>
      <c r="B7" s="3161">
        <f ca="1">IF(C7&lt;B2,"已过期",1120000080)</f>
        <v>1120000080</v>
      </c>
      <c r="C7" s="3162">
        <v>44876</v>
      </c>
      <c r="D7" s="3163" t="str">
        <f t="shared" ca="1" si="0"/>
        <v>欧红伟（注册号：1120000080）</v>
      </c>
      <c r="E7" s="3164" t="s">
        <v>187</v>
      </c>
      <c r="F7" s="3161">
        <f ca="1">IF(G7&lt;B2,"已过期",2000110082)</f>
        <v>2000110082</v>
      </c>
      <c r="G7" s="3165">
        <v>46387</v>
      </c>
      <c r="H7" s="3166" t="str">
        <f t="shared" ca="1" si="1"/>
        <v>欧红伟（注册号：2000110082）</v>
      </c>
    </row>
    <row r="8" spans="1:8" ht="24" customHeight="1">
      <c r="A8" s="3161" t="s">
        <v>188</v>
      </c>
      <c r="B8" s="3161">
        <f ca="1">IF(C8&lt;B2,"已过期",1419970001)</f>
        <v>1419970001</v>
      </c>
      <c r="C8" s="3162">
        <v>44899</v>
      </c>
      <c r="D8" s="3163" t="str">
        <f t="shared" ca="1" si="0"/>
        <v>吴薇（注册号：1419970001）</v>
      </c>
      <c r="E8" s="3164" t="s">
        <v>188</v>
      </c>
      <c r="F8" s="3161">
        <f ca="1">IF(G8&lt;B2,"已过期",2002110125)</f>
        <v>2002110125</v>
      </c>
      <c r="G8" s="3165">
        <v>47118</v>
      </c>
      <c r="H8" s="3166" t="str">
        <f t="shared" ca="1" si="1"/>
        <v>吴薇（注册号：2002110125）</v>
      </c>
    </row>
    <row r="9" spans="1:8" ht="24" customHeight="1">
      <c r="A9" s="3161" t="s">
        <v>189</v>
      </c>
      <c r="B9" s="3161">
        <f ca="1">IF(C9&lt;B2,"已过期",1120060040)</f>
        <v>1120060040</v>
      </c>
      <c r="C9" s="3167">
        <v>45592</v>
      </c>
      <c r="D9" s="3163" t="str">
        <f t="shared" ca="1" si="0"/>
        <v>陈颖（注册号：1120060040）</v>
      </c>
      <c r="E9" s="3164" t="s">
        <v>189</v>
      </c>
      <c r="F9" s="3161">
        <f ca="1">IF(G9&lt;B2,"已过期",2004110096)</f>
        <v>2004110096</v>
      </c>
      <c r="G9" s="3165">
        <v>47118</v>
      </c>
      <c r="H9" s="3166" t="str">
        <f t="shared" ca="1" si="1"/>
        <v>陈颖（注册号：2004110096）</v>
      </c>
    </row>
    <row r="10" spans="1:8" ht="24" customHeight="1">
      <c r="A10" s="3161" t="s">
        <v>190</v>
      </c>
      <c r="B10" s="3161" t="str">
        <f ca="1">IF(C10&lt;B2,"已过期",1120100036)</f>
        <v>已过期</v>
      </c>
      <c r="C10" s="3167">
        <v>44675</v>
      </c>
      <c r="D10" s="3163" t="str">
        <f t="shared" ca="1" si="0"/>
        <v>崔锴（注册号：已过期）</v>
      </c>
      <c r="E10" s="3164" t="s">
        <v>190</v>
      </c>
      <c r="F10" s="3161">
        <f ca="1">IF(G10&lt;B2,"已过期",2010110070)</f>
        <v>2010110070</v>
      </c>
      <c r="G10" s="3165">
        <v>47907</v>
      </c>
      <c r="H10" s="3166" t="str">
        <f t="shared" ca="1" si="1"/>
        <v>崔锴（注册号：2010110070）</v>
      </c>
    </row>
    <row r="11" spans="1:8" ht="24" customHeight="1">
      <c r="A11" s="3161" t="s">
        <v>191</v>
      </c>
      <c r="B11" s="3161">
        <f ca="1">IF(C11&lt;B2,"已过期",1120070131)</f>
        <v>1120070131</v>
      </c>
      <c r="C11" s="3162">
        <v>44849</v>
      </c>
      <c r="D11" s="3163" t="str">
        <f t="shared" ca="1" si="0"/>
        <v>郑燚（注册号：1120070131）</v>
      </c>
      <c r="E11" s="3164" t="s">
        <v>191</v>
      </c>
      <c r="F11" s="3161">
        <f ca="1">IF(G11&lt;B2,"已过期",2014110011)</f>
        <v>2014110011</v>
      </c>
      <c r="G11" s="3165">
        <v>49302</v>
      </c>
      <c r="H11" s="3166" t="str">
        <f t="shared" ca="1" si="1"/>
        <v>郑燚（注册号：2014110011）</v>
      </c>
    </row>
    <row r="12" spans="1:8" ht="24" customHeight="1">
      <c r="A12" s="3161" t="s">
        <v>192</v>
      </c>
      <c r="B12" s="3161">
        <f ca="1">IF(C12&lt;B2,"已过期",1120040230)</f>
        <v>1120040230</v>
      </c>
      <c r="C12" s="3167">
        <v>44864</v>
      </c>
      <c r="D12" s="3163" t="str">
        <f t="shared" ca="1" si="0"/>
        <v>苏海（注册号：1120040230）</v>
      </c>
      <c r="E12" s="3164" t="s">
        <v>192</v>
      </c>
      <c r="F12" s="3161">
        <f ca="1">IF(G12&lt;B2,"已过期",98030020)</f>
        <v>98030020</v>
      </c>
      <c r="G12" s="3165">
        <v>47118</v>
      </c>
      <c r="H12" s="3166" t="str">
        <f t="shared" ca="1" si="1"/>
        <v>苏海（注册号：98030020）</v>
      </c>
    </row>
    <row r="13" spans="1:8" ht="24" customHeight="1">
      <c r="A13" s="3161" t="s">
        <v>193</v>
      </c>
      <c r="B13" s="3161" t="str">
        <f ca="1">IF(C13&lt;B2,"已过期",1120020033)</f>
        <v>已过期</v>
      </c>
      <c r="C13" s="3162">
        <v>44339</v>
      </c>
      <c r="D13" s="3163" t="str">
        <f t="shared" ca="1" si="0"/>
        <v>刘敬东（注册号：已过期）</v>
      </c>
      <c r="E13" s="3164" t="s">
        <v>193</v>
      </c>
      <c r="F13" s="3161">
        <f ca="1">IF(G13&lt;B2,"已过期",2000110137)</f>
        <v>2000110137</v>
      </c>
      <c r="G13" s="3165">
        <v>46387</v>
      </c>
      <c r="H13" s="3166" t="str">
        <f t="shared" ca="1" si="1"/>
        <v>刘敬东（注册号：2000110137）</v>
      </c>
    </row>
    <row r="14" spans="1:8" ht="24" customHeight="1">
      <c r="A14" s="3161" t="s">
        <v>194</v>
      </c>
      <c r="B14" s="3161">
        <f ca="1">IF(C14&lt;B2,"已过期",1119980106)</f>
        <v>1119980106</v>
      </c>
      <c r="C14" s="3167">
        <v>44969</v>
      </c>
      <c r="D14" s="3163" t="str">
        <f t="shared" ca="1" si="0"/>
        <v>刘俊财（注册号：1119980106）</v>
      </c>
      <c r="E14" s="3164" t="s">
        <v>194</v>
      </c>
      <c r="F14" s="3161">
        <f ca="1">IF(G14&lt;B2,"已过期",96010063)</f>
        <v>96010063</v>
      </c>
      <c r="G14" s="3165">
        <v>47483</v>
      </c>
      <c r="H14" s="3166" t="str">
        <f t="shared" ca="1" si="1"/>
        <v>刘俊财（注册号：96010063）</v>
      </c>
    </row>
    <row r="15" spans="1:8" ht="24" customHeight="1">
      <c r="A15" s="3161" t="s">
        <v>195</v>
      </c>
      <c r="B15" s="3161">
        <v>1120210056</v>
      </c>
      <c r="C15" s="3167">
        <v>45410</v>
      </c>
      <c r="D15" s="3163" t="str">
        <f t="shared" si="0"/>
        <v>宁小鳗（注册号：1120210056）</v>
      </c>
      <c r="E15" s="3164" t="s">
        <v>196</v>
      </c>
      <c r="F15" s="3161">
        <f ca="1">IF(G15&lt;B2,"已过期",2011110090)</f>
        <v>2011110090</v>
      </c>
      <c r="G15" s="3165">
        <v>48302</v>
      </c>
      <c r="H15" s="3166" t="str">
        <f t="shared" ca="1" si="1"/>
        <v>赵雯（注册号：2011110090）</v>
      </c>
    </row>
    <row r="16" spans="1:8" s="3150" customFormat="1" ht="24" customHeight="1">
      <c r="A16" s="3161"/>
      <c r="B16" s="3161"/>
      <c r="C16" s="3161"/>
      <c r="D16" s="3163" t="str">
        <f t="shared" si="0"/>
        <v>（注册号：）</v>
      </c>
      <c r="E16" s="3164"/>
      <c r="F16" s="3161"/>
      <c r="G16" s="3161"/>
      <c r="H16" s="3168" t="str">
        <f t="shared" si="1"/>
        <v>（注册号：）</v>
      </c>
    </row>
    <row r="17" spans="1:8" ht="24" customHeight="1">
      <c r="A17" s="3318" t="s">
        <v>197</v>
      </c>
      <c r="B17" s="3318"/>
      <c r="C17" s="3318"/>
      <c r="D17" s="3318"/>
      <c r="E17" s="3318"/>
      <c r="F17" s="3318"/>
      <c r="G17" s="3318"/>
      <c r="H17" s="3318"/>
    </row>
    <row r="18" spans="1:8" ht="24" customHeight="1">
      <c r="A18" s="3319" t="s">
        <v>198</v>
      </c>
      <c r="B18" s="3319"/>
      <c r="C18" s="3319"/>
      <c r="D18" s="3159"/>
      <c r="E18" s="3320" t="s">
        <v>199</v>
      </c>
      <c r="F18" s="3319"/>
      <c r="G18" s="3319"/>
    </row>
    <row r="19" spans="1:8" s="3151" customFormat="1" ht="24" customHeight="1">
      <c r="A19" s="3169" t="s">
        <v>200</v>
      </c>
      <c r="B19" s="3158" t="s">
        <v>201</v>
      </c>
      <c r="C19" s="3158" t="s">
        <v>179</v>
      </c>
      <c r="D19" s="3159"/>
      <c r="E19" s="3164" t="s">
        <v>200</v>
      </c>
      <c r="F19" s="3158" t="s">
        <v>201</v>
      </c>
      <c r="G19" s="3158" t="s">
        <v>179</v>
      </c>
    </row>
    <row r="20" spans="1:8" s="3151" customFormat="1" ht="24" customHeight="1">
      <c r="A20" s="3170" t="s">
        <v>202</v>
      </c>
      <c r="B20" s="3170" t="s">
        <v>203</v>
      </c>
      <c r="C20" s="3165">
        <v>44820</v>
      </c>
      <c r="D20" s="3171"/>
      <c r="E20" s="3172" t="s">
        <v>204</v>
      </c>
      <c r="F20" s="3173" t="s">
        <v>205</v>
      </c>
      <c r="G20" s="3174">
        <v>44926</v>
      </c>
    </row>
    <row r="21" spans="1:8" s="3151" customFormat="1" ht="24" customHeight="1">
      <c r="A21" s="3170"/>
      <c r="B21" s="3170"/>
      <c r="C21" s="3175"/>
      <c r="D21" s="3176"/>
      <c r="E21" s="3172"/>
      <c r="F21" s="3173"/>
      <c r="G21" s="3174"/>
    </row>
    <row r="22" spans="1:8" ht="24" customHeight="1">
      <c r="C22" s="3177"/>
      <c r="D22" s="3177"/>
      <c r="E22" s="3178"/>
      <c r="F22" s="3179"/>
      <c r="G22" s="3180"/>
    </row>
  </sheetData>
  <sheetProtection password="CEE9" sheet="1" objects="1" scenarios="1"/>
  <mergeCells count="3">
    <mergeCell ref="A17:H17"/>
    <mergeCell ref="A18:C18"/>
    <mergeCell ref="E18:G18"/>
  </mergeCells>
  <phoneticPr fontId="228"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广源二期</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2022-08-01T09:21:54Z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DB0D9B02135240C096406E5E94A350EA</vt:lpwstr>
  </property>
  <property fmtid="{D5CDD505-2E9C-101B-9397-08002B2CF9AE}" pid="3" name="KSOProductBuildVer">
    <vt:lpwstr>2052-11.1.0.11830</vt:lpwstr>
  </property>
</Properties>
</file>