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M68" i="43"/>
  <c r="N68" i="43" s="1"/>
  <c r="K68" i="43"/>
  <c r="D68" i="43" s="1"/>
  <c r="M67" i="43"/>
  <c r="N67" i="43" s="1"/>
  <c r="K67" i="43"/>
  <c r="D67" i="43" s="1"/>
  <c r="M66" i="43"/>
  <c r="N66" i="43" s="1"/>
  <c r="K66" i="43"/>
  <c r="D66" i="43" s="1"/>
  <c r="M65" i="43"/>
  <c r="N65" i="43" s="1"/>
  <c r="K65" i="43"/>
  <c r="D65" i="43" s="1"/>
  <c r="M64" i="43"/>
  <c r="N64" i="43" s="1"/>
  <c r="K64" i="43"/>
  <c r="D64" i="43" s="1"/>
  <c r="M63" i="43"/>
  <c r="N63" i="43" s="1"/>
  <c r="K63" i="43"/>
  <c r="D63" i="43" s="1"/>
  <c r="M62" i="43"/>
  <c r="N62" i="43" s="1"/>
  <c r="K62" i="43"/>
  <c r="D62" i="43" s="1"/>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7" i="67"/>
  <c r="M24" i="15"/>
  <c r="AO6" i="1"/>
  <c r="F6" i="73"/>
  <c r="F37" i="67"/>
  <c r="B10" i="76"/>
  <c r="L47" i="67"/>
  <c r="B9" i="76"/>
  <c r="F38" i="67"/>
  <c r="F40" i="15"/>
  <c r="C76" i="15"/>
  <c r="F38" i="15"/>
  <c r="AO13" i="1"/>
  <c r="F7" i="15"/>
  <c r="F26" i="15"/>
  <c r="L48" i="67"/>
  <c r="D35" i="9"/>
  <c r="F36" i="15"/>
  <c r="L47" i="15"/>
  <c r="E2" i="69"/>
  <c r="E13" i="76"/>
  <c r="M23" i="15"/>
  <c r="D2" i="37"/>
  <c r="E11" i="76"/>
  <c r="D20" i="9"/>
  <c r="F41" i="15"/>
  <c r="F26" i="67"/>
  <c r="F9" i="67"/>
  <c r="D6" i="73"/>
  <c r="F43" i="15"/>
  <c r="F9" i="15"/>
  <c r="C19" i="9"/>
  <c r="B8" i="76"/>
  <c r="E12" i="76"/>
  <c r="M8" i="67"/>
  <c r="F3" i="73"/>
  <c r="AO11" i="1"/>
  <c r="D7" i="73"/>
  <c r="D2" i="36"/>
  <c r="M9" i="67"/>
  <c r="E10" i="76"/>
  <c r="F42" i="67"/>
  <c r="M26" i="67"/>
  <c r="D2" i="35"/>
  <c r="D2" i="21"/>
  <c r="B11" i="76"/>
  <c r="B13" i="76"/>
  <c r="M6" i="15"/>
  <c r="F13" i="15"/>
  <c r="M23" i="67"/>
  <c r="AO10" i="1"/>
  <c r="AO7" i="1"/>
  <c r="M24" i="67"/>
  <c r="F36" i="67"/>
  <c r="E2" i="68"/>
  <c r="D2" i="33"/>
  <c r="AO9" i="1"/>
  <c r="J15" i="67"/>
  <c r="F13" i="67"/>
  <c r="F16" i="15"/>
  <c r="D5" i="73"/>
  <c r="D34" i="9"/>
  <c r="M22" i="15"/>
  <c r="F37" i="15"/>
  <c r="M9" i="15"/>
  <c r="F7" i="73"/>
  <c r="M29" i="67"/>
  <c r="B12" i="76"/>
  <c r="F16" i="67"/>
  <c r="F8" i="67"/>
  <c r="C76" i="67"/>
  <c r="F42" i="15"/>
  <c r="F7" i="67"/>
  <c r="M29" i="15"/>
  <c r="AO12" i="1"/>
  <c r="F5" i="73"/>
  <c r="J15" i="15"/>
  <c r="D2" i="34"/>
  <c r="M26" i="15"/>
  <c r="C20" i="9"/>
  <c r="D4" i="73"/>
  <c r="D19" i="9"/>
  <c r="E9" i="76"/>
  <c r="F6" i="15"/>
  <c r="F40" i="67"/>
  <c r="F8" i="15"/>
  <c r="F43" i="67"/>
  <c r="L48" i="15"/>
  <c r="F6" i="67"/>
  <c r="E8" i="76"/>
  <c r="E7" i="76"/>
  <c r="B7" i="76"/>
  <c r="D3" i="73"/>
  <c r="F41" i="67"/>
  <c r="AO8" i="1"/>
  <c r="M28" i="67"/>
  <c r="M22" i="67"/>
  <c r="F4" i="73"/>
  <c r="M6" i="67"/>
  <c r="M28" i="15"/>
  <c r="M8" i="15"/>
  <c r="F20" i="31"/>
  <c r="M27" i="15"/>
  <c r="C30" i="69" l="1"/>
  <c r="E62" i="43"/>
  <c r="B60" i="43" s="1"/>
  <c r="J62" i="43"/>
  <c r="J63" i="43"/>
  <c r="J64" i="43"/>
  <c r="J65" i="43"/>
  <c r="J66" i="43"/>
  <c r="J67" i="43"/>
  <c r="J68" i="43"/>
  <c r="J70" i="43"/>
  <c r="D123" i="43"/>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3" i="43"/>
  <c r="H54" i="43"/>
  <c r="H59"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67"/>
  <c r="C16" i="15"/>
  <c r="H51" i="43" l="1"/>
  <c r="H52" i="43"/>
  <c r="H58" i="43"/>
  <c r="H57" i="43"/>
  <c r="E51" i="43"/>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C34" i="43"/>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J14" i="67" l="1"/>
  <c r="J13" i="67" s="1"/>
  <c r="J23" i="67" s="1"/>
  <c r="C13" i="67"/>
  <c r="C75"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l="1"/>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F35" i="67"/>
  <c r="M21" i="15"/>
  <c r="M21" i="67"/>
  <c r="F35" i="15"/>
  <c r="C56" i="15" l="1"/>
  <c r="C65" i="15" s="1"/>
  <c r="Q70" i="15"/>
  <c r="J13" i="15"/>
  <c r="J23" i="15" s="1"/>
  <c r="C64"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47" i="15"/>
  <c r="Q53" i="15" s="1"/>
  <c r="C46" i="15"/>
  <c r="B2" i="15"/>
  <c r="B3" i="15" s="1"/>
  <c r="Q65" i="15"/>
  <c r="Q75" i="15" s="1"/>
  <c r="C83" i="15"/>
  <c r="C82" i="15" s="1"/>
  <c r="Q56" i="15"/>
  <c r="Q62"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40" i="43" l="1"/>
  <c r="I40" i="43" s="1"/>
  <c r="C31" i="43" s="1"/>
  <c r="E40" i="43"/>
  <c r="D1" i="43"/>
  <c r="E33" i="43"/>
  <c r="C30" i="43" s="1"/>
  <c r="B2" i="43" s="1"/>
  <c r="E6" i="76"/>
  <c r="B6" i="76"/>
  <c r="B2" i="76" l="1"/>
  <c r="E2" i="76"/>
  <c r="B3" i="43"/>
  <c r="B3" i="76" l="1"/>
  <c r="D53" i="9"/>
  <c r="D52" i="9"/>
  <c r="C104" i="9"/>
  <c r="H4" i="52"/>
  <c r="E14" i="74"/>
  <c r="F14" i="74"/>
  <c r="N60" i="9"/>
  <c r="N61" i="9"/>
  <c r="I4" i="52"/>
  <c r="C105" i="9"/>
  <c r="C6" i="74"/>
  <c r="D6" i="74"/>
  <c r="P57" i="9"/>
  <c r="N58" i="9"/>
  <c r="N59" i="9"/>
  <c r="C5" i="74"/>
  <c r="D14" i="74"/>
  <c r="B5" i="74"/>
  <c r="D5" i="74"/>
  <c r="N57" i="9"/>
  <c r="B51" i="72"/>
  <c r="H119" i="9"/>
  <c r="H5" i="52"/>
  <c r="E97" i="9"/>
  <c r="M55" i="9"/>
  <c r="B30" i="72"/>
  <c r="B53" i="72"/>
  <c r="F4" i="52"/>
  <c r="B49" i="72"/>
  <c r="M48" i="9"/>
  <c r="B21" i="72"/>
  <c r="H102" i="9"/>
  <c r="D7" i="53"/>
  <c r="B6" i="74"/>
  <c r="D59" i="9"/>
  <c r="D14" i="53"/>
  <c r="B32" i="72"/>
  <c r="D13" i="53"/>
  <c r="B31" i="72"/>
  <c r="D8" i="52"/>
  <c r="G14" i="74"/>
  <c r="B22" i="72"/>
  <c r="H108" i="9"/>
  <c r="D15" i="53"/>
  <c r="E96" i="9"/>
  <c r="C78" i="9"/>
  <c r="C73" i="9"/>
  <c r="F119" i="9"/>
  <c r="F5" i="52"/>
  <c r="B20" i="72"/>
  <c r="D5" i="53"/>
  <c r="D6" i="53"/>
  <c r="C81" i="9"/>
  <c r="D4" i="52"/>
  <c r="B47" i="72"/>
  <c r="C72" i="9"/>
  <c r="C79" i="9"/>
  <c r="C80" i="9"/>
  <c r="E80" i="9"/>
  <c r="E81" i="9"/>
  <c r="C93" i="9"/>
  <c r="C86" i="9"/>
  <c r="H107" i="9"/>
  <c r="D122" i="9"/>
  <c r="D123" i="9"/>
  <c r="D9" i="52"/>
  <c r="D118" i="9"/>
  <c r="D119" i="9"/>
  <c r="D5" i="52"/>
  <c r="E118" i="9"/>
  <c r="E4" i="52"/>
  <c r="B48" i="72"/>
  <c r="D55" i="9"/>
  <c r="M53" i="9"/>
  <c r="C96" i="9"/>
  <c r="C64" i="9"/>
  <c r="C63" i="9"/>
  <c r="C67" i="9"/>
  <c r="C68" i="9"/>
  <c r="D54" i="9"/>
  <c r="I118" i="9"/>
  <c r="H118" i="9"/>
  <c r="H101" i="9"/>
  <c r="D45" i="9"/>
  <c r="C85" i="9"/>
  <c r="C95" i="9"/>
  <c r="C97" i="9"/>
  <c r="D58" i="9"/>
  <c r="D56" i="9"/>
  <c r="M54" i="9"/>
  <c r="F118" i="9"/>
  <c r="G118" i="9"/>
  <c r="G4" i="52"/>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<sst xmlns="http://schemas.openxmlformats.org/spreadsheetml/2006/main" count="7737" uniqueCount="3111">
  <si>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</si>
  <si>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</si>
  <si>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</si>
  <si>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</si>
  <si>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</si>
  <si>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</si>
  <si>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</si>
  <si>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</si>
  <si>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</si>
  <si>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</si>
  <si>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</si>
  <si>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</si>
  <si>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</si>
  <si>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</si>
  <si>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</si>
  <si>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</si>
  <si>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</si>
  <si>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</si>
  <si>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</si>
  <si>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</si>
  <si>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</si>
  <si>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</si>
  <si>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</si>
  <si>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</si>
  <si>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</si>
  <si>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</si>
  <si>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</si>
  <si>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</si>
  <si>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</si>
  <si>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</si>
  <si>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</si>
  <si>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</si>
  <si>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</si>
  <si>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</si>
  <si>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</si>
  <si>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</si>
  <si>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</si>
  <si>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</si>
  <si>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</si>
  <si>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</si>
  <si>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</si>
  <si>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</si>
  <si>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</si>
  <si>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</si>
  <si>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</si>
  <si>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</si>
  <si>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</si>
  <si>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</si>
  <si>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</si>
  <si>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</si>
  <si>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</si>
  <si>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</si>
  <si>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</si>
  <si>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</si>
  <si>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</si>
  <si>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</si>
  <si>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</si>
  <si>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</si>
  <si>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</si>
  <si>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</si>
  <si>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</si>
  <si>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</si>
  <si>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</si>
  <si>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</si>
  <si>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</si>
  <si>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</si>
  <si>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</si>
  <si>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</si>
  <si>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</si>
  <si>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</si>
  <si>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</si>
  <si>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</si>
  <si>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</si>
  <si>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</si>
  <si>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</si>
  <si>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</si>
  <si>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</si>
  <si>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</si>
  <si>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</si>
  <si>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</si>
  <si>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</si>
  <si>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</si>
  <si>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</si>
  <si>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</si>
  <si>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</si>
  <si>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</si>
  <si>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</si>
  <si>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</si>
  <si>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</si>
  <si>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</si>
  <si>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</si>
  <si>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</si>
  <si>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</si>
  <si>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</si>
  <si>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</si>
  <si>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</si>
  <si>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</si>
  <si>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</si>
  <si>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</si>
  <si>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</si>
  <si>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</si>
  <si>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</si>
  <si>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</si>
  <si>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</si>
  <si>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</si>
  <si>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</si>
  <si>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</si>
  <si>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</si>
  <si>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</si>
  <si>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</si>
  <si>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</si>
  <si>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</si>
  <si>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</si>
  <si>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</si>
  <si>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</si>
  <si>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</si>
  <si>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</si>
  <si>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</si>
  <si>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</si>
  <si>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</si>
  <si>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</si>
  <si>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</si>
  <si>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</si>
  <si>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</si>
  <si>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</si>
  <si>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</si>
  <si>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</si>
  <si>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</si>
  <si>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</si>
  <si>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</si>
  <si>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</si>
  <si>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</si>
  <si>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</si>
  <si>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</si>
  <si>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</si>
  <si>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</si>
  <si>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</si>
  <si>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</si>
  <si>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</si>
  <si>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</si>
  <si>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</si>
  <si>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</si>
  <si>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</si>
  <si>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</si>
  <si>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</si>
  <si>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</si>
  <si>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</si>
  <si>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</si>
  <si>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</si>
  <si>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</si>
  <si>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</si>
  <si>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</si>
  <si>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</si>
  <si>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</si>
  <si>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</si>
  <si>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</si>
  <si>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</si>
  <si>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</si>
  <si>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</si>
  <si>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</si>
  <si>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</si>
  <si>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</si>
  <si>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</si>
  <si>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</si>
  <si>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</si>
  <si>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</si>
  <si>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</si>
  <si>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</si>
  <si>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</si>
  <si>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</si>
  <si>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</si>
  <si>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</si>
  <si>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</si>
  <si>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</si>
  <si>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</si>
  <si>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</si>
  <si>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</si>
  <si>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</si>
  <si>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</si>
  <si>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</si>
  <si>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</si>
  <si>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</si>
  <si>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</si>
  <si>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</si>
  <si>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</si>
  <si>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</si>
  <si>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</si>
  <si>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</si>
  <si>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</si>
  <si>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</si>
  <si>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</si>
  <si>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</si>
  <si>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</si>
  <si>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</si>
  <si>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</si>
  <si>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</si>
  <si>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</si>
  <si>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</si>
  <si>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</si>
  <si>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</si>
  <si>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</si>
  <si>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</si>
  <si>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</si>
  <si>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</si>
  <si>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</si>
  <si>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</si>
  <si>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</si>
  <si>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</si>
  <si>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</si>
  <si>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</si>
  <si>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</si>
  <si>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</si>
  <si>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</si>
  <si>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</si>
  <si>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</si>
  <si>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</si>
  <si>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</si>
  <si>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</si>
  <si>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</si>
  <si>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</si>
  <si>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</si>
  <si>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</si>
  <si>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</si>
  <si>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</si>
  <si>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</si>
  <si>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</si>
  <si>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</si>
  <si>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</si>
  <si>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</si>
  <si>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</si>
  <si>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</si>
  <si>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</si>
  <si>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</si>
  <si>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</si>
  <si>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</si>
  <si>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</si>
  <si>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</si>
  <si>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</si>
  <si>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</si>
  <si>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</si>
  <si>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</si>
  <si>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</si>
  <si>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</si>
  <si>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</si>
  <si>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</si>
  <si>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</si>
  <si>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</si>
  <si>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</si>
  <si>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</si>
  <si>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</si>
  <si>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</si>
  <si>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</si>
  <si>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</si>
  <si>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</si>
  <si>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</si>
  <si>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</si>
  <si>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</si>
  <si>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</si>
  <si>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</si>
  <si>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</si>
  <si>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</si>
  <si>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</si>
  <si>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</si>
  <si>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</si>
  <si>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</si>
  <si>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</si>
  <si>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</si>
  <si>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</si>
  <si>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</si>
  <si>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</si>
  <si>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</si>
  <si>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</si>
  <si>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</si>
  <si>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</si>
  <si>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</si>
  <si>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</si>
  <si>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</si>
  <si>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</si>
  <si>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</si>
  <si>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</si>
  <si>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</si>
  <si>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</si>
  <si>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</si>
  <si>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</si>
  <si>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</si>
  <si>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</si>
  <si>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</si>
  <si>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</si>
  <si>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</si>
  <si>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</si>
  <si>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</si>
  <si>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</si>
  <si>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</si>
  <si>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</si>
  <si>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</si>
  <si>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</si>
  <si>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</si>
  <si>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</si>
  <si>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</si>
  <si>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</si>
  <si>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</si>
  <si>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</si>
  <si>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</si>
  <si>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</si>
  <si>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</si>
  <si>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</si>
  <si>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</si>
  <si>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</si>
  <si>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</si>
  <si>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</si>
  <si>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</si>
  <si>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</si>
  <si>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</si>
  <si>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</si>
  <si>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</si>
  <si>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</si>
  <si>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</si>
  <si>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</si>
  <si>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</si>
  <si>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</si>
  <si>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</si>
  <si>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</si>
  <si>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</si>
  <si>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</si>
  <si>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</si>
  <si>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</si>
  <si>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</si>
  <si>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</si>
  <si>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</si>
  <si>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</si>
  <si>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</si>
  <si>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</si>
  <si>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</si>
  <si>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</si>
  <si>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</si>
  <si>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</si>
  <si>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</si>
  <si>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</si>
  <si>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</si>
  <si>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</si>
  <si>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</si>
  <si>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</si>
  <si>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</si>
  <si>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</si>
  <si>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</si>
  <si>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</si>
  <si>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</si>
  <si>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</si>
  <si>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</si>
  <si>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</si>
  <si>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</si>
  <si>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</si>
  <si>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</si>
  <si>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</si>
  <si>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</si>
  <si>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</si>
  <si>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</si>
  <si>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</si>
  <si>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</si>
  <si>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</si>
  <si>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</si>
  <si>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</si>
  <si>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</si>
  <si>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</si>
  <si>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</si>
  <si>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</si>
  <si>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</si>
  <si>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</si>
  <si>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</si>
  <si>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</si>
  <si>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</si>
  <si>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</si>
  <si>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</si>
  <si>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</si>
  <si>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</si>
  <si>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</si>
  <si>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</si>
  <si>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</si>
  <si>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</si>
  <si>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</si>
  <si>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</si>
  <si>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</si>
  <si>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</si>
  <si>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</si>
  <si>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</si>
  <si>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</si>
  <si>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</si>
  <si>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</si>
  <si>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</si>
  <si>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</si>
  <si>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</si>
  <si>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</si>
  <si>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</si>
  <si>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</si>
  <si>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</si>
  <si>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</si>
  <si>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</si>
  <si>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</si>
  <si>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</si>
  <si>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</si>
  <si>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</si>
  <si>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</si>
  <si>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</si>
  <si>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</si>
  <si>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</si>
  <si>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</si>
  <si>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</si>
  <si>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</si>
  <si>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</si>
  <si>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</si>
  <si>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</si>
  <si>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</si>
  <si>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</si>
  <si>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</si>
  <si>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</si>
  <si>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</si>
  <si>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</si>
  <si>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</si>
  <si>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</si>
  <si>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</si>
  <si>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</si>
  <si>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</si>
  <si>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</si>
  <si>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</si>
  <si>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</si>
  <si>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</si>
  <si>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</si>
  <si>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</si>
  <si>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</si>
  <si>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</si>
  <si>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</si>
  <si>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</si>
  <si>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</si>
  <si>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</si>
  <si>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</si>
  <si>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</si>
  <si>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</si>
  <si>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</si>
  <si>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</si>
  <si>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</si>
  <si>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</si>
  <si>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</si>
  <si>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</si>
  <si>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</si>
  <si>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</si>
  <si>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</si>
  <si>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</si>
  <si>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</si>
  <si>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</si>
  <si>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</si>
  <si>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</si>
  <si>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</si>
  <si>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</si>
  <si>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</si>
  <si>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</si>
  <si>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</si>
  <si>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</si>
  <si>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</si>
  <si>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</si>
  <si>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</si>
  <si>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</si>
  <si>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</si>
  <si>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</si>
  <si>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</si>
  <si>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</si>
  <si>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</si>
  <si>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</si>
  <si>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</si>
  <si>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</si>
  <si>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</si>
  <si>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</si>
  <si>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</si>
  <si>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</si>
  <si>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</si>
  <si>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</si>
  <si>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</si>
  <si>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</si>
  <si>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</si>
  <si>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</si>
  <si>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</si>
  <si>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</si>
  <si>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</si>
  <si>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</si>
  <si>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</si>
  <si>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</si>
  <si>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</si>
  <si>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</si>
  <si>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</si>
  <si>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</si>
  <si>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</si>
  <si>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</si>
  <si>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</si>
  <si>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</si>
  <si>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</si>
  <si>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</si>
  <si>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</si>
  <si>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</si>
  <si>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</si>
  <si>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</si>
  <si>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</si>
  <si>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</si>
  <si>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</si>
  <si>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</si>
  <si>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</si>
  <si>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</si>
  <si>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</si>
  <si>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</si>
  <si>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</si>
  <si>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</si>
  <si>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</si>
  <si>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</si>
  <si>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</si>
  <si>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</si>
  <si>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</si>
  <si>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</si>
  <si>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</si>
  <si>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</si>
  <si>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</si>
  <si>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</si>
  <si>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</si>
  <si>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</si>
  <si>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</si>
  <si>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</si>
  <si>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</si>
  <si>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</si>
  <si>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</si>
  <si>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</si>
  <si>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</si>
  <si>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</si>
  <si>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</si>
  <si>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</si>
  <si>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</si>
  <si>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</si>
  <si>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</si>
  <si>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</si>
  <si>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</si>
  <si>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</si>
  <si>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</si>
  <si>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</si>
  <si>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</si>
  <si>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</si>
  <si>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</si>
  <si>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</si>
  <si>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</si>
  <si>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</si>
  <si>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</si>
  <si>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</si>
  <si>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</si>
  <si>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</si>
  <si>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</si>
  <si>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</si>
  <si>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</si>
  <si>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</si>
  <si>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</si>
  <si>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</si>
  <si>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</si>
  <si>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</si>
  <si>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</si>
  <si>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</si>
  <si>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</si>
  <si>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</si>
  <si>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</si>
  <si>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</si>
  <si>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</si>
  <si>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</si>
  <si>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</si>
  <si>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</si>
  <si>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</si>
  <si>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</si>
  <si>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</si>
  <si>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</si>
  <si>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</si>
  <si>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</si>
  <si>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</si>
  <si>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</si>
  <si>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</si>
  <si>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</si>
  <si>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</si>
  <si>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</si>
  <si>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</si>
  <si>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</si>
  <si>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</si>
  <si>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</si>
  <si>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</si>
  <si>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</si>
  <si>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</si>
  <si>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</si>
  <si>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</si>
  <si>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</si>
  <si>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</si>
  <si>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</si>
  <si>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</si>
  <si>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</si>
  <si>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</si>
  <si>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</si>
  <si>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</si>
  <si>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</si>
  <si>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</si>
  <si>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</si>
  <si>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</si>
  <si>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</si>
  <si>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</si>
  <si>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</si>
  <si>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</si>
  <si>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</si>
  <si>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</si>
  <si>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</si>
  <si>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</si>
  <si>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</si>
  <si>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</si>
  <si>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</si>
  <si>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</si>
  <si>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</si>
  <si>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</si>
  <si>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</si>
  <si>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</si>
  <si>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</si>
  <si>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</si>
  <si>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</si>
  <si>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</si>
  <si>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</si>
  <si>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</si>
  <si>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</si>
  <si>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</si>
  <si>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</si>
  <si>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</si>
  <si>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</si>
  <si>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</si>
  <si>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</si>
  <si>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</si>
  <si>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</si>
  <si>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</si>
  <si>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</si>
  <si>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</si>
  <si>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</si>
  <si>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</si>
  <si>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</si>
  <si>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</si>
  <si>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</si>
  <si>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</si>
  <si>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</si>
  <si>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</si>
  <si>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</si>
  <si>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</si>
  <si>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</si>
  <si>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</si>
  <si>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</si>
  <si>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</si>
  <si>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</si>
  <si>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</si>
  <si>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</si>
  <si>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</si>
  <si>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</si>
  <si>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</si>
  <si>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</si>
  <si>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</si>
  <si>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</si>
  <si>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</si>
  <si>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</si>
  <si>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</si>
  <si>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</si>
  <si>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</si>
  <si>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</si>
  <si>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</si>
  <si>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</si>
  <si>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</si>
  <si>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</si>
  <si>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</si>
  <si>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</si>
  <si>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</si>
  <si>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</si>
  <si>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</si>
  <si>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</si>
  <si>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</si>
  <si>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</si>
  <si>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</si>
  <si>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</si>
  <si>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</si>
  <si>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</si>
  <si>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</si>
  <si>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</si>
  <si>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</si>
  <si>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</si>
  <si>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</si>
  <si>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</si>
  <si>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</si>
  <si>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</si>
  <si>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</si>
  <si>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</si>
  <si>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</si>
  <si>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</si>
  <si>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</si>
  <si>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</si>
  <si>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</si>
  <si>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</si>
  <si>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</si>
  <si>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</si>
  <si>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</si>
  <si>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</si>
  <si>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</si>
  <si>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</si>
  <si>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</si>
  <si>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</si>
  <si>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</si>
  <si>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</si>
  <si>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</si>
  <si>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</si>
  <si>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</si>
  <si>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</si>
  <si>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</si>
  <si>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</si>
  <si>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</si>
  <si>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</si>
  <si>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</si>
  <si>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</si>
  <si>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</si>
  <si>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</si>
  <si>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</si>
  <si>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</si>
  <si>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</si>
  <si>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</si>
  <si>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</si>
  <si>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</si>
  <si>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</si>
  <si>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</si>
  <si>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</si>
  <si>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</si>
  <si>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</si>
  <si>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</si>
  <si>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</si>
  <si>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</si>
  <si>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</si>
  <si>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</si>
  <si>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</si>
  <si>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</si>
  <si>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</si>
  <si>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</si>
  <si>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</si>
  <si>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</si>
  <si>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</si>
  <si>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</si>
  <si>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</si>
  <si>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</si>
  <si>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</si>
  <si>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</si>
  <si>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</si>
  <si>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</si>
  <si>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</si>
  <si>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</si>
  <si>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</si>
  <si>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</si>
  <si>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</si>
  <si>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</si>
  <si>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</si>
  <si>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</si>
  <si>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</si>
  <si>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</si>
  <si>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</si>
  <si>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</si>
  <si>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</si>
  <si>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</si>
  <si>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</si>
  <si>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</si>
  <si>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</si>
  <si>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</si>
  <si>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</si>
  <si>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</si>
  <si>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</si>
  <si>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</si>
  <si>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</si>
  <si>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</si>
  <si>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</si>
  <si>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</si>
  <si>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</si>
  <si>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</si>
  <si>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</si>
  <si>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</si>
  <si>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</si>
  <si>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</si>
  <si>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</si>
  <si>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</si>
  <si>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</si>
  <si>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</si>
  <si>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</si>
  <si>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</si>
  <si>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</si>
  <si>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</si>
  <si>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</si>
  <si>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</si>
  <si>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</si>
  <si>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</si>
  <si>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</si>
  <si>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</si>
  <si>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</si>
  <si>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</si>
  <si>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</si>
  <si>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</si>
  <si>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</si>
  <si>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</si>
  <si>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</si>
  <si>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</si>
  <si>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</si>
  <si>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</si>
  <si>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</si>
  <si>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</si>
  <si>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</si>
  <si>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</si>
  <si>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</si>
  <si>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</si>
  <si>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</si>
  <si>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</si>
  <si>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</si>
  <si>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</si>
  <si>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</si>
  <si>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</si>
  <si>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</si>
  <si>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</si>
  <si>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</si>
  <si>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</si>
  <si>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</si>
  <si>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</si>
  <si>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</si>
  <si>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</si>
  <si>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</si>
  <si>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</si>
  <si>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</si>
  <si>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</si>
  <si>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</si>
  <si>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</si>
  <si>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</si>
  <si>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</si>
  <si>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</si>
  <si>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</si>
  <si>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</si>
  <si>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</si>
  <si>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</si>
  <si>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</si>
  <si>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</si>
  <si>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</si>
  <si>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</si>
  <si>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</si>
  <si>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</si>
  <si>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</si>
  <si>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</si>
  <si>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</si>
  <si>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</si>
  <si>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</si>
  <si>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</si>
  <si>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</si>
  <si>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</si>
  <si>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</si>
  <si>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</si>
  <si>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</si>
  <si>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</si>
  <si>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</si>
  <si>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</si>
  <si>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</si>
  <si>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</si>
  <si>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</si>
  <si>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</si>
  <si>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</si>
  <si>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</si>
  <si>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</si>
  <si>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</si>
  <si>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</si>
  <si>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</si>
  <si>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</si>
  <si>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</si>
  <si>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</si>
  <si>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</si>
  <si>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</si>
  <si>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</si>
  <si>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</si>
  <si>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</si>
  <si>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</si>
  <si>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</si>
  <si>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</si>
  <si>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</si>
  <si>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</si>
  <si>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</si>
  <si>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</si>
  <si>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</si>
  <si>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</si>
  <si>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</si>
  <si>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</si>
  <si>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</si>
  <si>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</si>
  <si>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</si>
  <si>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</si>
  <si>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</si>
  <si>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</si>
  <si>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</si>
  <si>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</si>
  <si>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</si>
  <si>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</si>
  <si>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</si>
  <si>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</si>
  <si>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</si>
  <si>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</si>
  <si>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</si>
  <si>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</si>
  <si>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</si>
  <si>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</si>
  <si>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</si>
  <si>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</si>
  <si>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</si>
  <si>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</si>
  <si>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</si>
  <si>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</si>
  <si>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</si>
  <si>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</si>
  <si>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</si>
  <si>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</si>
  <si>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</si>
  <si>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</si>
  <si>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</si>
  <si>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</si>
  <si>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</si>
  <si>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</si>
  <si>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</si>
  <si>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</si>
  <si>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</si>
  <si>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</si>
  <si>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</si>
  <si>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</si>
  <si>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</si>
  <si>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</si>
  <si>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</si>
  <si>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</si>
  <si>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</si>
  <si>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</si>
  <si>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</si>
  <si>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</si>
  <si>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</si>
  <si>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</si>
  <si>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</si>
  <si>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</si>
  <si>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</si>
  <si>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</si>
  <si>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</si>
  <si>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</si>
  <si>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</si>
  <si>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</si>
  <si>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</si>
  <si>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</si>
  <si>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</si>
  <si>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</si>
  <si>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</si>
  <si>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</si>
  <si>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</si>
  <si>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</si>
  <si>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</si>
  <si>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</si>
  <si>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</si>
  <si>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</si>
  <si>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</si>
  <si>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</si>
  <si>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</si>
  <si>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</si>
  <si>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</si>
  <si>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</si>
  <si>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</si>
  <si>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</si>
  <si>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</si>
  <si>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</si>
  <si>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</si>
  <si>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</si>
  <si>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</si>
  <si>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</si>
  <si>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</si>
  <si>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</si>
  <si>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</si>
  <si>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</si>
  <si>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</si>
  <si>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</si>
  <si>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</si>
  <si>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</si>
  <si>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</si>
  <si>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</si>
  <si>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</si>
  <si>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</si>
  <si>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</si>
  <si>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</si>
  <si>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</si>
  <si>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</si>
  <si>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</si>
  <si>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</si>
  <si>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</si>
  <si>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</si>
  <si>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</si>
  <si>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</si>
  <si>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</si>
  <si>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</si>
  <si>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</si>
  <si>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</si>
  <si>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</si>
  <si>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</si>
  <si>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</si>
  <si>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</si>
  <si>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</si>
  <si>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</si>
  <si>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</si>
  <si>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</si>
  <si>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</si>
  <si>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</si>
  <si>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</si>
  <si>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</si>
  <si>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</si>
  <si>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</si>
  <si>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</si>
  <si>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</si>
  <si>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</si>
  <si>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</si>
  <si>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</si>
  <si>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</si>
  <si>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</si>
  <si>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</si>
  <si>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</si>
  <si>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</si>
  <si>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</si>
  <si>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</si>
  <si>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</si>
  <si>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</si>
  <si>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</si>
  <si>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</si>
  <si>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</si>
  <si>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</si>
  <si>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</si>
  <si>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</si>
  <si>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</si>
  <si>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</si>
  <si>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</si>
  <si>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</si>
  <si>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</si>
  <si>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</si>
  <si>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</si>
  <si>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</si>
  <si>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</si>
  <si>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</si>
  <si>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</si>
  <si>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</si>
  <si>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</si>
  <si>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</si>
  <si>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</si>
  <si>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</si>
  <si>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</si>
  <si>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</si>
  <si>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</si>
  <si>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</si>
  <si>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</si>
  <si>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</si>
  <si>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</si>
  <si>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</si>
  <si>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</si>
  <si>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</si>
  <si>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</si>
  <si>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</si>
  <si>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</si>
  <si>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</si>
  <si>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</si>
  <si>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</si>
  <si>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</si>
  <si>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</si>
  <si>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</si>
  <si>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</si>
  <si>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</si>
  <si>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</si>
  <si>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</si>
  <si>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</si>
  <si>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</si>
  <si>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</si>
  <si>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</si>
  <si>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</si>
  <si>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</si>
  <si>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</si>
  <si>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</si>
  <si>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</si>
  <si>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</si>
  <si>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</si>
  <si>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</si>
  <si>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</si>
  <si>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</si>
  <si>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</si>
  <si>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</si>
  <si>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</si>
  <si>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</si>
  <si>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</si>
  <si>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</si>
  <si>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</si>
  <si>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</si>
  <si>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</si>
  <si>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</si>
  <si>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</si>
  <si>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</si>
  <si>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</si>
  <si>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</si>
  <si>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</si>
  <si>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</si>
  <si>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</si>
  <si>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</si>
  <si>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</si>
  <si>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</si>
  <si>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</si>
  <si>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</si>
  <si>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</si>
  <si>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</si>
  <si>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</si>
  <si>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</si>
  <si>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</si>
  <si>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</si>
  <si>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</si>
  <si>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</si>
  <si>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</si>
  <si>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</si>
  <si>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</si>
  <si>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</si>
  <si>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</si>
  <si>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</si>
  <si>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</si>
  <si>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</si>
  <si>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</si>
  <si>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</si>
  <si>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</si>
  <si>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</si>
  <si>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</si>
  <si>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</si>
  <si>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</si>
  <si>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</si>
  <si>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</si>
  <si>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</si>
  <si>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</si>
  <si>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</si>
  <si>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</si>
  <si>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</si>
  <si>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</si>
  <si>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</si>
  <si>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</si>
  <si>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</si>
  <si>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</si>
  <si>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</si>
  <si>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</si>
  <si>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</si>
  <si>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</si>
  <si>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</si>
  <si>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</si>
  <si>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</si>
  <si>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</si>
  <si>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</si>
  <si>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</si>
  <si>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</si>
  <si>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</si>
  <si>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</si>
  <si>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</si>
  <si>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</si>
  <si>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</si>
  <si>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</si>
  <si>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</si>
  <si>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</si>
  <si>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</si>
  <si>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</si>
  <si>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</si>
  <si>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</si>
  <si>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</si>
  <si>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</si>
  <si>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</si>
  <si>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</si>
  <si>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</si>
  <si>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</si>
  <si>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</si>
  <si>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</si>
  <si>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</si>
  <si>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</si>
  <si>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</si>
  <si>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</si>
  <si>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</si>
  <si>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</si>
  <si>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</si>
  <si>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</si>
  <si>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</si>
  <si>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</si>
  <si>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</si>
  <si>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</si>
  <si>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</si>
  <si>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</si>
  <si>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</si>
  <si>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</si>
  <si>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</si>
  <si>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</si>
  <si>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</si>
  <si>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</si>
  <si>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</si>
  <si>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</si>
  <si>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</si>
  <si>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</si>
  <si>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</si>
  <si>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</si>
  <si>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</si>
  <si>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</si>
  <si>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</si>
  <si>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</si>
  <si>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</si>
  <si>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</si>
  <si>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</si>
  <si>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</si>
  <si>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</si>
  <si>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</si>
  <si>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</si>
  <si>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</si>
  <si>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</si>
  <si>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</si>
  <si>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</si>
  <si>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</si>
  <si>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</si>
  <si>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</si>
  <si>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</si>
  <si>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</si>
  <si>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</si>
  <si>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</si>
  <si>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</si>
  <si>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</si>
  <si>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</si>
  <si>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</si>
  <si>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</si>
  <si>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</si>
  <si>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</si>
  <si>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</si>
  <si>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</si>
  <si>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</si>
  <si>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</si>
  <si>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</si>
  <si>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</si>
  <si>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</si>
  <si>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</si>
  <si>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</si>
  <si>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</si>
  <si>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</si>
  <si>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</si>
  <si>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</si>
  <si>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</si>
  <si>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</si>
  <si>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</si>
  <si>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</si>
  <si>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</si>
  <si>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</si>
  <si>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</si>
  <si>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</si>
  <si>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</si>
  <si>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</si>
  <si>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</si>
  <si>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</si>
  <si>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</si>
  <si>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</si>
  <si>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</si>
  <si>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</si>
  <si>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</si>
  <si>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</si>
  <si>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</si>
  <si>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</si>
  <si>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</si>
  <si>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</si>
  <si>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</si>
  <si>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</si>
  <si>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</si>
  <si>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</si>
  <si>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</si>
  <si>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</si>
  <si>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</si>
  <si>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</si>
  <si>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</si>
  <si>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</si>
  <si>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</si>
  <si>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</si>
  <si>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</si>
  <si>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</si>
  <si>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</si>
  <si>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</si>
  <si>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</si>
  <si>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</si>
  <si>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</si>
  <si>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</si>
  <si>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</si>
  <si>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</si>
  <si>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</si>
  <si>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</si>
  <si>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</si>
  <si>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</si>
  <si>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</si>
  <si>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</si>
  <si>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</si>
  <si>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</si>
  <si>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</si>
  <si>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</si>
  <si>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</si>
  <si>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</si>
  <si>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</si>
  <si>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</si>
  <si>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</si>
  <si>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</si>
  <si>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</si>
  <si>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</si>
  <si>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</si>
  <si>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</si>
  <si>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</si>
  <si>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</si>
  <si>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</si>
  <si>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</si>
  <si>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</si>
  <si>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</si>
  <si>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</si>
  <si>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</si>
  <si>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</si>
  <si>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</si>
  <si>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</si>
  <si>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</si>
  <si>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</si>
  <si>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</si>
  <si>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</si>
  <si>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</si>
  <si>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</si>
  <si>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</si>
  <si>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</si>
  <si>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</si>
  <si>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</si>
  <si>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</si>
  <si>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</si>
  <si>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</si>
  <si>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</si>
  <si>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</si>
  <si>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</si>
  <si>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</si>
  <si>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</si>
  <si>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</si>
  <si>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</si>
  <si>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</si>
  <si>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</si>
  <si>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</si>
  <si>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</si>
  <si>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</si>
  <si>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</si>
  <si>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</si>
  <si>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</si>
  <si>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</si>
  <si>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</si>
  <si>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</si>
  <si>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</si>
  <si>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</si>
  <si>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</si>
  <si>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</si>
  <si>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</si>
  <si>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</si>
  <si>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</si>
  <si>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</si>
  <si>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</si>
  <si>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</si>
  <si>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</si>
  <si>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</si>
  <si>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</si>
  <si>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</si>
  <si>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</si>
  <si>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</si>
  <si>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</si>
  <si>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</si>
  <si>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</si>
  <si>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</si>
  <si>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</si>
  <si>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</si>
  <si>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</si>
  <si>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</si>
  <si>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</si>
  <si>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</si>
  <si>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</si>
  <si>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</si>
  <si>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</si>
  <si>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</si>
  <si>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</si>
  <si>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</si>
  <si>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</si>
  <si>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</si>
  <si>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</si>
  <si>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</si>
  <si>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</si>
  <si>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</si>
  <si>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</si>
  <si>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</si>
  <si>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</si>
  <si>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</si>
  <si>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</si>
  <si>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</si>
  <si>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</si>
  <si>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</si>
  <si>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</si>
  <si>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</si>
  <si>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</si>
  <si>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</si>
  <si>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</si>
  <si>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</si>
  <si>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</si>
  <si>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</si>
  <si>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</si>
  <si>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</si>
  <si>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</si>
  <si>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</si>
  <si>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</si>
  <si>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</si>
  <si>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</si>
  <si>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</si>
  <si>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</si>
  <si>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</si>
  <si>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</si>
  <si>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</si>
  <si>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</si>
  <si>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</si>
  <si>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</si>
  <si>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</si>
  <si>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</si>
  <si>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</si>
  <si>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</si>
  <si>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</si>
  <si>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</si>
  <si>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</si>
  <si>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</si>
  <si>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</si>
  <si>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</si>
  <si>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</si>
  <si>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</si>
  <si>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</si>
  <si>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</si>
  <si>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</si>
  <si>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</si>
  <si>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</si>
  <si>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</si>
  <si>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</si>
  <si>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</si>
  <si>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</si>
  <si>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</si>
  <si>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</si>
  <si>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</si>
  <si>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</si>
  <si>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</si>
  <si>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</si>
  <si>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</si>
  <si>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</si>
  <si>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</si>
  <si>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</si>
  <si>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</si>
  <si>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</si>
  <si>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</si>
  <si>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</si>
  <si>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</si>
  <si>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</si>
  <si>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</si>
  <si>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</si>
  <si>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</si>
  <si>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</si>
  <si>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</si>
  <si>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</si>
  <si>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</si>
  <si>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</si>
  <si>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</si>
  <si>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</si>
  <si>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</si>
  <si>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</si>
  <si>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</si>
  <si>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</si>
  <si>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</si>
  <si>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</si>
  <si>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</si>
  <si>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</si>
  <si>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</si>
  <si>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</si>
  <si>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</si>
  <si>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</si>
  <si>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</si>
  <si>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</si>
  <si>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</si>
  <si>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</si>
  <si>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</si>
  <si>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</si>
  <si>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</si>
  <si>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</si>
  <si>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</si>
  <si>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</si>
  <si>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</si>
  <si>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</si>
  <si>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</si>
  <si>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</si>
  <si>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</si>
  <si>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</si>
  <si>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</si>
  <si>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</si>
  <si>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</si>
  <si>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</si>
  <si>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</si>
  <si>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</si>
  <si>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</si>
  <si>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</si>
  <si>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</si>
  <si>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</si>
  <si>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</si>
  <si>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</si>
  <si>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</si>
  <si>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</si>
  <si>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</si>
  <si>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</si>
  <si>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</si>
  <si>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</si>
  <si>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</si>
  <si>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</si>
  <si>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</si>
  <si>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</si>
  <si>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</si>
  <si>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</si>
  <si>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</si>
  <si>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</si>
  <si>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</si>
  <si>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</si>
  <si>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</si>
  <si>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</si>
  <si>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</si>
  <si>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</si>
  <si>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</si>
  <si>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</si>
  <si>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</si>
  <si>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</si>
  <si>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</si>
  <si>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</si>
  <si>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</si>
  <si>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</si>
  <si>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</si>
  <si>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</si>
  <si>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</si>
  <si>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</si>
  <si>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</si>
  <si>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</si>
  <si>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</si>
  <si>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</si>
  <si>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</si>
  <si>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</si>
  <si>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</si>
  <si>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</si>
  <si>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</si>
  <si>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</si>
  <si>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</si>
  <si>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</si>
  <si>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</si>
  <si>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</si>
  <si>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</si>
  <si>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</si>
  <si>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</si>
  <si>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</si>
  <si>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</si>
  <si>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</si>
  <si>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</si>
  <si>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</si>
  <si>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</si>
  <si>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</si>
  <si>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</si>
  <si>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</si>
  <si>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</si>
  <si>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</si>
  <si>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</si>
  <si>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</si>
  <si>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</si>
  <si>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</si>
  <si>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</si>
  <si>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</si>
  <si>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</si>
  <si>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</si>
  <si>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</si>
  <si>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</si>
  <si>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</si>
  <si>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</si>
  <si>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</si>
  <si>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</si>
  <si>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</si>
  <si>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</si>
  <si>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</si>
  <si>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</si>
  <si>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</si>
  <si>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</si>
  <si>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</si>
  <si>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</si>
  <si>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</si>
  <si>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</si>
  <si>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</si>
  <si>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</si>
  <si>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</si>
  <si>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</si>
  <si>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</si>
  <si>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</si>
  <si>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</si>
  <si>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</si>
  <si>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</si>
  <si>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</si>
  <si>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</si>
  <si>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</si>
  <si>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</si>
  <si>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</si>
  <si>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</si>
  <si>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</si>
  <si>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</si>
  <si>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</si>
  <si>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</si>
  <si>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</si>
  <si>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</si>
  <si>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</si>
  <si>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</si>
  <si>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</si>
  <si>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</si>
  <si>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</si>
  <si>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</si>
  <si>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</si>
  <si>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</si>
  <si>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</si>
  <si>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</si>
  <si>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</si>
  <si>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</si>
  <si>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</si>
  <si>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</si>
  <si>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</si>
  <si>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</si>
  <si>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</si>
  <si>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</si>
  <si>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</si>
  <si>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</si>
  <si>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</si>
  <si>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</si>
  <si>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</si>
  <si>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</si>
  <si>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</si>
  <si>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</si>
  <si>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</si>
  <si>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</si>
  <si>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</si>
  <si>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</si>
  <si>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</si>
  <si>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</si>
  <si>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</si>
  <si>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</si>
  <si>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</si>
  <si>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</si>
  <si>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</si>
  <si>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</si>
  <si>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</si>
  <si>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</si>
  <si>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</si>
  <si>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</si>
  <si>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</si>
  <si>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</si>
  <si>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</si>
  <si>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</si>
  <si>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</si>
  <si>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</si>
  <si>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</si>
  <si>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</si>
  <si>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</si>
  <si>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</si>
  <si>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</si>
  <si>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</si>
  <si>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</si>
  <si>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</si>
  <si>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</si>
  <si>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</si>
  <si>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</si>
  <si>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</si>
  <si>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</si>
  <si>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</si>
  <si>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</si>
  <si>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</si>
  <si>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</si>
  <si>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</si>
  <si>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</si>
  <si>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</si>
  <si>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</si>
  <si>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</si>
  <si>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</si>
  <si>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</si>
  <si>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</si>
  <si>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</si>
  <si>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</si>
  <si>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</si>
  <si>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</si>
  <si>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</si>
  <si>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</si>
  <si>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</si>
  <si>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</si>
  <si>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</si>
  <si>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</si>
  <si>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</si>
  <si>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</si>
  <si>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</si>
  <si>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</si>
  <si>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</si>
  <si>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</si>
  <si>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</si>
  <si>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</si>
  <si>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</si>
  <si>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</si>
  <si>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</si>
  <si>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</si>
  <si>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</si>
  <si>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</si>
  <si>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</si>
  <si>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</si>
  <si>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</si>
  <si>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</si>
  <si>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</si>
  <si>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</si>
  <si>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</si>
  <si>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</si>
  <si>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</si>
  <si>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</si>
  <si>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</si>
  <si>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</si>
  <si>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</si>
  <si>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</si>
  <si>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</si>
  <si>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</si>
  <si>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</si>
  <si>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</si>
  <si>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</si>
  <si>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</si>
  <si>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</si>
  <si>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</si>
  <si>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</si>
  <si>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</si>
  <si>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</si>
  <si>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</si>
  <si>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</si>
  <si>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</si>
  <si>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</si>
  <si>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</si>
  <si>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</si>
  <si>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</si>
  <si>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</si>
  <si>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</si>
  <si>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</si>
  <si>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</si>
  <si>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</si>
  <si>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</si>
  <si>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</si>
  <si>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</si>
  <si>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</si>
  <si>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</si>
  <si>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</si>
  <si>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</si>
  <si>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</si>
  <si>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</si>
  <si>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</si>
  <si>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</si>
  <si>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</si>
  <si>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</si>
  <si>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</si>
  <si>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</si>
  <si>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</si>
  <si>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</si>
  <si>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</si>
  <si>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</si>
  <si>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</si>
  <si>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</si>
  <si>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</si>
  <si>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</si>
  <si>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</si>
  <si>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</si>
  <si>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</si>
  <si>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</si>
  <si>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</si>
  <si>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</si>
  <si>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</si>
  <si>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</si>
  <si>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</si>
  <si>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</si>
  <si>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</si>
  <si>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</si>
  <si>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</si>
  <si>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</si>
  <si>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</si>
  <si>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</si>
  <si>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</si>
  <si>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</si>
  <si>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</si>
  <si>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</si>
  <si>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</si>
  <si>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</si>
  <si>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</si>
  <si>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</si>
  <si>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</si>
  <si>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</si>
  <si>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</si>
  <si>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</si>
  <si>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</si>
  <si>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</si>
  <si>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</si>
  <si>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</si>
  <si>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</si>
  <si>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</si>
  <si>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</si>
  <si>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</si>
  <si>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</si>
  <si>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</si>
  <si>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</si>
  <si>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</si>
  <si>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</si>
  <si>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</si>
  <si>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</si>
  <si>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</si>
  <si>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</si>
  <si>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</si>
  <si>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</si>
  <si>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</si>
  <si>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</si>
  <si>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</si>
  <si>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</si>
  <si>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</si>
  <si>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</si>
  <si>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</si>
  <si>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</si>
  <si>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</si>
  <si>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</si>
  <si>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</si>
  <si>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</si>
  <si>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</si>
  <si>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</si>
  <si>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</si>
  <si>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</si>
  <si>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</si>
  <si>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</si>
  <si>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</si>
  <si>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</si>
  <si>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</si>
  <si>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</si>
  <si>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</si>
  <si>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</si>
  <si>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</si>
  <si>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</si>
  <si>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</si>
  <si>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</si>
  <si>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</si>
  <si>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</si>
  <si>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</si>
  <si>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</si>
  <si>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</si>
  <si>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</si>
  <si>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</si>
  <si>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</si>
  <si>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</si>
  <si>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</si>
  <si>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</si>
  <si>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</si>
  <si>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</si>
  <si>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</si>
  <si>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</si>
  <si>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</si>
  <si>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</si>
  <si>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</si>
  <si>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</si>
  <si>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</si>
  <si>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</si>
  <si>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</si>
  <si>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</si>
  <si>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</si>
  <si>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</si>
  <si>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</si>
  <si>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</si>
  <si>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</si>
  <si>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</si>
  <si>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</si>
  <si>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</si>
  <si>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</si>
  <si>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</si>
  <si>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</si>
  <si>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</si>
  <si>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</si>
  <si>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</si>
  <si>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</si>
  <si>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</si>
  <si>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</si>
  <si>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</si>
  <si>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</si>
  <si>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</si>
  <si>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</si>
  <si>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</si>
  <si>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</si>
  <si>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</si>
  <si>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</si>
  <si>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</si>
  <si>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</si>
  <si>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</si>
  <si>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</si>
  <si>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</si>
  <si>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</si>
  <si>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</si>
  <si>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</si>
  <si>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</si>
  <si>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</si>
  <si>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</si>
  <si>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</si>
  <si>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</si>
  <si>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</si>
  <si>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</si>
  <si>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</si>
  <si>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</si>
  <si>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</si>
  <si>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</si>
  <si>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</si>
  <si>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</si>
  <si>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</si>
  <si>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</si>
  <si>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</si>
  <si>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</si>
  <si>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</si>
  <si>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</si>
  <si>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</si>
  <si>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</si>
  <si>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</si>
  <si>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</si>
  <si>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</si>
  <si>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</si>
  <si>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</si>
  <si>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</si>
  <si>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</si>
  <si>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</si>
  <si>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</si>
  <si>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</si>
  <si>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</si>
  <si>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</si>
  <si>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</si>
  <si>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</si>
  <si>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</si>
  <si>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</si>
  <si>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</si>
  <si>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</si>
  <si>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</si>
  <si>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</si>
  <si>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</si>
  <si>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</si>
  <si>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</si>
  <si>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</si>
  <si>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</si>
  <si>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</si>
  <si>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</si>
  <si>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</si>
  <si>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</si>
  <si>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</si>
  <si>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</si>
  <si>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</si>
  <si>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</si>
  <si>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</si>
  <si>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</si>
  <si>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</si>
  <si>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</si>
  <si>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</si>
  <si>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</si>
  <si>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</si>
  <si>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</si>
  <si>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</si>
  <si>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</si>
  <si>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</si>
  <si>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</si>
  <si>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</si>
  <si>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</si>
  <si>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</si>
  <si>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</si>
  <si>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</si>
  <si>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</si>
  <si>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</si>
  <si>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</si>
  <si>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</si>
  <si>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</si>
  <si>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</si>
  <si>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</si>
  <si>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</si>
  <si>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</si>
  <si>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</si>
  <si>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</si>
  <si>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</si>
  <si>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</si>
  <si>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</si>
  <si>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</si>
  <si>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</si>
  <si>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</si>
  <si>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</si>
  <si>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</si>
  <si>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</si>
  <si>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</si>
  <si>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</si>
  <si>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</si>
  <si>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</si>
  <si>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</si>
  <si>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</si>
  <si>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</si>
  <si>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</si>
  <si>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</si>
  <si>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</si>
  <si>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</si>
  <si>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</si>
  <si>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</si>
  <si>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</si>
  <si>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</si>
  <si>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</si>
  <si>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</si>
  <si>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</si>
  <si>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</si>
  <si>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</si>
  <si>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</si>
  <si>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</si>
  <si>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</si>
  <si>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</si>
  <si>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</si>
  <si>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</si>
  <si>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</si>
  <si>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</si>
  <si>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</si>
  <si>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</si>
  <si>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</si>
  <si>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</si>
  <si>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</si>
  <si>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</si>
  <si>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</si>
  <si>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</si>
  <si>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</si>
  <si>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</si>
  <si>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</si>
  <si>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</si>
  <si>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</si>
  <si>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</si>
  <si>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</si>
  <si>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</si>
  <si>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</si>
  <si>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</si>
  <si>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</si>
  <si>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</si>
  <si>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</si>
  <si>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</si>
  <si>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</si>
  <si>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</si>
  <si>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</si>
  <si>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</si>
  <si>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</si>
  <si>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</si>
  <si>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</si>
  <si>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</si>
  <si>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</si>
  <si>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</si>
  <si>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</si>
  <si>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</si>
  <si>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</si>
  <si>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</si>
  <si>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</si>
  <si>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</si>
  <si>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</si>
  <si>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</si>
  <si>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</si>
  <si>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</si>
  <si>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</si>
  <si>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</si>
  <si>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</si>
  <si>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</si>
  <si>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</si>
  <si>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</si>
  <si>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</si>
  <si>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</si>
  <si>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</si>
  <si>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</si>
  <si>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</si>
  <si>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</si>
  <si>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</si>
  <si>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</si>
  <si>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</si>
  <si>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</si>
  <si>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</si>
  <si>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</si>
  <si>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</si>
  <si>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</si>
  <si>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</si>
  <si>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</si>
  <si>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</si>
  <si>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</si>
  <si>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</si>
  <si>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</si>
  <si>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</si>
  <si>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</si>
  <si>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</si>
  <si>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</si>
  <si>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</si>
  <si>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</si>
  <si>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</si>
  <si>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</si>
  <si>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</si>
  <si>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</si>
  <si>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</si>
  <si>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</si>
  <si>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</si>
  <si>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</si>
  <si>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</si>
  <si>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</si>
  <si>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</si>
  <si>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</si>
  <si>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</si>
  <si>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</si>
  <si>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</si>
  <si>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</si>
  <si>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</si>
  <si>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</si>
  <si>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</si>
  <si>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</si>
  <si>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</si>
  <si>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</si>
  <si>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</si>
  <si>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</si>
  <si>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</si>
  <si>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</si>
  <si>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</si>
  <si>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</si>
  <si>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</si>
  <si>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</si>
  <si>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</si>
  <si>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</si>
  <si>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</si>
  <si>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</si>
  <si>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</si>
  <si>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</si>
  <si>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</si>
  <si>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</si>
  <si>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</si>
  <si>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</si>
  <si>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</si>
  <si>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</si>
  <si>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</si>
  <si>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</si>
  <si>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</si>
  <si>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</si>
  <si>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</si>
  <si>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</si>
  <si>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</si>
  <si>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</si>
  <si>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</si>
  <si>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</si>
  <si>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</si>
  <si>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</si>
  <si>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</si>
  <si>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</si>
  <si>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</si>
  <si>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</si>
  <si>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</si>
  <si>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</si>
  <si>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</si>
  <si>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</si>
  <si>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</si>
  <si>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</si>
  <si>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</si>
  <si>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</si>
  <si>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</si>
  <si>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</si>
  <si>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</si>
  <si>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</si>
  <si>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</si>
  <si>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</si>
  <si>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</si>
  <si>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</si>
  <si>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</si>
  <si>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</si>
  <si>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</si>
  <si>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</si>
  <si>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</si>
  <si>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</si>
  <si>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</si>
  <si>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</si>
  <si>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</si>
  <si>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</si>
  <si>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</si>
  <si>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</si>
  <si>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</si>
  <si>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</si>
  <si>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</si>
  <si>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</si>
  <si>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</si>
  <si>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</si>
  <si>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</si>
  <si>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</si>
  <si>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</si>
  <si>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</si>
  <si>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</si>
  <si>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</si>
  <si>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</si>
  <si>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</si>
  <si>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</si>
  <si>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</si>
  <si>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</si>
  <si>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</si>
  <si>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</si>
  <si>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</si>
  <si>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</si>
  <si>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</si>
  <si>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</si>
  <si>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</si>
  <si>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</si>
  <si>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</si>
  <si>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</si>
  <si>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</si>
  <si>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</si>
  <si>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</si>
  <si>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</si>
  <si>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</si>
  <si>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</si>
  <si>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</si>
  <si>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</si>
  <si>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</si>
  <si>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</si>
  <si>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</si>
  <si>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</si>
  <si>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</si>
  <si>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</si>
  <si>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</si>
  <si>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</si>
  <si>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</si>
  <si>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</si>
  <si>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</si>
  <si>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</si>
  <si>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</si>
  <si>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</si>
  <si>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</si>
  <si>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</si>
  <si>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</si>
  <si>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</si>
  <si>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</si>
  <si>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</si>
  <si>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</si>
  <si>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</si>
  <si>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</si>
  <si>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</si>
  <si>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</si>
  <si>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</si>
  <si>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</si>
  <si>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</si>
  <si>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</si>
  <si>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</si>
  <si>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</si>
  <si>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</si>
  <si>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</si>
  <si>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</si>
  <si>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</si>
  <si>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</si>
  <si>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</si>
  <si>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</si>
  <si>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</si>
  <si>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</si>
  <si>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</si>
  <si>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</si>
  <si>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</si>
  <si>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</si>
  <si>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</si>
  <si>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</si>
  <si>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</si>
  <si>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</si>
  <si>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</si>
  <si>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</si>
  <si>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</si>
  <si>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</si>
  <si>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</si>
  <si>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</si>
  <si>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</si>
  <si>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</si>
  <si>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</si>
  <si>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</si>
  <si>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</si>
  <si>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</si>
  <si>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</si>
  <si>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</si>
  <si>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</si>
  <si>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</si>
  <si>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</si>
  <si>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</si>
  <si>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</si>
  <si>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</si>
  <si>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</si>
  <si>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</si>
  <si>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</si>
  <si>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</si>
  <si>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</si>
  <si>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</si>
  <si>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</si>
  <si>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</si>
  <si>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</si>
  <si>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</si>
  <si>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</si>
  <si>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</si>
  <si>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</si>
  <si>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</si>
  <si>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</si>
  <si>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</si>
  <si>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</si>
  <si>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</si>
  <si>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</si>
  <si>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</si>
  <si>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</si>
  <si>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</si>
  <si>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</si>
  <si>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</si>
  <si>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</si>
  <si>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</si>
  <si>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</si>
  <si>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</si>
  <si>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</si>
  <si>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</si>
  <si>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</si>
  <si>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</si>
  <si>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</si>
  <si>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</si>
  <si>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</si>
  <si>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</si>
  <si>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</si>
  <si>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</si>
  <si>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</si>
  <si>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</si>
  <si>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</si>
  <si>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</si>
  <si>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</si>
  <si>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</si>
  <si>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</si>
  <si>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</si>
  <si>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</si>
  <si>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</si>
  <si>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</si>
  <si>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</si>
  <si>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</si>
  <si>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</si>
  <si>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</si>
  <si>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</si>
  <si>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</si>
  <si>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</si>
  <si>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</si>
  <si>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</si>
  <si>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</si>
  <si>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</si>
  <si>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</si>
  <si>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</si>
  <si>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</si>
  <si>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</si>
  <si>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</si>
  <si>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</si>
  <si>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</si>
  <si>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</si>
  <si>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</si>
  <si>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</si>
  <si>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</si>
  <si>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</si>
  <si>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</si>
  <si>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</si>
  <si>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</si>
  <si>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</si>
  <si>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</si>
  <si>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</si>
  <si>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</si>
  <si>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</si>
  <si>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</si>
  <si>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</si>
  <si>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</si>
  <si>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</si>
  <si>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</si>
  <si>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</si>
  <si>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</si>
  <si>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</si>
  <si>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</si>
  <si>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</si>
  <si>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</si>
  <si>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</si>
  <si>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</si>
  <si>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</si>
  <si>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</si>
  <si>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</si>
  <si>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</si>
  <si>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</si>
  <si>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</si>
  <si>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</si>
  <si>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</si>
  <si>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</si>
  <si>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</si>
  <si>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</si>
  <si>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</si>
  <si>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</si>
  <si>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</si>
  <si>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</si>
  <si>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</si>
  <si>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</si>
  <si>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</si>
  <si>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</si>
  <si>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</si>
  <si>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</si>
  <si>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</si>
  <si>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</si>
  <si>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</si>
  <si>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</si>
  <si>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</si>
  <si>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</si>
  <si>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</si>
  <si>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</si>
  <si>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</si>
  <si>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</si>
  <si>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</si>
  <si>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</si>
  <si>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</si>
  <si>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</si>
  <si>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</si>
  <si>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</si>
  <si>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</si>
  <si>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</si>
  <si>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</si>
  <si>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</si>
  <si>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</si>
  <si>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</si>
  <si>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</si>
  <si>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</si>
  <si>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</si>
  <si>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</si>
  <si>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</si>
  <si>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</si>
  <si>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</si>
  <si>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</si>
  <si>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</si>
  <si>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</si>
  <si>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</si>
  <si>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</si>
  <si>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</si>
  <si>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</si>
  <si>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</si>
  <si>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</si>
  <si>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</si>
  <si>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</si>
  <si>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</si>
  <si>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</si>
  <si>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</si>
  <si>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</si>
  <si>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</si>
  <si>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</si>
  <si>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</si>
  <si>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</si>
  <si>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</si>
  <si>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</si>
  <si>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</si>
  <si>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</si>
  <si>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</si>
  <si>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</si>
  <si>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</si>
  <si>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</si>
  <si>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</si>
  <si>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</si>
  <si>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</si>
  <si>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</si>
  <si>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</si>
  <si>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</si>
  <si>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</si>
  <si>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</si>
  <si>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</si>
  <si>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</si>
  <si>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</si>
  <si>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</si>
  <si>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</si>
  <si>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</si>
  <si>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</si>
  <si>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</si>
  <si>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</si>
  <si>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</si>
  <si>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</si>
  <si>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</si>
  <si>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</si>
  <si>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</si>
  <si>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</si>
  <si>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</si>
  <si>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</si>
  <si>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</si>
  <si>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</si>
  <si>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</si>
  <si>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</si>
  <si>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</si>
  <si>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</si>
  <si>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</si>
  <si>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</si>
  <si>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</si>
  <si>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</si>
  <si>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</si>
  <si>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</si>
  <si>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</si>
  <si>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</si>
  <si>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</si>
  <si>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</si>
  <si>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</si>
  <si>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</si>
  <si>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</si>
  <si>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</si>
  <si>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</si>
  <si>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</si>
  <si>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</si>
  <si>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</si>
  <si>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</si>
  <si>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</si>
  <si>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</si>
  <si>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</si>
  <si>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</si>
  <si>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</si>
  <si>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</si>
  <si>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</si>
  <si>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</si>
  <si>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</si>
  <si>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</si>
  <si>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</si>
  <si>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</si>
  <si>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</si>
  <si>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</si>
  <si>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</si>
  <si>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</si>
  <si>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</si>
  <si>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</si>
  <si>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</si>
  <si>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</si>
  <si>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</si>
  <si>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</si>
  <si>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</si>
  <si>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</si>
  <si>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</si>
  <si>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</si>
  <si>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</si>
  <si>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</si>
  <si>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</si>
  <si>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</si>
  <si>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</si>
  <si>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</si>
  <si>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</si>
  <si>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</si>
  <si>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</si>
  <si>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</si>
  <si>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</si>
  <si>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</si>
  <si>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</si>
  <si>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</si>
  <si>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</si>
  <si>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</si>
  <si>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</si>
  <si>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</si>
  <si>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</si>
  <si>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</si>
  <si>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</si>
  <si>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</si>
  <si>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</si>
  <si>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</si>
  <si>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</si>
  <si>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</si>
  <si>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</si>
  <si>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</si>
  <si>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</si>
  <si>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</si>
  <si>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</si>
  <si>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</si>
  <si>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</si>
  <si>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</si>
  <si>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</si>
  <si>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</si>
  <si>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</si>
  <si>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</si>
  <si>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</si>
  <si>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</si>
  <si>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</si>
  <si>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</si>
  <si>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</si>
  <si>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</si>
  <si>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</si>
  <si>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</si>
  <si>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</si>
  <si>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</si>
  <si>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</si>
  <si>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</si>
  <si>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</si>
  <si>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</si>
  <si>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</si>
  <si>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</si>
  <si>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</si>
  <si>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</si>
  <si>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</si>
  <si>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</si>
  <si>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</si>
  <si>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</si>
  <si>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</si>
  <si>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</si>
  <si>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</si>
  <si>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</si>
  <si>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</si>
  <si>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</si>
  <si>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</si>
  <si>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</si>
  <si>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</si>
  <si>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</si>
  <si>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</si>
  <si>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</si>
  <si>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</si>
  <si>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</si>
  <si>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</si>
  <si>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</si>
  <si>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</si>
  <si>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</si>
  <si>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</si>
  <si>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</si>
  <si>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</si>
  <si>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</si>
  <si>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</si>
  <si>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</si>
  <si>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</si>
  <si>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</si>
  <si>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</si>
  <si>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</si>
  <si>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</si>
  <si>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</si>
  <si>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</si>
  <si>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</si>
  <si>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</si>
  <si>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</si>
  <si>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</si>
  <si>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</si>
  <si>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</si>
  <si>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</si>
  <si>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</si>
  <si>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</si>
  <si>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</si>
  <si>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</si>
  <si>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</si>
  <si>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</si>
  <si>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</si>
  <si>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</si>
  <si>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</si>
  <si>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</si>
  <si>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</si>
  <si>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</si>
  <si>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</si>
  <si>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</si>
  <si>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</si>
  <si>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</si>
  <si>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</si>
  <si>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</si>
  <si>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</si>
  <si>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</si>
  <si>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</si>
  <si>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</si>
  <si>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</si>
  <si>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</si>
  <si>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</si>
  <si>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</si>
  <si>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</si>
  <si>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</si>
  <si>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</si>
  <si>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</si>
  <si>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</si>
  <si>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</si>
  <si>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</si>
  <si>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</si>
  <si>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</si>
  <si>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</si>
  <si>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</si>
  <si>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</si>
  <si>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</si>
  <si>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</si>
  <si>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</si>
  <si>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</si>
  <si>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</si>
  <si>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</si>
  <si>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</si>
  <si>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</si>
  <si>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</si>
  <si>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</si>
  <si>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</si>
  <si>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</si>
  <si>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</si>
  <si>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</si>
  <si>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</si>
  <si>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</si>
  <si>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</si>
  <si>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</si>
  <si>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</si>
  <si>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</si>
  <si>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</si>
  <si>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</si>
  <si>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</si>
  <si>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</si>
  <si>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</si>
  <si>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</si>
  <si>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</si>
  <si>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</si>
  <si>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</si>
  <si>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</si>
  <si>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</si>
  <si>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</si>
  <si>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</si>
  <si>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</si>
  <si>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</si>
  <si>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</si>
  <si>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</si>
  <si>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</si>
  <si>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</si>
  <si>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</si>
  <si>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</si>
  <si>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</si>
  <si>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</si>
  <si>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</si>
  <si>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</si>
  <si>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</si>
  <si>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</si>
  <si>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</si>
  <si>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</si>
  <si>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</si>
  <si>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</si>
  <si>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</si>
  <si>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</si>
  <si>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</si>
  <si>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</si>
  <si>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</si>
  <si>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</si>
  <si>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</si>
  <si>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</si>
  <si>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</si>
  <si>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</si>
  <si>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</si>
  <si>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</si>
  <si>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</si>
  <si>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</si>
  <si>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</si>
  <si>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</si>
  <si>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</si>
  <si>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</si>
  <si>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</si>
  <si>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</si>
  <si>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</si>
  <si>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</si>
  <si>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</si>
  <si>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</si>
  <si>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</si>
  <si>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</si>
  <si>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</si>
  <si>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</si>
  <si>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</si>
  <si>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</si>
  <si>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</si>
  <si>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</si>
  <si>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</si>
  <si>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</si>
  <si>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</si>
  <si>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</si>
  <si>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</si>
  <si>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</si>
  <si>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</si>
  <si>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</si>
  <si>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</si>
  <si>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</si>
  <si>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</si>
  <si>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</si>
  <si>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</si>
  <si>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</si>
  <si>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</si>
  <si>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</si>
  <si>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</si>
  <si>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</si>
  <si>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</si>
  <si>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</si>
  <si>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</si>
  <si>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</si>
  <si>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</si>
  <si>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</si>
  <si>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</si>
  <si>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</si>
  <si>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</si>
  <si>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</si>
  <si>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</si>
  <si>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</si>
  <si>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</si>
  <si>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</si>
  <si>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</si>
  <si>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</si>
  <si>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</si>
  <si>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</si>
  <si>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</si>
  <si>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</si>
  <si>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</si>
  <si>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</si>
  <si>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</si>
  <si>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</si>
  <si>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</si>
  <si>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</si>
  <si>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</si>
  <si>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</si>
  <si>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</si>
  <si>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</si>
  <si>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</si>
  <si>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</si>
  <si>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</si>
  <si>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</si>
  <si>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</si>
  <si>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</si>
  <si>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</si>
  <si>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</si>
  <si>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</si>
  <si>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</si>
  <si>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</si>
  <si>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</si>
  <si>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</si>
  <si>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</si>
  <si>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</si>
  <si>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</si>
  <si>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</si>
  <si>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</si>
  <si>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</si>
  <si>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</si>
  <si>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</si>
  <si>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</si>
  <si>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</si>
  <si>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</si>
  <si>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</si>
  <si>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</si>
  <si>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</si>
  <si>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</si>
  <si>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</si>
  <si>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</si>
  <si>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</si>
  <si>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</si>
  <si>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</si>
  <si>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</si>
  <si>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</si>
  <si>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</si>
  <si>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</si>
  <si>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</si>
  <si>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</si>
  <si>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</si>
  <si>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</si>
  <si>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</si>
  <si>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</si>
  <si>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</si>
  <si>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</si>
  <si>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</si>
  <si>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</si>
  <si>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</si>
  <si>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</si>
  <si>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</si>
  <si>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</si>
  <si>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</si>
  <si>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</si>
  <si>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</si>
  <si>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</si>
  <si>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</si>
  <si>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</si>
  <si>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</si>
  <si>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</si>
  <si>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</si>
  <si>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</si>
  <si>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</si>
  <si>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</si>
  <si>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</si>
  <si>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</si>
  <si>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</si>
  <si>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</si>
  <si>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</si>
  <si>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</si>
  <si>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</si>
  <si>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</si>
  <si>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</si>
  <si>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</si>
  <si>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</si>
  <si>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</si>
  <si>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</si>
  <si>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</si>
  <si>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</si>
  <si>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</si>
  <si>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</si>
  <si>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</si>
  <si>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</si>
  <si>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</si>
  <si>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</si>
  <si>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</si>
  <si>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</si>
  <si>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</si>
  <si>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</si>
  <si>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</si>
  <si>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</si>
  <si>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</si>
  <si>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</si>
  <si>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</si>
  <si>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</si>
  <si>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</si>
  <si>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</si>
  <si>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</si>
  <si>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</si>
  <si>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</si>
  <si>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</si>
  <si>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</si>
  <si>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</si>
  <si>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</si>
  <si>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</si>
  <si>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</si>
  <si>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</si>
  <si>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</si>
  <si>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</si>
  <si>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</si>
  <si>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</si>
  <si>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</si>
  <si>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</si>
  <si>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</si>
  <si>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</si>
  <si>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</si>
  <si>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</si>
  <si>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</si>
  <si>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</si>
  <si>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</si>
  <si>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</si>
  <si>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</si>
  <si>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</si>
  <si>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</si>
  <si>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</si>
  <si>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</si>
  <si>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</si>
  <si>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</si>
  <si>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</si>
  <si>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</si>
  <si>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</si>
  <si>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</si>
  <si>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</si>
  <si>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</si>
  <si>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</si>
  <si>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</si>
  <si>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</si>
  <si>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</si>
  <si>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</si>
  <si>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</si>
  <si>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</si>
  <si>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</si>
  <si>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</si>
  <si>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</si>
  <si>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</si>
  <si>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</si>
  <si>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</si>
  <si>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</si>
  <si>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</si>
  <si>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</si>
  <si>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</si>
  <si>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</si>
  <si>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</si>
  <si>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</si>
  <si>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</si>
  <si>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</si>
  <si>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</si>
  <si>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</si>
  <si>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</si>
  <si>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</si>
  <si>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</si>
  <si>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</si>
  <si>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</si>
  <si>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</si>
  <si>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</si>
  <si>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</si>
  <si>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</si>
  <si>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</si>
  <si>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</si>
  <si>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</si>
  <si>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</si>
  <si>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</si>
  <si>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</si>
  <si>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</si>
  <si>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</si>
  <si>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</si>
  <si>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</si>
  <si>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</si>
  <si>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</si>
  <si>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</si>
  <si>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</si>
  <si>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</si>
  <si>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</si>
  <si>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</si>
  <si>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</si>
  <si>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</si>
  <si>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</si>
  <si>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</si>
  <si>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</si>
  <si>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</si>
  <si>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</si>
  <si>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</si>
  <si>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</si>
  <si>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</si>
  <si>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</si>
  <si>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</si>
  <si>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</si>
  <si>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</si>
  <si>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</si>
  <si>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</si>
  <si>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</si>
  <si>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</si>
  <si>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</si>
  <si>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</si>
  <si>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</si>
  <si>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</si>
  <si>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</si>
  <si>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</si>
  <si>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</si>
  <si>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</si>
  <si>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</si>
  <si>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</si>
  <si>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</si>
  <si>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</si>
  <si>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</si>
  <si>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</si>
  <si>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</si>
  <si>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</si>
  <si>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</si>
  <si>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</si>
  <si>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</si>
  <si>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</si>
  <si>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</si>
  <si>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</si>
  <si>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</si>
  <si>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</si>
  <si>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</si>
  <si>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</si>
  <si>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</si>
  <si>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</si>
  <si>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</si>
  <si>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</si>
  <si>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</si>
  <si>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</si>
  <si>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</si>
  <si>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</si>
  <si>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</si>
  <si>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</si>
  <si>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</si>
  <si>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</si>
  <si>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</si>
  <si>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</si>
  <si>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</si>
  <si>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</si>
  <si>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</si>
  <si>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</si>
  <si>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</si>
  <si>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</si>
  <si>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</si>
  <si>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</si>
  <si>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</si>
  <si>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</si>
  <si>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</si>
  <si>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</si>
  <si>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</si>
  <si>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</si>
  <si>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</si>
  <si>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</si>
  <si>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</si>
  <si>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</si>
  <si>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</si>
  <si>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</si>
  <si>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</si>
  <si>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</si>
  <si>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</si>
  <si>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</si>
  <si>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</si>
  <si>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</si>
  <si>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</si>
  <si>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</si>
  <si>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</si>
  <si>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</si>
  <si>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</si>
  <si>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</si>
  <si>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</si>
  <si>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</si>
  <si>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</si>
  <si>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</si>
  <si>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</si>
  <si>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</si>
  <si>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</si>
  <si>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</si>
  <si>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</si>
  <si>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</si>
  <si>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</si>
  <si>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</si>
  <si>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</si>
  <si>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</si>
  <si>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</si>
  <si>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</si>
  <si>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</si>
  <si>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</si>
  <si>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</si>
  <si>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</si>
  <si>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</si>
  <si>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</si>
  <si>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</si>
  <si>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</si>
  <si>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</si>
  <si>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</si>
  <si>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</si>
  <si>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</si>
  <si>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</si>
  <si>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</si>
  <si>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</si>
  <si>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</si>
  <si>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</si>
  <si>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</si>
  <si>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</si>
  <si>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</si>
  <si>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</si>
  <si>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</si>
  <si>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</si>
  <si>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</si>
  <si>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</si>
  <si>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</si>
  <si>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</si>
  <si>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</si>
  <si>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</si>
  <si>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</si>
  <si>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</si>
  <si>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好</t>
  </si>
  <si>
    <t>楼层修正</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</si>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</sst>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20843;&#35282;&#34701;&#31185;&#21019;&#24847;&#20013;&#24515;&#22320;&#1997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257.89999999999998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2022年10月13日</v>
      </c>
    </row>
    <row r="13" spans="1:2" s="2762" customFormat="1">
      <c r="A13" s="2760" t="s">
        <v>742</v>
      </c>
      <c r="B13" s="2761" t="str">
        <f>'预评函-1'!A18</f>
        <v>本次估价的“房地产价值”是指在正常市场情况下，在价值时点2022年10月13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0" sqref="B1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北京市预评估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44847</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t="s">
        <v>3110</v>
      </c>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c r="G13" s="2920"/>
      <c r="H13" s="2920"/>
      <c r="I13" s="2990"/>
      <c r="J13" s="862"/>
      <c r="K13" s="2892"/>
      <c r="L13" s="2893"/>
      <c r="M13" s="2893"/>
      <c r="N13" s="862"/>
      <c r="O13" s="2893"/>
      <c r="P13" s="862"/>
      <c r="Q13" s="862"/>
      <c r="R13" s="862"/>
    </row>
    <row r="14" spans="1:28">
      <c r="A14" s="1360"/>
      <c r="B14" s="2918"/>
      <c r="C14" s="2919" t="s">
        <v>2453</v>
      </c>
      <c r="D14" s="2921"/>
      <c r="E14" s="2921"/>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32</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220</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44847</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44847</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北京市房地产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44847</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44847</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44847</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44847</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44847</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44847</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2022年10月13日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44847</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44847</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六级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六级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六级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六级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六级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44847</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六级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六级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六级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六级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六级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6" zoomScale="115" zoomScaleNormal="80" zoomScaleSheetLayoutView="115" workbookViewId="0">
      <selection activeCell="G51" sqref="G51:G5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257.89999999999998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183</v>
      </c>
      <c r="C2" s="2266" t="s">
        <v>2172</v>
      </c>
      <c r="D2" s="473" t="s">
        <v>2173</v>
      </c>
      <c r="E2" s="2267" t="s">
        <v>886</v>
      </c>
      <c r="F2" s="473" t="s">
        <v>2174</v>
      </c>
      <c r="G2" s="473" t="str">
        <f>IF(E2="商业",项目基本情况!B37,IF(E2="办公",项目基本情况!C37,IF(E2="住宅",项目基本情况!D37,IF(E2="工业",项目基本情况!E37,项目基本情况!F37))))</f>
        <v>六级</v>
      </c>
      <c r="H2" s="473" t="s">
        <v>2175</v>
      </c>
      <c r="I2" s="473" t="str">
        <f>IF(E2="商业",项目基本情况!B38,IF(E2="办公",项目基本情况!C38,IF(E2="住宅",项目基本情况!D38,IF(E2="工业",项目基本情况!E38,项目基本情况!F38))))</f>
        <v>Ⅵ-07</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17729</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7096</v>
      </c>
      <c r="C3" s="2266" t="s">
        <v>2178</v>
      </c>
      <c r="D3" s="473" t="s">
        <v>2179</v>
      </c>
      <c r="E3" s="2267" t="s">
        <v>2823</v>
      </c>
      <c r="F3" s="2270" t="s">
        <v>3097</v>
      </c>
      <c r="G3" s="2271"/>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13974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11810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12234</v>
      </c>
      <c r="D5" s="2274">
        <f>ROUND(C6*C17+C20,0)</f>
        <v>12234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10416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12270</v>
      </c>
      <c r="D6" s="2285" t="s">
        <v>2188</v>
      </c>
      <c r="E6" s="2284"/>
      <c r="F6" s="2284"/>
      <c r="G6" s="2286"/>
      <c r="H6" s="2286"/>
      <c r="I6" s="2286"/>
      <c r="J6" s="2287"/>
      <c r="K6" s="1414"/>
      <c r="L6" s="2268" t="s">
        <v>2189</v>
      </c>
      <c r="M6" s="475">
        <f>SUMPRODUCT((区片价!B127:B189=I2)*(区片价!C3:G3=E2)*(区片价!C127:G189))</f>
        <v>12270</v>
      </c>
      <c r="N6" s="473">
        <f>SUMPRODUCT((因素修正幅度!B127:B189=I2)*(因素修正幅度!C3:G3=E2)*(因素修正幅度!C127:G189))</f>
        <v>0.111</v>
      </c>
      <c r="O6" s="2259"/>
      <c r="P6" s="2259"/>
      <c r="Q6" s="2259"/>
      <c r="R6" s="477">
        <v>5</v>
      </c>
      <c r="S6" s="477">
        <f>ROUND(SUMPRODUCT((B107:B111=R6)*(C106:N106=G2)*(C107:N111)),4)</f>
        <v>0.84799999999999998</v>
      </c>
      <c r="T6" s="477">
        <f t="shared" si="0"/>
        <v>10010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六级</v>
      </c>
      <c r="Y7" s="498" t="s">
        <v>2194</v>
      </c>
      <c r="Z7" s="498">
        <f>G3</f>
        <v>0</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3106</v>
      </c>
      <c r="D15" s="2325" t="s">
        <v>3106</v>
      </c>
      <c r="E15" s="2326" t="s">
        <v>3107</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9" t="s">
        <v>2237</v>
      </c>
      <c r="E20" s="3280"/>
      <c r="F20" s="3279" t="s">
        <v>2234</v>
      </c>
      <c r="G20" s="3280"/>
      <c r="H20" s="2347" t="s">
        <v>3100</v>
      </c>
      <c r="I20" s="2347" t="s">
        <v>3101</v>
      </c>
      <c r="J20" s="2989" t="s">
        <v>3102</v>
      </c>
      <c r="K20" s="2347" t="s">
        <v>3103</v>
      </c>
      <c r="L20" s="2347" t="s">
        <v>3104</v>
      </c>
      <c r="M20" s="2347" t="s">
        <v>3105</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3090</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44847</v>
      </c>
      <c r="H23" s="2361" t="s">
        <v>3098</v>
      </c>
      <c r="I23" s="2360" t="str">
        <f>IF(H23="季度增幅（自定义）",SUMIF(N25:N28,E2,O25:O28),"")</f>
        <v/>
      </c>
      <c r="J23" s="2982" t="s">
        <v>3092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0.89319999999999999</v>
      </c>
      <c r="D24" s="2365" t="s">
        <v>2246</v>
      </c>
      <c r="E24" s="2365">
        <f>存贷款利率!E20/100</f>
        <v>4.3499999999999997E-2</v>
      </c>
      <c r="F24" s="2365" t="s">
        <v>2238</v>
      </c>
      <c r="G24" s="2366">
        <f>SUMIF(M30:Q30,E2,M33:Q33)</f>
        <v>5.5E-2</v>
      </c>
      <c r="H24" s="2365" t="s">
        <v>2247</v>
      </c>
      <c r="I24" s="2367">
        <v>29</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3109</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v>
      </c>
      <c r="E26" s="493">
        <f>ROUNDDOWN(G3,1)</f>
        <v>0</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0</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1.0593999999999999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183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46</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17729</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7083</v>
      </c>
      <c r="D37" s="2420">
        <f>'[3]数据-取费表'!$B$5</f>
        <v>257.89999999999998</v>
      </c>
      <c r="E37" s="473">
        <f>ROUND(C37*D37/10000,0)</f>
        <v>183</v>
      </c>
      <c r="F37" s="473">
        <f>SUMIF(修正!A57:A68,G2,修正!B57:B68)</f>
        <v>0.6</v>
      </c>
      <c r="G37" s="473">
        <f>ROUND(IF(E2="工业",C37*$M$42,C37*$M$41),0)</f>
        <v>1771</v>
      </c>
      <c r="H37" s="473">
        <f>D37</f>
        <v>257.89999999999998</v>
      </c>
      <c r="I37" s="473">
        <f>ROUND(G37*H37/10000,0)</f>
        <v>46</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3541</v>
      </c>
      <c r="D38" s="2420"/>
      <c r="E38" s="473">
        <f t="shared" ref="E38:E42" si="4">ROUND(C38*D38/10000,0)</f>
        <v>0</v>
      </c>
      <c r="F38" s="473">
        <f>SUMIF(修正!A57:A68,G2,修正!C57:C68)</f>
        <v>0.3</v>
      </c>
      <c r="G38" s="473">
        <f>ROUND(IF(E2="工业",C38*$M$42,C38*$M$41),0)</f>
        <v>885</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2951</v>
      </c>
      <c r="D39" s="2420"/>
      <c r="E39" s="473">
        <f t="shared" si="4"/>
        <v>0</v>
      </c>
      <c r="F39" s="473">
        <f>SUMIF(修正!A57:A68,G2,修正!D57:D68)</f>
        <v>0.25</v>
      </c>
      <c r="G39" s="473">
        <f>ROUND(IF(E2="工业",C39*$M$42,C39*$M$41),0)</f>
        <v>738</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2951</v>
      </c>
      <c r="D40" s="2420"/>
      <c r="E40" s="473">
        <f t="shared" si="4"/>
        <v>0</v>
      </c>
      <c r="F40" s="495">
        <f>SUMIF(修正!A57:A68,G2,修正!E57:E68)</f>
        <v>0.25</v>
      </c>
      <c r="G40" s="473">
        <f>ROUND(IF(E2="工业",C40*$M$42,C40*$M$41),0)</f>
        <v>738</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1.0593999999999999</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3099</v>
      </c>
      <c r="D51" s="499">
        <f t="shared" ref="D51:D59" si="7">SUMIF($J$50:$N$50,C51,J51:N51)</f>
        <v>1.66E-2</v>
      </c>
      <c r="E51" s="2458">
        <f>ROUND(SUM(D51:D59),4)</f>
        <v>5.9400000000000001E-2</v>
      </c>
      <c r="F51" s="2329">
        <f>IF(E2="商业",SUMIF(L1:L12,G2,N1:N12),"——")</f>
        <v>0.111</v>
      </c>
      <c r="G51" s="2459">
        <v>1.66E-2</v>
      </c>
      <c r="H51" s="2460">
        <f t="shared" ref="H51:H59" si="8">IFERROR(ROUNDDOWN($F$51*I51/2,4),"——")</f>
        <v>1.66E-2</v>
      </c>
      <c r="I51" s="499">
        <v>0.3</v>
      </c>
      <c r="J51" s="493">
        <f t="shared" ref="J51:J59" si="9">K51+$G51</f>
        <v>3.32E-2</v>
      </c>
      <c r="K51" s="493">
        <f t="shared" ref="K51:K59" si="10">$L51+$G51</f>
        <v>1.66E-2</v>
      </c>
      <c r="L51" s="493">
        <v>0</v>
      </c>
      <c r="M51" s="493">
        <f t="shared" ref="M51:N59" si="11">L51-$G51</f>
        <v>-1.66E-2</v>
      </c>
      <c r="N51" s="493">
        <f t="shared" si="11"/>
        <v>-3.32E-2</v>
      </c>
    </row>
    <row r="52" spans="1:14" s="2259" customFormat="1" ht="38.25">
      <c r="A52" s="2455" t="s">
        <v>2292</v>
      </c>
      <c r="B52" s="499" t="str">
        <f>估价对象房地状况!C18</f>
        <v>估价对象周边道路状况、公共交通通达情况、停车便捷程度，综合评价交通便捷度较好</v>
      </c>
      <c r="C52" s="2325" t="s">
        <v>3099</v>
      </c>
      <c r="D52" s="499">
        <f t="shared" si="7"/>
        <v>1.2200000000000001E-2</v>
      </c>
      <c r="E52" s="2461"/>
      <c r="F52" s="2402"/>
      <c r="G52" s="2459">
        <v>1.2200000000000001E-2</v>
      </c>
      <c r="H52" s="2460">
        <f t="shared" si="8"/>
        <v>1.2200000000000001E-2</v>
      </c>
      <c r="I52" s="499">
        <v>0.22</v>
      </c>
      <c r="J52" s="493">
        <f t="shared" si="9"/>
        <v>2.4400000000000002E-2</v>
      </c>
      <c r="K52" s="493">
        <f t="shared" si="10"/>
        <v>1.2200000000000001E-2</v>
      </c>
      <c r="L52" s="493">
        <v>0</v>
      </c>
      <c r="M52" s="493">
        <f t="shared" si="11"/>
        <v>-1.2200000000000001E-2</v>
      </c>
      <c r="N52" s="493">
        <f t="shared" si="11"/>
        <v>-2.4400000000000002E-2</v>
      </c>
    </row>
    <row r="53" spans="1:14" s="2259" customFormat="1" ht="36">
      <c r="A53" s="2462" t="s">
        <v>2814</v>
      </c>
      <c r="B53" s="499">
        <f>估价对象房地状况!C19</f>
        <v>0</v>
      </c>
      <c r="C53" s="2325" t="s">
        <v>3099</v>
      </c>
      <c r="D53" s="499">
        <f t="shared" si="7"/>
        <v>6.6E-3</v>
      </c>
      <c r="E53" s="2461"/>
      <c r="F53" s="2402"/>
      <c r="G53" s="2459">
        <v>6.6E-3</v>
      </c>
      <c r="H53" s="2460">
        <f t="shared" si="8"/>
        <v>6.6E-3</v>
      </c>
      <c r="I53" s="499">
        <v>0.12</v>
      </c>
      <c r="J53" s="493">
        <f t="shared" si="9"/>
        <v>1.32E-2</v>
      </c>
      <c r="K53" s="493">
        <f t="shared" si="10"/>
        <v>6.6E-3</v>
      </c>
      <c r="L53" s="493">
        <v>0</v>
      </c>
      <c r="M53" s="493">
        <f t="shared" si="11"/>
        <v>-6.6E-3</v>
      </c>
      <c r="N53" s="493">
        <f t="shared" si="11"/>
        <v>-1.32E-2</v>
      </c>
    </row>
    <row r="54" spans="1:14" s="2259" customFormat="1" ht="36.75">
      <c r="A54" s="2455" t="s">
        <v>2293</v>
      </c>
      <c r="B54" s="2463" t="s">
        <v>2294</v>
      </c>
      <c r="C54" s="2325" t="s">
        <v>3099</v>
      </c>
      <c r="D54" s="499">
        <f t="shared" si="7"/>
        <v>2.7000000000000001E-3</v>
      </c>
      <c r="E54" s="2461"/>
      <c r="F54" s="2402"/>
      <c r="G54" s="2459">
        <v>2.7000000000000001E-3</v>
      </c>
      <c r="H54" s="2460">
        <f t="shared" si="8"/>
        <v>2.7000000000000001E-3</v>
      </c>
      <c r="I54" s="499">
        <v>0.05</v>
      </c>
      <c r="J54" s="493">
        <f t="shared" si="9"/>
        <v>5.4000000000000003E-3</v>
      </c>
      <c r="K54" s="493">
        <f t="shared" si="10"/>
        <v>2.7000000000000001E-3</v>
      </c>
      <c r="L54" s="493">
        <v>0</v>
      </c>
      <c r="M54" s="493">
        <f t="shared" si="11"/>
        <v>-2.7000000000000001E-3</v>
      </c>
      <c r="N54" s="493">
        <f t="shared" si="11"/>
        <v>-5.4000000000000003E-3</v>
      </c>
    </row>
    <row r="55" spans="1:14" s="2259" customFormat="1" ht="24">
      <c r="A55" s="2455" t="s">
        <v>2295</v>
      </c>
      <c r="B55" s="499">
        <f>估价对象房地状况!C24</f>
        <v>0</v>
      </c>
      <c r="C55" s="2325" t="s">
        <v>3099</v>
      </c>
      <c r="D55" s="499">
        <f t="shared" si="7"/>
        <v>4.4000000000000003E-3</v>
      </c>
      <c r="E55" s="2461"/>
      <c r="F55" s="2402"/>
      <c r="G55" s="2459">
        <v>4.4000000000000003E-3</v>
      </c>
      <c r="H55" s="2460">
        <f t="shared" si="8"/>
        <v>4.4000000000000003E-3</v>
      </c>
      <c r="I55" s="499">
        <v>0.08</v>
      </c>
      <c r="J55" s="493">
        <f t="shared" si="9"/>
        <v>8.8000000000000005E-3</v>
      </c>
      <c r="K55" s="493">
        <f t="shared" si="10"/>
        <v>4.4000000000000003E-3</v>
      </c>
      <c r="L55" s="493">
        <v>0</v>
      </c>
      <c r="M55" s="493">
        <f t="shared" si="11"/>
        <v>-4.4000000000000003E-3</v>
      </c>
      <c r="N55" s="493">
        <f t="shared" si="11"/>
        <v>-8.8000000000000005E-3</v>
      </c>
    </row>
    <row r="56" spans="1:14" s="2259" customFormat="1" ht="24">
      <c r="A56" s="2455" t="s">
        <v>2296</v>
      </c>
      <c r="B56" s="2464" t="s">
        <v>2297</v>
      </c>
      <c r="C56" s="2325" t="s">
        <v>3099</v>
      </c>
      <c r="D56" s="499">
        <f t="shared" si="7"/>
        <v>2.7000000000000001E-3</v>
      </c>
      <c r="E56" s="2461"/>
      <c r="F56" s="2402"/>
      <c r="G56" s="2459">
        <v>2.7000000000000001E-3</v>
      </c>
      <c r="H56" s="2460">
        <f t="shared" si="8"/>
        <v>2.7000000000000001E-3</v>
      </c>
      <c r="I56" s="499">
        <v>0.05</v>
      </c>
      <c r="J56" s="493">
        <f t="shared" si="9"/>
        <v>5.4000000000000003E-3</v>
      </c>
      <c r="K56" s="493">
        <f t="shared" si="10"/>
        <v>2.7000000000000001E-3</v>
      </c>
      <c r="L56" s="493">
        <v>0</v>
      </c>
      <c r="M56" s="493">
        <f t="shared" si="11"/>
        <v>-2.7000000000000001E-3</v>
      </c>
      <c r="N56" s="493">
        <f t="shared" si="11"/>
        <v>-5.4000000000000003E-3</v>
      </c>
    </row>
    <row r="57" spans="1:14" s="2259" customFormat="1" ht="25.5">
      <c r="A57" s="2465" t="s">
        <v>2298</v>
      </c>
      <c r="B57" s="999" t="str">
        <f>估价对象房地状况!C21</f>
        <v>估价对象所在区域公共配套设施齐备情况</v>
      </c>
      <c r="C57" s="2325" t="s">
        <v>3099</v>
      </c>
      <c r="D57" s="499">
        <f t="shared" si="7"/>
        <v>2.7000000000000001E-3</v>
      </c>
      <c r="E57" s="2461"/>
      <c r="F57" s="2402"/>
      <c r="G57" s="2459">
        <v>2.7000000000000001E-3</v>
      </c>
      <c r="H57" s="2460">
        <f t="shared" si="8"/>
        <v>2.7000000000000001E-3</v>
      </c>
      <c r="I57" s="499">
        <v>0.05</v>
      </c>
      <c r="J57" s="493">
        <f t="shared" si="9"/>
        <v>5.4000000000000003E-3</v>
      </c>
      <c r="K57" s="493">
        <f t="shared" si="10"/>
        <v>2.7000000000000001E-3</v>
      </c>
      <c r="L57" s="493">
        <v>0</v>
      </c>
      <c r="M57" s="493">
        <f t="shared" si="11"/>
        <v>-2.7000000000000001E-3</v>
      </c>
      <c r="N57" s="493">
        <f t="shared" si="11"/>
        <v>-5.4000000000000003E-3</v>
      </c>
    </row>
    <row r="58" spans="1:14" s="2259" customFormat="1" ht="24">
      <c r="A58" s="2465" t="s">
        <v>2299</v>
      </c>
      <c r="B58" s="499" t="str">
        <f>估价对象房地状况!C22</f>
        <v>估价对象所在区域基础设施水平</v>
      </c>
      <c r="C58" s="2325" t="s">
        <v>3108</v>
      </c>
      <c r="D58" s="499">
        <f t="shared" si="7"/>
        <v>8.8000000000000005E-3</v>
      </c>
      <c r="E58" s="2461"/>
      <c r="F58" s="2402"/>
      <c r="G58" s="2459">
        <v>4.4000000000000003E-3</v>
      </c>
      <c r="H58" s="2460">
        <f t="shared" si="8"/>
        <v>4.4000000000000003E-3</v>
      </c>
      <c r="I58" s="499">
        <v>0.08</v>
      </c>
      <c r="J58" s="493">
        <f t="shared" si="9"/>
        <v>8.8000000000000005E-3</v>
      </c>
      <c r="K58" s="493">
        <f t="shared" si="10"/>
        <v>4.4000000000000003E-3</v>
      </c>
      <c r="L58" s="493">
        <v>0</v>
      </c>
      <c r="M58" s="493">
        <f t="shared" si="11"/>
        <v>-4.4000000000000003E-3</v>
      </c>
      <c r="N58" s="493">
        <f t="shared" si="11"/>
        <v>-8.8000000000000005E-3</v>
      </c>
    </row>
    <row r="59" spans="1:14" s="2259" customFormat="1" ht="26.25" thickBot="1">
      <c r="A59" s="2466" t="s">
        <v>2300</v>
      </c>
      <c r="B59" s="2467" t="str">
        <f>估价对象房地状况!C20</f>
        <v>区域自然环境：；人文环境；综合评价环境状况一般</v>
      </c>
      <c r="C59" s="2325" t="s">
        <v>3099</v>
      </c>
      <c r="D59" s="499">
        <f t="shared" si="7"/>
        <v>2.7000000000000001E-3</v>
      </c>
      <c r="E59" s="487"/>
      <c r="F59" s="2402"/>
      <c r="G59" s="2459">
        <v>2.7000000000000001E-3</v>
      </c>
      <c r="H59" s="2460">
        <f t="shared" si="8"/>
        <v>2.7000000000000001E-3</v>
      </c>
      <c r="I59" s="2468">
        <v>0.05</v>
      </c>
      <c r="J59" s="493">
        <f t="shared" si="9"/>
        <v>5.4000000000000003E-3</v>
      </c>
      <c r="K59" s="493">
        <f t="shared" si="10"/>
        <v>2.7000000000000001E-3</v>
      </c>
      <c r="L59" s="493">
        <v>0</v>
      </c>
      <c r="M59" s="493">
        <f t="shared" si="11"/>
        <v>-2.7000000000000001E-3</v>
      </c>
      <c r="N59" s="493">
        <f t="shared" si="11"/>
        <v>-5.4000000000000003E-3</v>
      </c>
    </row>
    <row r="60" spans="1:14" s="2259" customFormat="1" ht="15">
      <c r="A60" s="2449" t="s">
        <v>2301</v>
      </c>
      <c r="B60" s="2450">
        <f>1+E62</f>
        <v>1.0354000000000001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3099</v>
      </c>
      <c r="D62" s="499">
        <f>SUMIF($J$61:$N$61,C62,J62:N62)</f>
        <v>8.2000000000000007E-3</v>
      </c>
      <c r="E62" s="2458">
        <f>ROUND(SUM(D62:D70),4)</f>
        <v>3.5400000000000001E-2</v>
      </c>
      <c r="F62" s="2329" t="str">
        <f>IF(E2="办公",SUMIF(L1:L12,G2,N1:N12),"——")</f>
        <v>——</v>
      </c>
      <c r="G62" s="2459">
        <v>8.2000000000000007E-3</v>
      </c>
      <c r="H62" s="2460" t="str">
        <f t="shared" ref="H62:H70" si="12">IFERROR(ROUNDDOWN($F$62*I62/2,4),"——")</f>
        <v>——</v>
      </c>
      <c r="I62" s="499">
        <v>0.25</v>
      </c>
      <c r="J62" s="493">
        <f t="shared" ref="J62:J70" si="13">K62+$G62</f>
        <v>1.6400000000000001E-2</v>
      </c>
      <c r="K62" s="493">
        <f t="shared" ref="K62:K70" si="14">$L62+$G62</f>
        <v>8.2000000000000007E-3</v>
      </c>
      <c r="L62" s="493">
        <v>0</v>
      </c>
      <c r="M62" s="493">
        <f t="shared" ref="M62:N70" si="15">L62-$G62</f>
        <v>-8.2000000000000007E-3</v>
      </c>
      <c r="N62" s="493">
        <f t="shared" si="15"/>
        <v>-1.6400000000000001E-2</v>
      </c>
    </row>
    <row r="63" spans="1:14" s="2259" customFormat="1" ht="38.25">
      <c r="A63" s="2455" t="s">
        <v>2292</v>
      </c>
      <c r="B63" s="499" t="str">
        <f>估价对象房地状况!C18</f>
        <v>估价对象周边道路状况、公共交通通达情况、停车便捷程度，综合评价交通便捷度较好</v>
      </c>
      <c r="C63" s="2325" t="s">
        <v>3099</v>
      </c>
      <c r="D63" s="499">
        <f t="shared" ref="D63:D70" si="16">SUMIF($J$61:$N$61,C63,J63:N63)</f>
        <v>8.5000000000000006E-3</v>
      </c>
      <c r="E63" s="2461"/>
      <c r="F63" s="2402"/>
      <c r="G63" s="2459">
        <v>8.5000000000000006E-3</v>
      </c>
      <c r="H63" s="2460" t="str">
        <f t="shared" si="12"/>
        <v>——</v>
      </c>
      <c r="I63" s="499">
        <v>0.26</v>
      </c>
      <c r="J63" s="493">
        <f t="shared" si="13"/>
        <v>1.7000000000000001E-2</v>
      </c>
      <c r="K63" s="493">
        <f t="shared" si="14"/>
        <v>8.5000000000000006E-3</v>
      </c>
      <c r="L63" s="493">
        <v>0</v>
      </c>
      <c r="M63" s="493">
        <f t="shared" si="15"/>
        <v>-8.5000000000000006E-3</v>
      </c>
      <c r="N63" s="493">
        <f t="shared" si="15"/>
        <v>-1.7000000000000001E-2</v>
      </c>
    </row>
    <row r="64" spans="1:14" s="2259" customFormat="1" ht="36">
      <c r="A64" s="2462" t="s">
        <v>2814</v>
      </c>
      <c r="B64" s="499">
        <f>估价对象房地状况!C19</f>
        <v>0</v>
      </c>
      <c r="C64" s="2325" t="s">
        <v>3099</v>
      </c>
      <c r="D64" s="499">
        <f t="shared" si="16"/>
        <v>3.5999999999999999E-3</v>
      </c>
      <c r="E64" s="2461"/>
      <c r="F64" s="2402"/>
      <c r="G64" s="2459">
        <v>3.5999999999999999E-3</v>
      </c>
      <c r="H64" s="2460" t="str">
        <f t="shared" si="12"/>
        <v>——</v>
      </c>
      <c r="I64" s="499">
        <v>0.11</v>
      </c>
      <c r="J64" s="493">
        <f t="shared" si="13"/>
        <v>7.1999999999999998E-3</v>
      </c>
      <c r="K64" s="493">
        <f t="shared" si="14"/>
        <v>3.5999999999999999E-3</v>
      </c>
      <c r="L64" s="493">
        <v>0</v>
      </c>
      <c r="M64" s="493">
        <f t="shared" si="15"/>
        <v>-3.5999999999999999E-3</v>
      </c>
      <c r="N64" s="493">
        <f t="shared" si="15"/>
        <v>-7.1999999999999998E-3</v>
      </c>
    </row>
    <row r="65" spans="1:33" s="2259" customFormat="1" ht="36.75">
      <c r="A65" s="2455" t="s">
        <v>2293</v>
      </c>
      <c r="B65" s="2463" t="s">
        <v>2294</v>
      </c>
      <c r="C65" s="2325" t="s">
        <v>3099</v>
      </c>
      <c r="D65" s="499">
        <f t="shared" si="16"/>
        <v>1.6000000000000001E-3</v>
      </c>
      <c r="E65" s="2461"/>
      <c r="F65" s="2402"/>
      <c r="G65" s="2459">
        <v>1.6000000000000001E-3</v>
      </c>
      <c r="H65" s="2460" t="str">
        <f t="shared" si="12"/>
        <v>——</v>
      </c>
      <c r="I65" s="499">
        <v>0.05</v>
      </c>
      <c r="J65" s="493">
        <f t="shared" si="13"/>
        <v>3.2000000000000002E-3</v>
      </c>
      <c r="K65" s="493">
        <f t="shared" si="14"/>
        <v>1.6000000000000001E-3</v>
      </c>
      <c r="L65" s="493">
        <v>0</v>
      </c>
      <c r="M65" s="493">
        <f t="shared" si="15"/>
        <v>-1.6000000000000001E-3</v>
      </c>
      <c r="N65" s="493">
        <f t="shared" si="15"/>
        <v>-3.2000000000000002E-3</v>
      </c>
    </row>
    <row r="66" spans="1:33" s="2259" customFormat="1" ht="24">
      <c r="A66" s="2455" t="s">
        <v>2295</v>
      </c>
      <c r="B66" s="499">
        <f>估价对象房地状况!C24</f>
        <v>0</v>
      </c>
      <c r="C66" s="2325" t="s">
        <v>3099</v>
      </c>
      <c r="D66" s="499">
        <f t="shared" si="16"/>
        <v>1.6000000000000001E-3</v>
      </c>
      <c r="E66" s="2461"/>
      <c r="F66" s="2402"/>
      <c r="G66" s="2459">
        <v>1.6000000000000001E-3</v>
      </c>
      <c r="H66" s="2460" t="str">
        <f t="shared" si="12"/>
        <v>——</v>
      </c>
      <c r="I66" s="499">
        <v>0.05</v>
      </c>
      <c r="J66" s="493">
        <f t="shared" si="13"/>
        <v>3.2000000000000002E-3</v>
      </c>
      <c r="K66" s="493">
        <f t="shared" si="14"/>
        <v>1.6000000000000001E-3</v>
      </c>
      <c r="L66" s="493">
        <v>0</v>
      </c>
      <c r="M66" s="493">
        <f t="shared" si="15"/>
        <v>-1.6000000000000001E-3</v>
      </c>
      <c r="N66" s="493">
        <f t="shared" si="15"/>
        <v>-3.2000000000000002E-3</v>
      </c>
    </row>
    <row r="67" spans="1:33" s="2259" customFormat="1" ht="24">
      <c r="A67" s="2455" t="s">
        <v>2296</v>
      </c>
      <c r="B67" s="2464" t="s">
        <v>2297</v>
      </c>
      <c r="C67" s="2325" t="s">
        <v>3099</v>
      </c>
      <c r="D67" s="499">
        <f t="shared" si="16"/>
        <v>1.9E-3</v>
      </c>
      <c r="E67" s="2461"/>
      <c r="F67" s="2402"/>
      <c r="G67" s="2459">
        <v>1.9E-3</v>
      </c>
      <c r="H67" s="2460" t="str">
        <f t="shared" si="12"/>
        <v>——</v>
      </c>
      <c r="I67" s="499">
        <v>0.06</v>
      </c>
      <c r="J67" s="493">
        <f t="shared" si="13"/>
        <v>3.8E-3</v>
      </c>
      <c r="K67" s="493">
        <f t="shared" si="14"/>
        <v>1.9E-3</v>
      </c>
      <c r="L67" s="493">
        <v>0</v>
      </c>
      <c r="M67" s="493">
        <f t="shared" si="15"/>
        <v>-1.9E-3</v>
      </c>
      <c r="N67" s="493">
        <f t="shared" si="15"/>
        <v>-3.8E-3</v>
      </c>
    </row>
    <row r="68" spans="1:33" s="2259" customFormat="1" ht="25.5">
      <c r="A68" s="2455" t="s">
        <v>2298</v>
      </c>
      <c r="B68" s="999" t="str">
        <f>估价对象房地状况!C21</f>
        <v>估价对象所在区域公共配套设施齐备情况</v>
      </c>
      <c r="C68" s="2325" t="s">
        <v>3099</v>
      </c>
      <c r="D68" s="499">
        <f t="shared" si="16"/>
        <v>1.9E-3</v>
      </c>
      <c r="E68" s="2461"/>
      <c r="F68" s="2402"/>
      <c r="G68" s="2459">
        <v>1.9E-3</v>
      </c>
      <c r="H68" s="2460" t="str">
        <f t="shared" si="12"/>
        <v>——</v>
      </c>
      <c r="I68" s="499">
        <v>0.06</v>
      </c>
      <c r="J68" s="493">
        <f t="shared" si="13"/>
        <v>3.8E-3</v>
      </c>
      <c r="K68" s="493">
        <f t="shared" si="14"/>
        <v>1.9E-3</v>
      </c>
      <c r="L68" s="493">
        <v>0</v>
      </c>
      <c r="M68" s="493">
        <f t="shared" si="15"/>
        <v>-1.9E-3</v>
      </c>
      <c r="N68" s="493">
        <f t="shared" si="15"/>
        <v>-3.8E-3</v>
      </c>
    </row>
    <row r="69" spans="1:33" s="2259" customFormat="1" ht="24">
      <c r="A69" s="2455" t="s">
        <v>2299</v>
      </c>
      <c r="B69" s="999" t="str">
        <f>估价对象房地状况!C22</f>
        <v>估价对象所在区域基础设施水平</v>
      </c>
      <c r="C69" s="2325" t="s">
        <v>3108</v>
      </c>
      <c r="D69" s="499">
        <f t="shared" si="16"/>
        <v>5.7999999999999996E-3</v>
      </c>
      <c r="E69" s="2461"/>
      <c r="F69" s="2402"/>
      <c r="G69" s="2459">
        <v>2.8999999999999998E-3</v>
      </c>
      <c r="H69" s="2460" t="str">
        <f t="shared" si="12"/>
        <v>——</v>
      </c>
      <c r="I69" s="499">
        <v>0.09</v>
      </c>
      <c r="J69" s="493">
        <f t="shared" si="13"/>
        <v>5.7999999999999996E-3</v>
      </c>
      <c r="K69" s="493">
        <f t="shared" si="14"/>
        <v>2.8999999999999998E-3</v>
      </c>
      <c r="L69" s="493">
        <v>0</v>
      </c>
      <c r="M69" s="493">
        <f t="shared" si="15"/>
        <v>-2.8999999999999998E-3</v>
      </c>
      <c r="N69" s="493">
        <f t="shared" si="15"/>
        <v>-5.7999999999999996E-3</v>
      </c>
    </row>
    <row r="70" spans="1:33" s="2259" customFormat="1" ht="26.25" thickBot="1">
      <c r="A70" s="2466" t="s">
        <v>2300</v>
      </c>
      <c r="B70" s="2468" t="str">
        <f>估价对象房地状况!C20</f>
        <v>区域自然环境：；人文环境；综合评价环境状况一般</v>
      </c>
      <c r="C70" s="2325" t="s">
        <v>3099</v>
      </c>
      <c r="D70" s="499">
        <f t="shared" si="16"/>
        <v>2.3E-3</v>
      </c>
      <c r="E70" s="487"/>
      <c r="F70" s="2402"/>
      <c r="G70" s="2459">
        <v>2.3E-3</v>
      </c>
      <c r="H70" s="2460" t="str">
        <f t="shared" si="12"/>
        <v>——</v>
      </c>
      <c r="I70" s="2468">
        <v>7.0000000000000007E-2</v>
      </c>
      <c r="J70" s="493">
        <f t="shared" si="13"/>
        <v>4.5999999999999999E-3</v>
      </c>
      <c r="K70" s="493">
        <f t="shared" si="14"/>
        <v>2.3E-3</v>
      </c>
      <c r="L70" s="493">
        <v>0</v>
      </c>
      <c r="M70" s="493">
        <f t="shared" si="15"/>
        <v>-2.3E-3</v>
      </c>
      <c r="N70" s="493">
        <f t="shared" si="15"/>
        <v>-4.5999999999999999E-3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72"/>
      <c r="B113" s="2421">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0</v>
      </c>
      <c r="C117" s="2365" t="s">
        <v>2318</v>
      </c>
      <c r="D117" s="500">
        <f>SUMPRODUCT((A119:A123=F117)*(B118:M118=H117)*B119:M123)</f>
        <v>0.94899999999999995</v>
      </c>
      <c r="E117" s="473" t="s">
        <v>2173</v>
      </c>
      <c r="F117" s="501" t="str">
        <f>E2</f>
        <v>商业</v>
      </c>
      <c r="G117" s="473" t="s">
        <v>2174</v>
      </c>
      <c r="H117" s="501" t="str">
        <f>G2</f>
        <v>六级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0.99680000000000002</v>
      </c>
      <c r="C119" s="502">
        <f>B119</f>
        <v>0.99680000000000002</v>
      </c>
      <c r="D119" s="502">
        <f>ROUND(0.949-0.014*B117,4)</f>
        <v>0.94899999999999995</v>
      </c>
      <c r="E119" s="502">
        <f>D119</f>
        <v>0.94899999999999995</v>
      </c>
      <c r="F119" s="502">
        <f>E119</f>
        <v>0.94899999999999995</v>
      </c>
      <c r="G119" s="502">
        <f>F119</f>
        <v>0.94899999999999995</v>
      </c>
      <c r="H119" s="502">
        <f>G119</f>
        <v>0.94899999999999995</v>
      </c>
      <c r="I119" s="502">
        <f>ROUND(0.8486-0.018*B117,4)</f>
        <v>0.84860000000000002</v>
      </c>
      <c r="J119" s="502">
        <f t="shared" ref="J119:M122" si="36">I119</f>
        <v>0.84860000000000002</v>
      </c>
      <c r="K119" s="502">
        <f t="shared" si="36"/>
        <v>0.84860000000000002</v>
      </c>
      <c r="L119" s="502">
        <f t="shared" si="36"/>
        <v>0.84860000000000002</v>
      </c>
      <c r="M119" s="504">
        <f t="shared" si="36"/>
        <v>0.84860000000000002</v>
      </c>
    </row>
    <row r="120" spans="1:14">
      <c r="A120" s="2413" t="s">
        <v>2230</v>
      </c>
      <c r="B120" s="502">
        <f>ROUND(0.993-0.0112*B117,4)</f>
        <v>0.99299999999999999</v>
      </c>
      <c r="C120" s="502">
        <f>B120</f>
        <v>0.99299999999999999</v>
      </c>
      <c r="D120" s="502">
        <f>ROUND(0.9415-0.0142*B117,4)</f>
        <v>0.9415</v>
      </c>
      <c r="E120" s="502">
        <f t="shared" ref="E120:H121" si="37">D120</f>
        <v>0.9415</v>
      </c>
      <c r="F120" s="502">
        <f t="shared" si="37"/>
        <v>0.9415</v>
      </c>
      <c r="G120" s="502">
        <f t="shared" si="37"/>
        <v>0.9415</v>
      </c>
      <c r="H120" s="502">
        <f t="shared" si="37"/>
        <v>0.9415</v>
      </c>
      <c r="I120" s="502">
        <f>ROUND(0.838-0.0182*B117,4)</f>
        <v>0.83799999999999997</v>
      </c>
      <c r="J120" s="502">
        <f t="shared" si="36"/>
        <v>0.83799999999999997</v>
      </c>
      <c r="K120" s="502">
        <f t="shared" si="36"/>
        <v>0.83799999999999997</v>
      </c>
      <c r="L120" s="502">
        <f t="shared" si="36"/>
        <v>0.83799999999999997</v>
      </c>
      <c r="M120" s="504">
        <f t="shared" si="36"/>
        <v>0.83799999999999997</v>
      </c>
    </row>
    <row r="121" spans="1:14">
      <c r="A121" s="2413" t="s">
        <v>2231</v>
      </c>
      <c r="B121" s="502">
        <f>ROUND(0.9448-0.0115*B117,4)</f>
        <v>0.94479999999999997</v>
      </c>
      <c r="C121" s="502">
        <f>B121</f>
        <v>0.94479999999999997</v>
      </c>
      <c r="D121" s="502">
        <f>ROUND(0.937-0.0145*B117,4)</f>
        <v>0.93700000000000006</v>
      </c>
      <c r="E121" s="502">
        <f t="shared" si="37"/>
        <v>0.93700000000000006</v>
      </c>
      <c r="F121" s="502">
        <f t="shared" si="37"/>
        <v>0.93700000000000006</v>
      </c>
      <c r="G121" s="502">
        <f t="shared" si="37"/>
        <v>0.93700000000000006</v>
      </c>
      <c r="H121" s="502">
        <f t="shared" si="37"/>
        <v>0.93700000000000006</v>
      </c>
      <c r="I121" s="502">
        <f>ROUND(0.7965-0.0185*B117,4)</f>
        <v>0.79649999999999999</v>
      </c>
      <c r="J121" s="502">
        <f t="shared" si="36"/>
        <v>0.79649999999999999</v>
      </c>
      <c r="K121" s="502">
        <f t="shared" si="36"/>
        <v>0.79649999999999999</v>
      </c>
      <c r="L121" s="502">
        <f t="shared" si="36"/>
        <v>0.79649999999999999</v>
      </c>
      <c r="M121" s="504">
        <f t="shared" si="36"/>
        <v>0.79649999999999999</v>
      </c>
    </row>
    <row r="122" spans="1:14" ht="13.5" thickBot="1">
      <c r="A122" s="2417" t="s">
        <v>2232</v>
      </c>
      <c r="B122" s="503">
        <f>ROUND(0.7836-0.012*B117,4)</f>
        <v>0.78359999999999996</v>
      </c>
      <c r="C122" s="503">
        <f>B122</f>
        <v>0.78359999999999996</v>
      </c>
      <c r="D122" s="503">
        <f>ROUND(0.753-0.015*B117,4)</f>
        <v>0.753</v>
      </c>
      <c r="E122" s="503">
        <f>D122</f>
        <v>0.753</v>
      </c>
      <c r="F122" s="503">
        <f>E122</f>
        <v>0.753</v>
      </c>
      <c r="G122" s="503">
        <f>ROUND(0.6612-0.018*B117,4)</f>
        <v>0.66120000000000001</v>
      </c>
      <c r="H122" s="503">
        <f>G122</f>
        <v>0.66120000000000001</v>
      </c>
      <c r="I122" s="503">
        <f>ROUND(0.5905-0.019*B117,4)</f>
        <v>0.59050000000000002</v>
      </c>
      <c r="J122" s="503">
        <f t="shared" si="36"/>
        <v>0.59050000000000002</v>
      </c>
      <c r="K122" s="503">
        <f t="shared" si="36"/>
        <v>0.59050000000000002</v>
      </c>
      <c r="L122" s="503">
        <f t="shared" si="36"/>
        <v>0.59050000000000002</v>
      </c>
      <c r="M122" s="505">
        <f t="shared" si="36"/>
        <v>0.59050000000000002</v>
      </c>
    </row>
    <row r="123" spans="1:14">
      <c r="A123" s="2492" t="s">
        <v>2901</v>
      </c>
      <c r="B123" s="502">
        <f>ROUND(0.9404-0.0106*B117,4)</f>
        <v>0.94040000000000001</v>
      </c>
      <c r="C123" s="502">
        <f>B123</f>
        <v>0.94040000000000001</v>
      </c>
      <c r="D123" s="502">
        <f>ROUND(0.8955-0.0135*B117,4)</f>
        <v>0.89549999999999996</v>
      </c>
      <c r="E123" s="502">
        <f t="shared" ref="E123" si="38">D123</f>
        <v>0.89549999999999996</v>
      </c>
      <c r="F123" s="502">
        <f t="shared" ref="F123" si="39">E123</f>
        <v>0.89549999999999996</v>
      </c>
      <c r="G123" s="502">
        <f t="shared" ref="G123" si="40">F123</f>
        <v>0.89549999999999996</v>
      </c>
      <c r="H123" s="502">
        <f t="shared" ref="H123" si="41">G123</f>
        <v>0.89549999999999996</v>
      </c>
      <c r="I123" s="502">
        <f>ROUND(0.7632-0.0166*B117,4)</f>
        <v>0.76319999999999999</v>
      </c>
      <c r="J123" s="502">
        <f t="shared" ref="J123" si="42">I123</f>
        <v>0.76319999999999999</v>
      </c>
      <c r="K123" s="502">
        <f t="shared" ref="K123" si="43">J123</f>
        <v>0.76319999999999999</v>
      </c>
      <c r="L123" s="502">
        <f t="shared" ref="L123" si="44">K123</f>
        <v>0.76319999999999999</v>
      </c>
      <c r="M123" s="504">
        <f t="shared" ref="M123" si="45">L123</f>
        <v>0.76319999999999999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183</v>
      </c>
      <c r="C2" s="2543" t="s">
        <v>2332</v>
      </c>
      <c r="D2" s="2543" t="s">
        <v>2333</v>
      </c>
      <c r="E2" s="2544">
        <f ca="1">SUMIF(E6:E13,"&lt;&gt;#ref!",E6:E13)</f>
        <v>257.89999999999998</v>
      </c>
      <c r="F2" s="2542"/>
      <c r="G2" s="2542"/>
      <c r="H2" s="2542"/>
      <c r="I2" s="2542"/>
      <c r="J2" s="2542"/>
      <c r="K2" s="2542"/>
      <c r="L2" s="2542"/>
      <c r="M2" s="2542"/>
      <c r="N2" s="2542"/>
      <c r="O2" s="2542"/>
      <c r="P2" s="2542"/>
    </row>
    <row r="3" spans="1:16" ht="15.75">
      <c r="A3" s="2543" t="s">
        <v>2334</v>
      </c>
      <c r="B3" s="1704">
        <f ca="1">ROUND(B2*10000/E2,0)</f>
        <v>7096</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183</v>
      </c>
      <c r="C6" s="2543" t="s">
        <v>2332</v>
      </c>
      <c r="D6" s="2542"/>
      <c r="E6" s="2544">
        <f ca="1">SUMIF(INDIRECT("'"&amp;A6&amp;"'"&amp;"!C:C"),"建筑面积",INDIRECT("'"&amp;A6&amp;"'"&amp;"!D:D"))</f>
        <v>257.89999999999998</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44847</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44847</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44847</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2022-10-13T08:02:07Z</dcterms:modified>
</cp:coreProperties>
</file>