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10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研发案例" sheetId="83" r:id="rId20"/>
    <sheet name="成本法 (元)" sheetId="69" state="hidden" r:id="rId21"/>
    <sheet name="假设开发法" sheetId="12" state="hidden" r:id="rId22"/>
    <sheet name="收益法" sheetId="15" r:id="rId23"/>
    <sheet name="案例"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照片" sheetId="81" r:id="rId45"/>
    <sheet name="成本法" sheetId="68" r:id="rId46"/>
    <sheet name="基准地价修正" sheetId="43" r:id="rId47"/>
    <sheet name="得换研发-土地比较法-住宅、综合" sheetId="39" r:id="rId48"/>
    <sheet name="土地案例" sheetId="82" r:id="rId49"/>
    <sheet name="土地" sheetId="84" r:id="rId50"/>
  </sheets>
  <externalReferences>
    <externalReference r:id="rId51"/>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7" hidden="1">'得换研发-土地比较法-住宅、综合'!$A$1:$L$48</definedName>
    <definedName name="_xlnm._FilterDatabase" localSheetId="12" hidden="1">'数据-基础表'!$A$12:$AT$587</definedName>
    <definedName name="_xlnm._FilterDatabase" localSheetId="32" hidden="1">'土地比较法-工业'!$A$1:$L$43</definedName>
    <definedName name="_xlnm._FilterDatabase" localSheetId="11" hidden="1">项目基本情况!$A$42:$N$42</definedName>
    <definedName name="_xlnm._FilterDatabase" localSheetId="19" hidden="1">研发案例!$A$1:$X$41</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5">成本法!$A$1:$G$57</definedName>
    <definedName name="_xlnm.Print_Area" localSheetId="20">'成本法 (元)'!$A$1:$G$57</definedName>
    <definedName name="_xlnm.Print_Area" localSheetId="47">'得换研发-土地比较法-住宅、综合'!$A$1:$K$65,'得换研发-土地比较法-住宅、综合'!$A$68:$M$131</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'得换研发-土地比较法-住宅、综合'!$A$72:$M$72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'得换研发-土地比较法-住宅、综合'!$B$105:$M$105</definedName>
    <definedName name="套综工程地质条件">'得换研发-土地比较法-住宅、综合'!$B$124:$M$124</definedName>
    <definedName name="套综交易情况">'得换研发-土地比较法-住宅、综合'!$A$72:$M$72</definedName>
    <definedName name="套综临街宽度及深度">'得换研发-土地比较法-住宅、综合'!$B$120:$M$120</definedName>
    <definedName name="套综土地级别">'得换研发-土地比较法-住宅、综合'!$B$107:$M$107</definedName>
    <definedName name="套综用途">'得换研发-土地比较法-住宅、综合'!$B$74:$M$74</definedName>
    <definedName name="套综宗地内开发程度">'得换研发-土地比较法-住宅、综合'!$B$122:$M$122</definedName>
    <definedName name="套综宗地形状">'得换研发-土地比较法-住宅、综合'!$B$118:$M$118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I37" i="34"/>
  <c r="I51" i="34"/>
  <c r="G37" i="34"/>
  <c r="E37" i="34"/>
  <c r="E51" i="34"/>
  <c r="E67" i="34"/>
  <c r="D67" i="34"/>
  <c r="F123" i="34"/>
  <c r="E123" i="34"/>
  <c r="D123" i="34"/>
  <c r="C123" i="34"/>
  <c r="F117" i="34"/>
  <c r="E117" i="34"/>
  <c r="D117" i="34"/>
  <c r="C117" i="34"/>
  <c r="E105" i="34"/>
  <c r="D105" i="34"/>
  <c r="AC59" i="34" l="1"/>
  <c r="AD59" i="34" s="1"/>
  <c r="AE59" i="34" s="1"/>
  <c r="AF59" i="34" s="1"/>
  <c r="AG59" i="34" s="1"/>
  <c r="AH59" i="34" s="1"/>
  <c r="AI59" i="34" s="1"/>
  <c r="AJ59" i="34" s="1"/>
  <c r="AK59" i="34" s="1"/>
  <c r="AL59" i="34" s="1"/>
  <c r="AM59" i="34" s="1"/>
  <c r="P59" i="34"/>
  <c r="Q59" i="34" s="1"/>
  <c r="R59" i="34" s="1"/>
  <c r="S59" i="34" s="1"/>
  <c r="T59" i="34" s="1"/>
  <c r="U59" i="34" s="1"/>
  <c r="V59" i="34" s="1"/>
  <c r="W59" i="34" s="1"/>
  <c r="X59" i="34" s="1"/>
  <c r="Y59" i="34" s="1"/>
  <c r="Z59" i="34" s="1"/>
  <c r="AA59" i="34" s="1"/>
  <c r="AB59" i="34" s="1"/>
  <c r="C34" i="34"/>
  <c r="I45" i="34"/>
  <c r="G45" i="34"/>
  <c r="E45" i="34"/>
  <c r="C45" i="34"/>
  <c r="I48" i="34"/>
  <c r="G48" i="34"/>
  <c r="E48" i="34"/>
  <c r="I34" i="34"/>
  <c r="G34" i="34"/>
  <c r="E34" i="34"/>
  <c r="I7" i="34"/>
  <c r="G7" i="34"/>
  <c r="E7" i="34"/>
  <c r="I5" i="34"/>
  <c r="G5" i="34"/>
  <c r="E5" i="34"/>
  <c r="B21" i="1" l="1"/>
  <c r="U17" i="1"/>
  <c r="E39" i="6"/>
  <c r="E38" i="6"/>
  <c r="I36" i="6"/>
  <c r="C40" i="6"/>
  <c r="E40" i="6" s="1"/>
  <c r="C39" i="6"/>
  <c r="D38" i="6"/>
  <c r="G33" i="6" l="1"/>
  <c r="O3" i="83"/>
  <c r="O4" i="83"/>
  <c r="O5" i="83"/>
  <c r="O6" i="83"/>
  <c r="O7" i="83"/>
  <c r="O8" i="83"/>
  <c r="O9" i="83"/>
  <c r="O10" i="83"/>
  <c r="O11" i="83"/>
  <c r="O12" i="83"/>
  <c r="O13" i="83"/>
  <c r="O14" i="83"/>
  <c r="O15" i="83"/>
  <c r="O16" i="83"/>
  <c r="O17" i="83"/>
  <c r="O18" i="83"/>
  <c r="O19" i="83"/>
  <c r="O20" i="83"/>
  <c r="O21" i="83"/>
  <c r="O22" i="83"/>
  <c r="O23" i="83"/>
  <c r="O24" i="83"/>
  <c r="O25" i="83"/>
  <c r="O26" i="83"/>
  <c r="O27" i="83"/>
  <c r="O28" i="83"/>
  <c r="O29" i="83"/>
  <c r="O30" i="83"/>
  <c r="O31" i="83"/>
  <c r="O32" i="83"/>
  <c r="O33" i="83"/>
  <c r="O34" i="83"/>
  <c r="O35" i="83"/>
  <c r="O36" i="83"/>
  <c r="O37" i="83"/>
  <c r="O38" i="83"/>
  <c r="O39" i="83"/>
  <c r="O40" i="83"/>
  <c r="O41" i="83"/>
  <c r="O2" i="83"/>
  <c r="L35" i="1" l="1"/>
  <c r="L31" i="1"/>
  <c r="N31" i="1" s="1"/>
  <c r="L30" i="1"/>
  <c r="L32" i="1" s="1"/>
  <c r="N32" i="1" s="1"/>
  <c r="N35" i="1"/>
  <c r="M35" i="1"/>
  <c r="G124" i="39"/>
  <c r="F124" i="39"/>
  <c r="E124" i="39"/>
  <c r="D124" i="39"/>
  <c r="C124" i="39"/>
  <c r="G122" i="39"/>
  <c r="F122" i="39"/>
  <c r="E122" i="39"/>
  <c r="D122" i="39"/>
  <c r="C122" i="39"/>
  <c r="G117" i="39"/>
  <c r="F117" i="39"/>
  <c r="E117" i="39"/>
  <c r="D117" i="39"/>
  <c r="I46" i="39"/>
  <c r="G46" i="39"/>
  <c r="E46" i="39"/>
  <c r="I38" i="39"/>
  <c r="G38" i="39"/>
  <c r="E38" i="39"/>
  <c r="I11" i="39"/>
  <c r="G11" i="39"/>
  <c r="E11" i="39"/>
  <c r="C11" i="39"/>
  <c r="F74" i="39"/>
  <c r="E74" i="39"/>
  <c r="D74" i="39"/>
  <c r="I7" i="39"/>
  <c r="G7" i="39"/>
  <c r="E7" i="39"/>
  <c r="I5" i="39"/>
  <c r="G5" i="39"/>
  <c r="E5" i="39"/>
  <c r="C5" i="39"/>
  <c r="D14" i="9"/>
  <c r="L29" i="1" l="1"/>
  <c r="N30" i="1"/>
  <c r="N29" i="1" s="1"/>
  <c r="L33" i="1"/>
  <c r="N33" i="1" s="1"/>
  <c r="D27" i="9"/>
  <c r="M29" i="1" l="1"/>
  <c r="N28" i="1"/>
  <c r="L28" i="1"/>
  <c r="L37" i="1"/>
  <c r="L34" i="1"/>
  <c r="N34" i="1" s="1"/>
  <c r="F47" i="6"/>
  <c r="F46" i="6"/>
  <c r="G44" i="6"/>
  <c r="W28" i="1"/>
  <c r="N37" i="1" l="1"/>
  <c r="M37" i="1" s="1"/>
  <c r="M28" i="1"/>
  <c r="W27" i="1"/>
  <c r="U27" i="1" l="1"/>
  <c r="U26" i="1"/>
  <c r="V20" i="1" l="1"/>
  <c r="B14" i="74" l="1"/>
  <c r="E19" i="43"/>
  <c r="G19" i="43"/>
  <c r="W20" i="1"/>
  <c r="W19" i="1"/>
  <c r="V19" i="1"/>
  <c r="D42" i="43"/>
  <c r="D33" i="43"/>
  <c r="B59" i="1"/>
  <c r="B35" i="1"/>
  <c r="G19" i="6"/>
  <c r="F19" i="6"/>
  <c r="K14" i="3"/>
  <c r="I14" i="3"/>
  <c r="K13" i="3"/>
  <c r="F13" i="4"/>
  <c r="I13" i="3"/>
  <c r="D3" i="4"/>
  <c r="W21" i="1" l="1"/>
  <c r="U21" i="1"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D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41" i="79" l="1"/>
  <c r="AD32" i="79"/>
  <c r="AA28" i="79"/>
  <c r="AD28" i="79" s="1"/>
  <c r="S42" i="79"/>
  <c r="U44"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33" i="79"/>
  <c r="P40" i="79"/>
  <c r="P42" i="79"/>
  <c r="P44" i="79"/>
  <c r="P39" i="79"/>
  <c r="P41" i="79"/>
  <c r="P43" i="79"/>
  <c r="P45" i="79"/>
  <c r="E25" i="78"/>
  <c r="E24" i="78"/>
  <c r="F23" i="78"/>
  <c r="F24" i="78" s="1"/>
  <c r="F25" i="78" s="1"/>
  <c r="E23" i="78"/>
  <c r="E22" i="78"/>
  <c r="G22" i="78" s="1"/>
  <c r="F12" i="78"/>
  <c r="F11" i="78"/>
  <c r="D7" i="78"/>
  <c r="D6" i="78"/>
  <c r="D5" i="78"/>
  <c r="F93" i="43" l="1"/>
  <c r="H99" i="43" s="1"/>
  <c r="C18" i="78"/>
  <c r="C15" i="78"/>
  <c r="G23" i="78"/>
  <c r="G24" i="78"/>
  <c r="G25" i="78"/>
  <c r="B15" i="78"/>
  <c r="B18" i="78"/>
  <c r="G19" i="73"/>
  <c r="F19" i="73"/>
  <c r="E19" i="73"/>
  <c r="H97" i="43" l="1"/>
  <c r="H101" i="43"/>
  <c r="H93" i="43"/>
  <c r="H98" i="43"/>
  <c r="H94" i="43"/>
  <c r="H95" i="43"/>
  <c r="H96" i="43"/>
  <c r="H100"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s="1"/>
  <c r="B60" i="71" s="1"/>
  <c r="S60" i="71" s="1"/>
  <c r="D57" i="71"/>
  <c r="Q56" i="71"/>
  <c r="P56" i="71"/>
  <c r="O56" i="71"/>
  <c r="N56" i="71"/>
  <c r="Q55" i="71"/>
  <c r="P55" i="71"/>
  <c r="O55" i="71"/>
  <c r="N55" i="71"/>
  <c r="B56" i="71" s="1"/>
  <c r="S56" i="71" s="1"/>
  <c r="Q54" i="71"/>
  <c r="P54" i="71"/>
  <c r="O54" i="71"/>
  <c r="N54" i="71"/>
  <c r="Q53" i="71"/>
  <c r="F54" i="71" s="1"/>
  <c r="P53" i="71"/>
  <c r="E54" i="71"/>
  <c r="O53" i="71"/>
  <c r="C54" i="71" s="1"/>
  <c r="N53" i="71"/>
  <c r="B54" i="71" s="1"/>
  <c r="B55"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B47"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c r="D41" i="71"/>
  <c r="Q40" i="71"/>
  <c r="P40" i="71"/>
  <c r="O40" i="71"/>
  <c r="N40" i="71"/>
  <c r="Q39" i="71"/>
  <c r="AB39" i="71" s="1"/>
  <c r="P39" i="71"/>
  <c r="AA38" i="71" s="1"/>
  <c r="O39" i="71"/>
  <c r="N39" i="71"/>
  <c r="X39" i="71" s="1"/>
  <c r="Q38" i="71"/>
  <c r="AB38" i="71" s="1"/>
  <c r="P38" i="71"/>
  <c r="O38" i="71"/>
  <c r="Y38" i="71" s="1"/>
  <c r="Z38" i="71" s="1"/>
  <c r="N38" i="71"/>
  <c r="X38" i="71" s="1"/>
  <c r="Q37" i="71"/>
  <c r="P37" i="71"/>
  <c r="O37" i="71"/>
  <c r="Y35" i="71" s="1"/>
  <c r="Z35" i="71" s="1"/>
  <c r="N37" i="71"/>
  <c r="B38" i="71" s="1"/>
  <c r="B39" i="71" s="1"/>
  <c r="B40" i="71" s="1"/>
  <c r="S40" i="71" s="1"/>
  <c r="D37" i="71"/>
  <c r="Q36" i="71"/>
  <c r="P36" i="71"/>
  <c r="O36" i="71"/>
  <c r="N36" i="71"/>
  <c r="Q35" i="71"/>
  <c r="AB35" i="71" s="1"/>
  <c r="P35" i="71"/>
  <c r="AA35" i="71" s="1"/>
  <c r="O35" i="71"/>
  <c r="N35" i="71"/>
  <c r="Q34" i="71"/>
  <c r="P34" i="71"/>
  <c r="O34" i="71"/>
  <c r="N34" i="71"/>
  <c r="Q33" i="71"/>
  <c r="F34" i="71" s="1"/>
  <c r="F35" i="71" s="1"/>
  <c r="F36" i="71" s="1"/>
  <c r="V36" i="71" s="1"/>
  <c r="P33" i="71"/>
  <c r="O33" i="71"/>
  <c r="N33" i="71"/>
  <c r="B34" i="71" s="1"/>
  <c r="B35" i="71" s="1"/>
  <c r="B36" i="71" s="1"/>
  <c r="S36" i="71" s="1"/>
  <c r="D33" i="71"/>
  <c r="Q32" i="71"/>
  <c r="AB28" i="71" s="1"/>
  <c r="P32" i="71"/>
  <c r="O32" i="71"/>
  <c r="N32" i="71"/>
  <c r="Q31" i="71"/>
  <c r="P31" i="71"/>
  <c r="O31" i="71"/>
  <c r="N31" i="71"/>
  <c r="X28" i="71" s="1"/>
  <c r="Q30" i="71"/>
  <c r="P30" i="71"/>
  <c r="O30" i="71"/>
  <c r="Y30" i="71" s="1"/>
  <c r="Z30" i="71" s="1"/>
  <c r="N30" i="71"/>
  <c r="Q29" i="71"/>
  <c r="F30" i="71" s="1"/>
  <c r="F31" i="71" s="1"/>
  <c r="F32" i="71" s="1"/>
  <c r="V32" i="71" s="1"/>
  <c r="P29" i="71"/>
  <c r="O29" i="71"/>
  <c r="C30" i="71" s="1"/>
  <c r="N29" i="71"/>
  <c r="B30" i="71" s="1"/>
  <c r="B31" i="71" s="1"/>
  <c r="B32" i="71" s="1"/>
  <c r="S32" i="71" s="1"/>
  <c r="D29" i="71"/>
  <c r="O28" i="71"/>
  <c r="C28" i="71" s="1"/>
  <c r="N28" i="71"/>
  <c r="E30" i="71"/>
  <c r="E31" i="71"/>
  <c r="E32" i="71" s="1"/>
  <c r="U32" i="71" s="1"/>
  <c r="AA37" i="71"/>
  <c r="N68" i="71"/>
  <c r="E34" i="71"/>
  <c r="C34" i="71"/>
  <c r="D34" i="71" s="1"/>
  <c r="C38" i="71"/>
  <c r="D38" i="71" s="1"/>
  <c r="Y37" i="71"/>
  <c r="Z37" i="71" s="1"/>
  <c r="F51" i="71"/>
  <c r="F52" i="71" s="1"/>
  <c r="V52" i="71" s="1"/>
  <c r="Y28" i="71"/>
  <c r="Z28" i="71" s="1"/>
  <c r="B28" i="71"/>
  <c r="B27" i="71" s="1"/>
  <c r="B26" i="71"/>
  <c r="C39" i="71"/>
  <c r="C40" i="71" s="1"/>
  <c r="D50" i="71"/>
  <c r="P28" i="71"/>
  <c r="E28" i="71" s="1"/>
  <c r="E55" i="71"/>
  <c r="E56" i="71" s="1"/>
  <c r="U56" i="71" s="1"/>
  <c r="E67" i="71"/>
  <c r="E66" i="71" s="1"/>
  <c r="Q28" i="71"/>
  <c r="D58" i="71"/>
  <c r="T68" i="71"/>
  <c r="O68" i="71"/>
  <c r="D68" i="71"/>
  <c r="C67" i="71"/>
  <c r="D67" i="71" s="1"/>
  <c r="Q68" i="71"/>
  <c r="C71" i="71"/>
  <c r="C70" i="71" s="1"/>
  <c r="D70" i="71" s="1"/>
  <c r="E71" i="71"/>
  <c r="E70" i="71"/>
  <c r="D72" i="71"/>
  <c r="C75" i="71"/>
  <c r="D76" i="71"/>
  <c r="C79" i="71"/>
  <c r="D79" i="71" s="1"/>
  <c r="D80" i="71"/>
  <c r="C87" i="71"/>
  <c r="C86" i="71" s="1"/>
  <c r="D86" i="71" s="1"/>
  <c r="S28" i="71"/>
  <c r="F28" i="71"/>
  <c r="AA27" i="71"/>
  <c r="D75" i="71"/>
  <c r="C74" i="71"/>
  <c r="D74" i="71" s="1"/>
  <c r="D87" i="7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H1" i="69"/>
  <c r="AC25" i="40"/>
  <c r="W25" i="40"/>
  <c r="W18" i="36"/>
  <c r="U21" i="37"/>
  <c r="U21" i="34"/>
  <c r="AB21" i="33"/>
  <c r="AA21" i="33"/>
  <c r="J21" i="37"/>
  <c r="W21" i="37" s="1"/>
  <c r="J21" i="34"/>
  <c r="W21" i="34" s="1"/>
  <c r="J21" i="33"/>
  <c r="W21" i="33" s="1"/>
  <c r="H21" i="21"/>
  <c r="U21" i="21" s="1"/>
  <c r="F38" i="69"/>
  <c r="E37" i="69"/>
  <c r="F36" i="69"/>
  <c r="F35" i="69"/>
  <c r="F21" i="69"/>
  <c r="F40" i="69" s="1"/>
  <c r="F20" i="69"/>
  <c r="F39" i="69" s="1"/>
  <c r="E10" i="69"/>
  <c r="E9" i="69"/>
  <c r="J21" i="21"/>
  <c r="W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A55" i="3" s="1"/>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A188" i="3" s="1"/>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L122" i="3" s="1"/>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A225" i="3" s="1"/>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A220" i="3" s="1"/>
  <c r="BF220" i="3"/>
  <c r="BE220" i="3"/>
  <c r="BD220" i="3"/>
  <c r="BC220" i="3"/>
  <c r="BB220" i="3"/>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L216" i="3" s="1"/>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A385" i="3" s="1"/>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L443" i="3" s="1"/>
  <c r="BP443" i="3"/>
  <c r="BO443" i="3"/>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A406" i="3" s="1"/>
  <c r="AZ406" i="3" s="1"/>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A402" i="3" s="1"/>
  <c r="AZ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D15" i="4"/>
  <c r="F7" i="1" s="1"/>
  <c r="G7" i="1" s="1"/>
  <c r="C15" i="4"/>
  <c r="F6" i="1" s="1"/>
  <c r="C10" i="39"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L14"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A552" i="3" s="1"/>
  <c r="BJ552" i="3"/>
  <c r="BK552" i="3"/>
  <c r="BM552" i="3"/>
  <c r="BN552" i="3"/>
  <c r="BO552" i="3"/>
  <c r="BP552" i="3"/>
  <c r="BQ552" i="3"/>
  <c r="BR552" i="3"/>
  <c r="BL552"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A555" i="3" s="1"/>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K5" i="3" s="1"/>
  <c r="BM566" i="3"/>
  <c r="BN566" i="3"/>
  <c r="BO566" i="3"/>
  <c r="BP566" i="3"/>
  <c r="BQ566" i="3"/>
  <c r="BR566" i="3"/>
  <c r="BS566" i="3"/>
  <c r="BT566" i="3"/>
  <c r="H567" i="3"/>
  <c r="AC567" i="3"/>
  <c r="BB567" i="3"/>
  <c r="BC567" i="3"/>
  <c r="BD567" i="3"/>
  <c r="BE567" i="3"/>
  <c r="BF567" i="3"/>
  <c r="BG567" i="3"/>
  <c r="BG5" i="3" s="1"/>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H5" i="3" s="1"/>
  <c r="BI569" i="3"/>
  <c r="BJ569" i="3"/>
  <c r="BK569" i="3"/>
  <c r="BM569" i="3"/>
  <c r="BN569" i="3"/>
  <c r="BO569" i="3"/>
  <c r="BP569" i="3"/>
  <c r="BR569" i="3"/>
  <c r="BR5" i="3" s="1"/>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P37" i="36"/>
  <c r="P36" i="36"/>
  <c r="V35" i="36"/>
  <c r="T35" i="36"/>
  <c r="R35" i="36"/>
  <c r="P35" i="36"/>
  <c r="Q34" i="36"/>
  <c r="Z34" i="36" s="1"/>
  <c r="Q33" i="36"/>
  <c r="Z33" i="36"/>
  <c r="Q32" i="36"/>
  <c r="Z32" i="36"/>
  <c r="Q31" i="36"/>
  <c r="Z31" i="36" s="1"/>
  <c r="Q30" i="36"/>
  <c r="Z30" i="36" s="1"/>
  <c r="AC30" i="36"/>
  <c r="Q29" i="36"/>
  <c r="Z29" i="36" s="1"/>
  <c r="Q28" i="36"/>
  <c r="Z28" i="36"/>
  <c r="J28" i="36"/>
  <c r="AC28" i="36" s="1"/>
  <c r="Q27" i="36"/>
  <c r="Z27" i="36"/>
  <c r="Q26" i="36"/>
  <c r="Z26" i="36" s="1"/>
  <c r="H26" i="36"/>
  <c r="AB26" i="36"/>
  <c r="Q25" i="36"/>
  <c r="Z25" i="36" s="1"/>
  <c r="Q24" i="36"/>
  <c r="Z24" i="36"/>
  <c r="Q23" i="36"/>
  <c r="Z23" i="36" s="1"/>
  <c r="Q22" i="36"/>
  <c r="Z22" i="36" s="1"/>
  <c r="J22" i="36"/>
  <c r="AC22" i="36" s="1"/>
  <c r="Q20" i="36"/>
  <c r="Z20" i="36"/>
  <c r="Q16" i="36"/>
  <c r="Z16" i="36"/>
  <c r="Q14" i="36"/>
  <c r="Z14" i="36" s="1"/>
  <c r="Q13" i="36"/>
  <c r="Z13" i="36" s="1"/>
  <c r="Q12" i="36"/>
  <c r="Z12" i="36"/>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F35" i="35" s="1"/>
  <c r="B97" i="35"/>
  <c r="H34" i="35" s="1"/>
  <c r="U34" i="35" s="1"/>
  <c r="B77" i="35"/>
  <c r="B75" i="35"/>
  <c r="J24" i="35" s="1"/>
  <c r="AC24" i="35" s="1"/>
  <c r="B73" i="35"/>
  <c r="J23" i="35" s="1"/>
  <c r="AC23" i="35" s="1"/>
  <c r="H23" i="35"/>
  <c r="U23" i="35" s="1"/>
  <c r="B57" i="35"/>
  <c r="B61" i="35"/>
  <c r="B59" i="35"/>
  <c r="B131" i="34"/>
  <c r="B129" i="34"/>
  <c r="J46" i="34" s="1"/>
  <c r="B127" i="34"/>
  <c r="B99" i="34"/>
  <c r="B97" i="34"/>
  <c r="H31" i="34" s="1"/>
  <c r="B95" i="34"/>
  <c r="B93" i="34"/>
  <c r="B75" i="34"/>
  <c r="B73" i="34"/>
  <c r="B71" i="34"/>
  <c r="B130" i="33"/>
  <c r="B128" i="33"/>
  <c r="B126" i="33"/>
  <c r="F44" i="33" s="1"/>
  <c r="B98" i="33"/>
  <c r="B96" i="33"/>
  <c r="B94" i="33"/>
  <c r="J29" i="33" s="1"/>
  <c r="B74" i="33"/>
  <c r="B72" i="33"/>
  <c r="F13" i="33" s="1"/>
  <c r="AA13" i="33" s="1"/>
  <c r="B70" i="33"/>
  <c r="J12" i="33"/>
  <c r="D96" i="35"/>
  <c r="E96" i="35" s="1"/>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AB34" i="35"/>
  <c r="Q33" i="35"/>
  <c r="Z33" i="35" s="1"/>
  <c r="Q32" i="35"/>
  <c r="Z32" i="35" s="1"/>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s="1"/>
  <c r="Q40" i="34"/>
  <c r="Z40" i="34"/>
  <c r="Q39" i="34"/>
  <c r="Z39" i="34"/>
  <c r="H39" i="34"/>
  <c r="AB39" i="34" s="1"/>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S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Q39" i="33"/>
  <c r="Z39" i="33" s="1"/>
  <c r="J39" i="33"/>
  <c r="AC39" i="33"/>
  <c r="Q38" i="33"/>
  <c r="Z38" i="33"/>
  <c r="J38" i="33"/>
  <c r="AC38" i="33" s="1"/>
  <c r="H38" i="33"/>
  <c r="AB38" i="33" s="1"/>
  <c r="F38" i="33"/>
  <c r="AA38" i="33"/>
  <c r="Q37" i="33"/>
  <c r="Z37" i="33"/>
  <c r="Q36" i="33"/>
  <c r="Z36" i="33" s="1"/>
  <c r="Q35" i="33"/>
  <c r="Z35" i="33" s="1"/>
  <c r="H35" i="33"/>
  <c r="AB35" i="33"/>
  <c r="Q34" i="33"/>
  <c r="Z34" i="33"/>
  <c r="Q33" i="33"/>
  <c r="Z33" i="33" s="1"/>
  <c r="J33" i="33"/>
  <c r="H33" i="33"/>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c r="D77" i="21"/>
  <c r="E77" i="21" s="1"/>
  <c r="B130" i="21"/>
  <c r="B128" i="21"/>
  <c r="J45" i="21" s="1"/>
  <c r="W45" i="21" s="1"/>
  <c r="B126" i="21"/>
  <c r="B98" i="21"/>
  <c r="H31" i="21"/>
  <c r="B96" i="21"/>
  <c r="F30" i="21" s="1"/>
  <c r="S30" i="21" s="1"/>
  <c r="B94" i="21"/>
  <c r="J29" i="21" s="1"/>
  <c r="AC29" i="21" s="1"/>
  <c r="B92" i="21"/>
  <c r="B90" i="2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A586" i="3" s="1"/>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c r="F43" i="21"/>
  <c r="S43" i="21" s="1"/>
  <c r="H38" i="21"/>
  <c r="AB38" i="21" s="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s="1"/>
  <c r="J26" i="21"/>
  <c r="W26" i="21"/>
  <c r="F26" i="21"/>
  <c r="S26" i="21"/>
  <c r="AB41" i="21"/>
  <c r="S41" i="21"/>
  <c r="AA41" i="21"/>
  <c r="J45" i="39"/>
  <c r="W45" i="39" s="1"/>
  <c r="J44" i="39"/>
  <c r="AC44" i="39"/>
  <c r="J35" i="39"/>
  <c r="AC35" i="39" s="1"/>
  <c r="F35" i="39"/>
  <c r="AA35" i="39"/>
  <c r="U30" i="37"/>
  <c r="W31" i="37"/>
  <c r="E103" i="37"/>
  <c r="F103" i="37"/>
  <c r="G103" i="37" s="1"/>
  <c r="H103" i="37" s="1"/>
  <c r="I103" i="37" s="1"/>
  <c r="J103" i="37" s="1"/>
  <c r="K103" i="37" s="1"/>
  <c r="L103" i="37" s="1"/>
  <c r="M103" i="37" s="1"/>
  <c r="F39" i="37"/>
  <c r="S39" i="37" s="1"/>
  <c r="F29" i="36"/>
  <c r="AA29" i="36" s="1"/>
  <c r="F16" i="36"/>
  <c r="AA16" i="36" s="1"/>
  <c r="W28" i="36"/>
  <c r="U31" i="36"/>
  <c r="H22" i="35"/>
  <c r="AB22" i="35"/>
  <c r="W28" i="35"/>
  <c r="U31" i="35"/>
  <c r="W22" i="35"/>
  <c r="S31" i="35"/>
  <c r="F36" i="34"/>
  <c r="AA36" i="34" s="1"/>
  <c r="J35" i="34"/>
  <c r="AC35" i="34" s="1"/>
  <c r="H39" i="33"/>
  <c r="AB39" i="33"/>
  <c r="F26" i="33"/>
  <c r="AA26" i="33"/>
  <c r="U35" i="33"/>
  <c r="W39" i="33"/>
  <c r="H39" i="37"/>
  <c r="S27" i="35"/>
  <c r="F11" i="40"/>
  <c r="AA11" i="40"/>
  <c r="H11" i="40"/>
  <c r="AB11" i="40"/>
  <c r="W8" i="40"/>
  <c r="AB39" i="40"/>
  <c r="AA9" i="40"/>
  <c r="U9" i="40"/>
  <c r="U38" i="40"/>
  <c r="S38" i="40"/>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s="1"/>
  <c r="H42" i="39"/>
  <c r="AB42" i="39" s="1"/>
  <c r="J34" i="39"/>
  <c r="AC34" i="39" s="1"/>
  <c r="J31" i="39"/>
  <c r="W31" i="39" s="1"/>
  <c r="H27" i="39"/>
  <c r="U27" i="39" s="1"/>
  <c r="J19" i="39"/>
  <c r="AC19" i="39" s="1"/>
  <c r="J17" i="39"/>
  <c r="AC17" i="39" s="1"/>
  <c r="J27" i="39"/>
  <c r="AC27" i="39" s="1"/>
  <c r="F27" i="39"/>
  <c r="AA27" i="39" s="1"/>
  <c r="F11" i="21"/>
  <c r="S11" i="21" s="1"/>
  <c r="U34" i="21"/>
  <c r="C25" i="39"/>
  <c r="H11" i="39"/>
  <c r="AB11" i="39" s="1"/>
  <c r="S40" i="39"/>
  <c r="H32" i="33"/>
  <c r="AB32" i="33"/>
  <c r="H11" i="21"/>
  <c r="U11" i="21" s="1"/>
  <c r="J11" i="21"/>
  <c r="W11" i="21" s="1"/>
  <c r="H37" i="40"/>
  <c r="U37" i="40" s="1"/>
  <c r="H36" i="40"/>
  <c r="AB36" i="40" s="1"/>
  <c r="F35" i="40"/>
  <c r="AA35" i="40"/>
  <c r="H23" i="40"/>
  <c r="AB23" i="40" s="1"/>
  <c r="H17" i="40"/>
  <c r="U17" i="40"/>
  <c r="J15" i="40"/>
  <c r="W15" i="40" s="1"/>
  <c r="J11" i="40"/>
  <c r="W11" i="40"/>
  <c r="AB12" i="36"/>
  <c r="W32" i="40"/>
  <c r="S44" i="39"/>
  <c r="J34" i="36"/>
  <c r="W34" i="36" s="1"/>
  <c r="U30" i="36"/>
  <c r="J30" i="35"/>
  <c r="W30" i="35" s="1"/>
  <c r="H30" i="35"/>
  <c r="AB30" i="35" s="1"/>
  <c r="F22" i="35"/>
  <c r="AA22" i="35"/>
  <c r="H10" i="35"/>
  <c r="U10" i="35" s="1"/>
  <c r="W30"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c r="F16" i="35"/>
  <c r="S16" i="35" s="1"/>
  <c r="H14" i="35"/>
  <c r="AB14" i="35" s="1"/>
  <c r="J29" i="35"/>
  <c r="H33" i="35"/>
  <c r="J20" i="35"/>
  <c r="W20" i="35"/>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H23" i="34"/>
  <c r="U23" i="34" s="1"/>
  <c r="J23" i="34"/>
  <c r="W23" i="34" s="1"/>
  <c r="F19" i="34"/>
  <c r="AA19" i="34" s="1"/>
  <c r="H17" i="34"/>
  <c r="AB17" i="34" s="1"/>
  <c r="J28" i="34"/>
  <c r="F41" i="33"/>
  <c r="AA41" i="33"/>
  <c r="S38" i="33"/>
  <c r="E113" i="33"/>
  <c r="F32" i="33"/>
  <c r="AA32" i="33" s="1"/>
  <c r="J19" i="33"/>
  <c r="AC19" i="33" s="1"/>
  <c r="J15" i="33"/>
  <c r="AC15" i="33" s="1"/>
  <c r="F11" i="33"/>
  <c r="AA11" i="33" s="1"/>
  <c r="S26" i="33"/>
  <c r="U40" i="33"/>
  <c r="W40" i="33"/>
  <c r="F37" i="40"/>
  <c r="AA37" i="40" s="1"/>
  <c r="F36" i="40"/>
  <c r="AA36" i="40"/>
  <c r="H28" i="40"/>
  <c r="U28" i="40"/>
  <c r="F23" i="40"/>
  <c r="AA23" i="40" s="1"/>
  <c r="F17" i="40"/>
  <c r="AA17" i="40" s="1"/>
  <c r="J17" i="40"/>
  <c r="W17" i="40"/>
  <c r="F15" i="40"/>
  <c r="S15" i="40" s="1"/>
  <c r="H15" i="40"/>
  <c r="AB15" i="40"/>
  <c r="AC11" i="40"/>
  <c r="AB30" i="36"/>
  <c r="F29" i="35"/>
  <c r="S29" i="35" s="1"/>
  <c r="H29" i="35"/>
  <c r="AB29" i="35" s="1"/>
  <c r="H33" i="37"/>
  <c r="F33" i="37"/>
  <c r="AA33" i="37" s="1"/>
  <c r="U34" i="37"/>
  <c r="AA34" i="37"/>
  <c r="J43" i="34"/>
  <c r="W43" i="34" s="1"/>
  <c r="AB42" i="34"/>
  <c r="J40" i="34"/>
  <c r="AC40" i="34" s="1"/>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s="1"/>
  <c r="AA29" i="35"/>
  <c r="AA42" i="34"/>
  <c r="S42" i="34"/>
  <c r="AC38" i="34"/>
  <c r="J37" i="34"/>
  <c r="AC37" i="34" s="1"/>
  <c r="J11" i="33"/>
  <c r="W11" i="33" s="1"/>
  <c r="S28" i="34"/>
  <c r="I123" i="21"/>
  <c r="J123" i="21" s="1"/>
  <c r="K123" i="21" s="1"/>
  <c r="L123" i="21" s="1"/>
  <c r="M123" i="21" s="1"/>
  <c r="J42" i="21"/>
  <c r="AC42" i="21"/>
  <c r="H42" i="21"/>
  <c r="U42" i="21"/>
  <c r="J44" i="34"/>
  <c r="AC44" i="34" s="1"/>
  <c r="F44" i="34"/>
  <c r="AA44" i="34" s="1"/>
  <c r="J10" i="35"/>
  <c r="AC10" i="35" s="1"/>
  <c r="F14" i="21"/>
  <c r="S14" i="21" s="1"/>
  <c r="H28" i="21"/>
  <c r="AB28" i="21" s="1"/>
  <c r="F28" i="21"/>
  <c r="AA28" i="21" s="1"/>
  <c r="J28" i="21"/>
  <c r="W28" i="21" s="1"/>
  <c r="H30" i="21"/>
  <c r="U30" i="21"/>
  <c r="J30" i="21"/>
  <c r="AC30" i="21"/>
  <c r="J44" i="21"/>
  <c r="AC44" i="21" s="1"/>
  <c r="H44" i="21"/>
  <c r="U44" i="21" s="1"/>
  <c r="F44" i="21"/>
  <c r="AA44" i="21" s="1"/>
  <c r="E119" i="21"/>
  <c r="F119" i="21" s="1"/>
  <c r="G119" i="21" s="1"/>
  <c r="H119" i="21" s="1"/>
  <c r="I119" i="21" s="1"/>
  <c r="J119" i="21" s="1"/>
  <c r="K119" i="21" s="1"/>
  <c r="L119" i="21" s="1"/>
  <c r="M119" i="21" s="1"/>
  <c r="H26" i="33"/>
  <c r="U26" i="33"/>
  <c r="H28" i="33"/>
  <c r="U28" i="33" s="1"/>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s="1"/>
  <c r="F45" i="21"/>
  <c r="AA45" i="21" s="1"/>
  <c r="F27" i="33"/>
  <c r="AA27" i="33" s="1"/>
  <c r="J13" i="33"/>
  <c r="H13" i="33"/>
  <c r="U13" i="33" s="1"/>
  <c r="S13" i="33"/>
  <c r="J31" i="33"/>
  <c r="W31" i="33" s="1"/>
  <c r="H31" i="33"/>
  <c r="F31" i="33"/>
  <c r="H45" i="33"/>
  <c r="U45" i="33" s="1"/>
  <c r="J45" i="33"/>
  <c r="W45" i="33" s="1"/>
  <c r="F45" i="33"/>
  <c r="AA45" i="33"/>
  <c r="H30" i="34"/>
  <c r="F30" i="34"/>
  <c r="S30" i="34" s="1"/>
  <c r="J30" i="34"/>
  <c r="H32" i="34"/>
  <c r="F32" i="34"/>
  <c r="J32" i="34"/>
  <c r="W32" i="34" s="1"/>
  <c r="F46" i="34"/>
  <c r="S46" i="34" s="1"/>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F29" i="37"/>
  <c r="S29" i="37"/>
  <c r="H36" i="37"/>
  <c r="AB36" i="37" s="1"/>
  <c r="F107" i="37"/>
  <c r="G107" i="37" s="1"/>
  <c r="H107" i="37" s="1"/>
  <c r="I107" i="37" s="1"/>
  <c r="J107" i="37" s="1"/>
  <c r="K107" i="37" s="1"/>
  <c r="L107" i="37" s="1"/>
  <c r="M107" i="37" s="1"/>
  <c r="J37" i="37"/>
  <c r="AC37" i="37" s="1"/>
  <c r="H37" i="37"/>
  <c r="U37" i="37" s="1"/>
  <c r="F40" i="37"/>
  <c r="AA40" i="37" s="1"/>
  <c r="AC12" i="40"/>
  <c r="W12" i="40"/>
  <c r="H14" i="33"/>
  <c r="U14" i="33" s="1"/>
  <c r="F14" i="33"/>
  <c r="S14" i="33"/>
  <c r="J14" i="33"/>
  <c r="H30" i="33"/>
  <c r="F30" i="33"/>
  <c r="J30" i="33"/>
  <c r="H44" i="33"/>
  <c r="J44" i="33"/>
  <c r="AC44" i="33"/>
  <c r="J46" i="33"/>
  <c r="AC46" i="33"/>
  <c r="F46" i="33"/>
  <c r="AA46" i="33" s="1"/>
  <c r="H46" i="33"/>
  <c r="AB46" i="33"/>
  <c r="H13" i="34"/>
  <c r="U13" i="34" s="1"/>
  <c r="J13" i="34"/>
  <c r="W13" i="34" s="1"/>
  <c r="F13" i="34"/>
  <c r="AA13" i="34" s="1"/>
  <c r="J29" i="34"/>
  <c r="F29" i="34"/>
  <c r="S29" i="34" s="1"/>
  <c r="H29" i="34"/>
  <c r="AB29" i="34" s="1"/>
  <c r="J31" i="34"/>
  <c r="W31" i="34" s="1"/>
  <c r="F31" i="34"/>
  <c r="S31" i="34"/>
  <c r="H45" i="34"/>
  <c r="U45" i="34" s="1"/>
  <c r="J45" i="34"/>
  <c r="W45" i="34" s="1"/>
  <c r="F45" i="34"/>
  <c r="S45" i="34" s="1"/>
  <c r="H47" i="34"/>
  <c r="U47" i="34" s="1"/>
  <c r="F47" i="34"/>
  <c r="S47" i="34" s="1"/>
  <c r="J47" i="34"/>
  <c r="AC47" i="34" s="1"/>
  <c r="F13" i="35"/>
  <c r="J13" i="35"/>
  <c r="H13" i="35"/>
  <c r="U13" i="35" s="1"/>
  <c r="J25" i="35"/>
  <c r="W25" i="35"/>
  <c r="F25" i="35"/>
  <c r="S25" i="35" s="1"/>
  <c r="H25" i="35"/>
  <c r="AB25" i="35" s="1"/>
  <c r="J25" i="36"/>
  <c r="W25" i="36"/>
  <c r="F25" i="36"/>
  <c r="S25" i="36" s="1"/>
  <c r="H25" i="36"/>
  <c r="AB25" i="36" s="1"/>
  <c r="H13" i="37"/>
  <c r="AB13" i="37" s="1"/>
  <c r="F13" i="37"/>
  <c r="S13" i="37" s="1"/>
  <c r="J13" i="37"/>
  <c r="W13" i="37" s="1"/>
  <c r="F28" i="37"/>
  <c r="AA28" i="37" s="1"/>
  <c r="J28" i="37"/>
  <c r="AC28" i="37"/>
  <c r="H28" i="37"/>
  <c r="F38" i="37"/>
  <c r="S38" i="37" s="1"/>
  <c r="F43" i="39"/>
  <c r="AA43" i="39" s="1"/>
  <c r="H43" i="39"/>
  <c r="J14" i="39"/>
  <c r="AC14" i="39" s="1"/>
  <c r="F14" i="39"/>
  <c r="F12" i="40"/>
  <c r="AA12" i="40" s="1"/>
  <c r="H12" i="40"/>
  <c r="AB12" i="40"/>
  <c r="H30" i="40"/>
  <c r="AB30" i="40" s="1"/>
  <c r="F33" i="40"/>
  <c r="AA33" i="40" s="1"/>
  <c r="H33" i="40"/>
  <c r="U33" i="40"/>
  <c r="J35" i="40"/>
  <c r="AC35" i="40" s="1"/>
  <c r="J37" i="40"/>
  <c r="AC37" i="40" s="1"/>
  <c r="H13" i="40"/>
  <c r="U13" i="40" s="1"/>
  <c r="J13" i="40"/>
  <c r="W13" i="40" s="1"/>
  <c r="F13" i="40"/>
  <c r="F14" i="37"/>
  <c r="S14" i="37"/>
  <c r="F27" i="37"/>
  <c r="AA27" i="37" s="1"/>
  <c r="F13" i="39"/>
  <c r="J13" i="39"/>
  <c r="W13" i="39" s="1"/>
  <c r="H13" i="39"/>
  <c r="H14" i="40"/>
  <c r="J14" i="40"/>
  <c r="W14" i="40" s="1"/>
  <c r="F14" i="40"/>
  <c r="AA14" i="40" s="1"/>
  <c r="J14" i="37"/>
  <c r="U46" i="33"/>
  <c r="AA14" i="33"/>
  <c r="J36" i="37"/>
  <c r="AC36" i="37" s="1"/>
  <c r="J10" i="36"/>
  <c r="AC10" i="36" s="1"/>
  <c r="AB26" i="33"/>
  <c r="AB30" i="21"/>
  <c r="AA14" i="37"/>
  <c r="S45" i="33"/>
  <c r="AC28" i="21"/>
  <c r="F17" i="21"/>
  <c r="AA17" i="21" s="1"/>
  <c r="H17" i="21"/>
  <c r="AB17" i="21" s="1"/>
  <c r="F15" i="21"/>
  <c r="S15" i="21" s="1"/>
  <c r="W44" i="39"/>
  <c r="S35" i="39"/>
  <c r="G544" i="3"/>
  <c r="G540" i="3"/>
  <c r="G535" i="3"/>
  <c r="G532" i="3"/>
  <c r="G531" i="3"/>
  <c r="G528" i="3"/>
  <c r="G527" i="3"/>
  <c r="G523" i="3"/>
  <c r="G518" i="3"/>
  <c r="G514" i="3"/>
  <c r="G510" i="3"/>
  <c r="G508" i="3"/>
  <c r="G504" i="3"/>
  <c r="G500" i="3"/>
  <c r="G496" i="3"/>
  <c r="G584" i="3"/>
  <c r="G576" i="3"/>
  <c r="G572" i="3"/>
  <c r="G564" i="3"/>
  <c r="G560" i="3"/>
  <c r="G554" i="3"/>
  <c r="G550" i="3"/>
  <c r="BL576" i="3"/>
  <c r="BL572" i="3"/>
  <c r="BL564" i="3"/>
  <c r="BL560" i="3"/>
  <c r="BL554" i="3"/>
  <c r="BL546" i="3"/>
  <c r="BL538" i="3"/>
  <c r="BL534" i="3"/>
  <c r="AZ534" i="3" s="1"/>
  <c r="BL530" i="3"/>
  <c r="BL526" i="3"/>
  <c r="BL522" i="3"/>
  <c r="BL516" i="3"/>
  <c r="BL512" i="3"/>
  <c r="BL502" i="3"/>
  <c r="AZ502" i="3" s="1"/>
  <c r="BL498" i="3"/>
  <c r="BL494" i="3"/>
  <c r="BL582" i="3"/>
  <c r="BL574" i="3"/>
  <c r="BL570" i="3"/>
  <c r="BL562" i="3"/>
  <c r="BL556" i="3"/>
  <c r="BL544" i="3"/>
  <c r="AZ544" i="3" s="1"/>
  <c r="BL540" i="3"/>
  <c r="BL536" i="3"/>
  <c r="G533" i="3"/>
  <c r="G529" i="3"/>
  <c r="BL528" i="3"/>
  <c r="G525" i="3"/>
  <c r="BL524" i="3"/>
  <c r="BL518" i="3"/>
  <c r="BL514" i="3"/>
  <c r="BL510" i="3"/>
  <c r="BL500" i="3"/>
  <c r="BL496" i="3"/>
  <c r="G493" i="3"/>
  <c r="BA584" i="3"/>
  <c r="BA580" i="3"/>
  <c r="BA578" i="3"/>
  <c r="BA572" i="3"/>
  <c r="AZ572" i="3" s="1"/>
  <c r="BA570" i="3"/>
  <c r="AZ570" i="3" s="1"/>
  <c r="BA562" i="3"/>
  <c r="BA558" i="3"/>
  <c r="AZ558" i="3" s="1"/>
  <c r="BA556" i="3"/>
  <c r="AZ556" i="3" s="1"/>
  <c r="BA554" i="3"/>
  <c r="AZ554" i="3" s="1"/>
  <c r="BA548" i="3"/>
  <c r="BA546" i="3"/>
  <c r="AZ546" i="3" s="1"/>
  <c r="BA544" i="3"/>
  <c r="BA542" i="3"/>
  <c r="BA540" i="3"/>
  <c r="BA536" i="3"/>
  <c r="AZ536" i="3"/>
  <c r="BA534" i="3"/>
  <c r="BA532" i="3"/>
  <c r="BA528" i="3"/>
  <c r="AZ528" i="3" s="1"/>
  <c r="BA526" i="3"/>
  <c r="BA524" i="3"/>
  <c r="AZ524" i="3" s="1"/>
  <c r="BA522" i="3"/>
  <c r="BA520" i="3"/>
  <c r="BA518" i="3"/>
  <c r="BA516" i="3"/>
  <c r="AZ516" i="3" s="1"/>
  <c r="BA512" i="3"/>
  <c r="AZ512" i="3" s="1"/>
  <c r="BA510" i="3"/>
  <c r="AZ510" i="3"/>
  <c r="BA508" i="3"/>
  <c r="AZ508" i="3" s="1"/>
  <c r="BA506" i="3"/>
  <c r="BA504" i="3"/>
  <c r="BA502" i="3"/>
  <c r="BA500" i="3"/>
  <c r="BA498" i="3"/>
  <c r="AZ498" i="3" s="1"/>
  <c r="BA496" i="3"/>
  <c r="AZ496" i="3" s="1"/>
  <c r="BA494" i="3"/>
  <c r="BA583" i="3"/>
  <c r="BA581" i="3"/>
  <c r="BA579" i="3"/>
  <c r="AZ579" i="3" s="1"/>
  <c r="BA577" i="3"/>
  <c r="BA573" i="3"/>
  <c r="BA571" i="3"/>
  <c r="BA565" i="3"/>
  <c r="AZ565" i="3" s="1"/>
  <c r="BA563" i="3"/>
  <c r="BA561" i="3"/>
  <c r="BA559" i="3"/>
  <c r="BA553" i="3"/>
  <c r="BA547" i="3"/>
  <c r="BA545" i="3"/>
  <c r="BA543" i="3"/>
  <c r="BA541" i="3"/>
  <c r="BA539" i="3"/>
  <c r="BA537" i="3"/>
  <c r="BA535" i="3"/>
  <c r="BA531" i="3"/>
  <c r="BA529" i="3"/>
  <c r="BA527" i="3"/>
  <c r="BA525" i="3"/>
  <c r="BA523" i="3"/>
  <c r="BA519" i="3"/>
  <c r="BA517" i="3"/>
  <c r="BA513" i="3"/>
  <c r="BA511" i="3"/>
  <c r="BA507" i="3"/>
  <c r="BA505" i="3"/>
  <c r="BA503" i="3"/>
  <c r="BA501" i="3"/>
  <c r="AZ501" i="3" s="1"/>
  <c r="BA499" i="3"/>
  <c r="BA495" i="3"/>
  <c r="BA493" i="3"/>
  <c r="G583" i="3"/>
  <c r="G579" i="3"/>
  <c r="G577" i="3"/>
  <c r="G573" i="3"/>
  <c r="G571" i="3"/>
  <c r="G567" i="3"/>
  <c r="G565" i="3"/>
  <c r="G563" i="3"/>
  <c r="G561" i="3"/>
  <c r="BA557" i="3"/>
  <c r="AC557" i="3"/>
  <c r="G557" i="3" s="1"/>
  <c r="BQ557" i="3"/>
  <c r="BL557" i="3" s="1"/>
  <c r="BQ583" i="3"/>
  <c r="BQ581" i="3"/>
  <c r="BL581" i="3" s="1"/>
  <c r="BQ579" i="3"/>
  <c r="BQ577" i="3"/>
  <c r="BL577" i="3" s="1"/>
  <c r="AZ577" i="3" s="1"/>
  <c r="BQ575" i="3"/>
  <c r="BL575" i="3" s="1"/>
  <c r="BQ573" i="3"/>
  <c r="BL573" i="3" s="1"/>
  <c r="AZ573" i="3" s="1"/>
  <c r="BQ571" i="3"/>
  <c r="BL571" i="3"/>
  <c r="BQ569" i="3"/>
  <c r="BQ567" i="3"/>
  <c r="BQ565" i="3"/>
  <c r="BL565" i="3" s="1"/>
  <c r="BQ563" i="3"/>
  <c r="BL563" i="3" s="1"/>
  <c r="AZ563" i="3" s="1"/>
  <c r="BQ561" i="3"/>
  <c r="BL561" i="3"/>
  <c r="AZ561" i="3" s="1"/>
  <c r="BQ559" i="3"/>
  <c r="G559" i="3"/>
  <c r="G555" i="3"/>
  <c r="G553" i="3"/>
  <c r="G549" i="3"/>
  <c r="G547" i="3"/>
  <c r="G545" i="3"/>
  <c r="G541" i="3"/>
  <c r="G539" i="3"/>
  <c r="G537" i="3"/>
  <c r="BQ555" i="3"/>
  <c r="BL555" i="3" s="1"/>
  <c r="BQ553" i="3"/>
  <c r="BQ551" i="3"/>
  <c r="BL551" i="3"/>
  <c r="BQ549" i="3"/>
  <c r="BQ547" i="3"/>
  <c r="BL547" i="3" s="1"/>
  <c r="AZ547" i="3" s="1"/>
  <c r="BQ545" i="3"/>
  <c r="BL545" i="3" s="1"/>
  <c r="BQ543" i="3"/>
  <c r="BL543" i="3" s="1"/>
  <c r="AZ543" i="3"/>
  <c r="BQ541" i="3"/>
  <c r="BL541" i="3"/>
  <c r="BQ539" i="3"/>
  <c r="BL539" i="3" s="1"/>
  <c r="BQ537" i="3"/>
  <c r="BL537" i="3"/>
  <c r="BQ535" i="3"/>
  <c r="BL535" i="3" s="1"/>
  <c r="AZ535" i="3" s="1"/>
  <c r="BQ533" i="3"/>
  <c r="BL533" i="3"/>
  <c r="BQ531" i="3"/>
  <c r="BQ529" i="3"/>
  <c r="BL529" i="3"/>
  <c r="BQ527" i="3"/>
  <c r="BL527" i="3" s="1"/>
  <c r="AZ527" i="3"/>
  <c r="BQ525" i="3"/>
  <c r="BL525" i="3" s="1"/>
  <c r="AZ525" i="3" s="1"/>
  <c r="BQ523" i="3"/>
  <c r="BL523" i="3" s="1"/>
  <c r="AC521" i="3"/>
  <c r="G521" i="3" s="1"/>
  <c r="BQ521" i="3"/>
  <c r="BL521" i="3" s="1"/>
  <c r="BL520" i="3"/>
  <c r="AZ520" i="3" s="1"/>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AZ503" i="3"/>
  <c r="BQ501" i="3"/>
  <c r="BL501" i="3" s="1"/>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U32" i="33"/>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c r="F36" i="37"/>
  <c r="AA36" i="37" s="1"/>
  <c r="F37" i="37"/>
  <c r="AA37" i="37" s="1"/>
  <c r="F31" i="40"/>
  <c r="AA31" i="40" s="1"/>
  <c r="H31" i="40"/>
  <c r="F32" i="40"/>
  <c r="S32" i="40"/>
  <c r="H32" i="40"/>
  <c r="AB32" i="40" s="1"/>
  <c r="J36" i="40"/>
  <c r="W36" i="40" s="1"/>
  <c r="H19" i="37"/>
  <c r="AB19" i="37" s="1"/>
  <c r="H42" i="33"/>
  <c r="AB42" i="33" s="1"/>
  <c r="J43" i="33"/>
  <c r="AC43" i="33"/>
  <c r="S28" i="31"/>
  <c r="S27" i="31"/>
  <c r="S26" i="31"/>
  <c r="W23" i="35"/>
  <c r="U26" i="37"/>
  <c r="W47" i="34"/>
  <c r="AC31" i="33"/>
  <c r="AC45" i="33"/>
  <c r="W44" i="33"/>
  <c r="U11" i="33"/>
  <c r="U19" i="21"/>
  <c r="W44" i="21"/>
  <c r="F43" i="33"/>
  <c r="H37" i="21"/>
  <c r="U37" i="21" s="1"/>
  <c r="S42" i="21"/>
  <c r="H19" i="34"/>
  <c r="AB19" i="34" s="1"/>
  <c r="F36" i="35"/>
  <c r="J9" i="37"/>
  <c r="W9" i="37" s="1"/>
  <c r="H9" i="37"/>
  <c r="U9" i="37" s="1"/>
  <c r="F9" i="37"/>
  <c r="S9"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U31" i="37" s="1"/>
  <c r="J15" i="37"/>
  <c r="W15" i="37"/>
  <c r="AT6" i="3"/>
  <c r="H19" i="40"/>
  <c r="U19" i="40" s="1"/>
  <c r="F88" i="40"/>
  <c r="G88" i="40" s="1"/>
  <c r="F19" i="40"/>
  <c r="S19" i="40" s="1"/>
  <c r="S14" i="40"/>
  <c r="AC13" i="40"/>
  <c r="AB33" i="40"/>
  <c r="AC43" i="39"/>
  <c r="W43" i="39"/>
  <c r="AB44" i="39"/>
  <c r="U44" i="39"/>
  <c r="H37" i="39"/>
  <c r="AB37" i="39" s="1"/>
  <c r="F15" i="39"/>
  <c r="AA15" i="39" s="1"/>
  <c r="H15" i="39"/>
  <c r="U15" i="39" s="1"/>
  <c r="J15" i="39"/>
  <c r="W15" i="39" s="1"/>
  <c r="H41" i="39"/>
  <c r="AB41" i="39" s="1"/>
  <c r="AB34" i="39"/>
  <c r="W8" i="39"/>
  <c r="J19" i="40"/>
  <c r="AC19" i="40" s="1"/>
  <c r="J50" i="40"/>
  <c r="H103" i="9"/>
  <c r="B16" i="53"/>
  <c r="B33" i="72" s="1"/>
  <c r="C7" i="37"/>
  <c r="C52" i="37" s="1"/>
  <c r="D52" i="37" s="1"/>
  <c r="C7" i="36"/>
  <c r="C46" i="36" s="1"/>
  <c r="D46" i="36" s="1"/>
  <c r="E46" i="36" s="1"/>
  <c r="F46" i="36" s="1"/>
  <c r="G46" i="36" s="1"/>
  <c r="H46" i="36" s="1"/>
  <c r="I46" i="36" s="1"/>
  <c r="W35" i="40"/>
  <c r="J11" i="39"/>
  <c r="W11" i="39" s="1"/>
  <c r="F11" i="39"/>
  <c r="S11" i="39" s="1"/>
  <c r="G4" i="4"/>
  <c r="I4" i="4"/>
  <c r="F61" i="43"/>
  <c r="H64" i="43" s="1"/>
  <c r="BL549" i="3"/>
  <c r="AZ494" i="3"/>
  <c r="AZ522"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G157" i="3"/>
  <c r="BA159" i="3"/>
  <c r="AZ159" i="3"/>
  <c r="BL160" i="3"/>
  <c r="G161" i="3"/>
  <c r="BA163" i="3"/>
  <c r="AZ163" i="3" s="1"/>
  <c r="BL164" i="3"/>
  <c r="G165" i="3"/>
  <c r="BA167" i="3"/>
  <c r="AZ167" i="3"/>
  <c r="BL168" i="3"/>
  <c r="AZ168" i="3" s="1"/>
  <c r="G169" i="3"/>
  <c r="BA171" i="3"/>
  <c r="BL172" i="3"/>
  <c r="G173" i="3"/>
  <c r="BA175" i="3"/>
  <c r="BL176" i="3"/>
  <c r="G177" i="3"/>
  <c r="BA179" i="3"/>
  <c r="BL180" i="3"/>
  <c r="AZ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BA356" i="3"/>
  <c r="BL356" i="3"/>
  <c r="G357" i="3"/>
  <c r="G360" i="3"/>
  <c r="BL361" i="3"/>
  <c r="AZ361" i="3" s="1"/>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94" i="3"/>
  <c r="AZ500" i="3"/>
  <c r="BA16" i="3"/>
  <c r="AZ16" i="3" s="1"/>
  <c r="BL303" i="3"/>
  <c r="G304" i="3"/>
  <c r="BA306" i="3"/>
  <c r="BL307" i="3"/>
  <c r="G308" i="3"/>
  <c r="BA310" i="3"/>
  <c r="AZ310" i="3" s="1"/>
  <c r="BL311" i="3"/>
  <c r="AZ311" i="3" s="1"/>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G371" i="3"/>
  <c r="BA373" i="3"/>
  <c r="AZ373" i="3"/>
  <c r="BL374" i="3"/>
  <c r="G375" i="3"/>
  <c r="BA377" i="3"/>
  <c r="AZ377" i="3"/>
  <c r="AZ237" i="3"/>
  <c r="AZ245" i="3"/>
  <c r="AZ257" i="3"/>
  <c r="AZ265" i="3"/>
  <c r="BA379" i="3"/>
  <c r="BL380" i="3"/>
  <c r="AZ380" i="3" s="1"/>
  <c r="G381" i="3"/>
  <c r="BA383" i="3"/>
  <c r="AZ383" i="3" s="1"/>
  <c r="BL384" i="3"/>
  <c r="G385" i="3"/>
  <c r="BA387" i="3"/>
  <c r="BL388" i="3"/>
  <c r="G389" i="3"/>
  <c r="BA391" i="3"/>
  <c r="AZ391" i="3" s="1"/>
  <c r="BL392" i="3"/>
  <c r="G393" i="3"/>
  <c r="AZ283" i="3"/>
  <c r="AZ291" i="3"/>
  <c r="BO5" i="3"/>
  <c r="BM5" i="3"/>
  <c r="AC5" i="3"/>
  <c r="G548" i="3"/>
  <c r="G538" i="3"/>
  <c r="G520" i="3"/>
  <c r="G502" i="3"/>
  <c r="BN5" i="3"/>
  <c r="BI5" i="3"/>
  <c r="BE5" i="3"/>
  <c r="G17" i="3"/>
  <c r="BA17" i="3"/>
  <c r="BT5" i="3"/>
  <c r="AZ356" i="3"/>
  <c r="BA15" i="3"/>
  <c r="AZ392" i="3"/>
  <c r="G509" i="3"/>
  <c r="BL493" i="3"/>
  <c r="AZ493" i="3" s="1"/>
  <c r="U36" i="40"/>
  <c r="F83" i="43"/>
  <c r="H85" i="43" s="1"/>
  <c r="F50" i="43"/>
  <c r="H54" i="43" s="1"/>
  <c r="F72" i="43"/>
  <c r="H75" i="43" s="1"/>
  <c r="U17" i="39"/>
  <c r="S14" i="35"/>
  <c r="U43" i="21"/>
  <c r="U35" i="21"/>
  <c r="AC35" i="21"/>
  <c r="G8" i="1"/>
  <c r="G10" i="1"/>
  <c r="W37" i="37"/>
  <c r="S15" i="37"/>
  <c r="U13" i="37"/>
  <c r="U12" i="40"/>
  <c r="J37" i="33"/>
  <c r="AC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c r="J27" i="40"/>
  <c r="AC27" i="40"/>
  <c r="F27" i="40"/>
  <c r="AA27" i="40" s="1"/>
  <c r="J30" i="40"/>
  <c r="AC30" i="40"/>
  <c r="F30" i="40"/>
  <c r="AA30" i="40"/>
  <c r="AC21" i="40"/>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F39" i="39"/>
  <c r="S39" i="39" s="1"/>
  <c r="J39" i="39"/>
  <c r="AC39" i="39" s="1"/>
  <c r="E96" i="39"/>
  <c r="F96" i="39" s="1"/>
  <c r="G96" i="39" s="1"/>
  <c r="C40" i="11"/>
  <c r="AZ240" i="3"/>
  <c r="AZ280" i="3"/>
  <c r="AZ133" i="3"/>
  <c r="F23" i="39"/>
  <c r="AA23" i="39" s="1"/>
  <c r="H27" i="36"/>
  <c r="U27" i="36" s="1"/>
  <c r="F27" i="36"/>
  <c r="AA27" i="36" s="1"/>
  <c r="H33" i="34"/>
  <c r="U33" i="34" s="1"/>
  <c r="F32" i="37"/>
  <c r="F20" i="36"/>
  <c r="J33" i="34"/>
  <c r="AC33" i="34" s="1"/>
  <c r="H23" i="39"/>
  <c r="U23" i="39" s="1"/>
  <c r="K9" i="1"/>
  <c r="M9" i="1" s="1"/>
  <c r="D93" i="9"/>
  <c r="AC26" i="33"/>
  <c r="W26" i="33"/>
  <c r="W27" i="34"/>
  <c r="AC27" i="34"/>
  <c r="AB34" i="36"/>
  <c r="U34" i="36"/>
  <c r="AC39" i="40"/>
  <c r="W39" i="40"/>
  <c r="W12" i="33"/>
  <c r="AC12" i="33"/>
  <c r="AA32" i="36"/>
  <c r="S32" i="36"/>
  <c r="AC13" i="34"/>
  <c r="W28" i="37"/>
  <c r="F12" i="33"/>
  <c r="S12" i="33" s="1"/>
  <c r="H12" i="39"/>
  <c r="U12" i="39" s="1"/>
  <c r="F39" i="40"/>
  <c r="B12" i="1"/>
  <c r="E12" i="1" s="1"/>
  <c r="B10" i="1"/>
  <c r="E10" i="1" s="1"/>
  <c r="K12" i="1"/>
  <c r="M12" i="1" s="1"/>
  <c r="S13" i="1"/>
  <c r="AR13" i="1" s="1"/>
  <c r="R13" i="1"/>
  <c r="J51" i="67"/>
  <c r="C42" i="1"/>
  <c r="AC34" i="33"/>
  <c r="B41" i="1"/>
  <c r="F28" i="67" s="1"/>
  <c r="AB37" i="40"/>
  <c r="S35" i="40"/>
  <c r="U35" i="40"/>
  <c r="AC36" i="40"/>
  <c r="W38" i="40"/>
  <c r="AA32" i="40"/>
  <c r="S17" i="40"/>
  <c r="S23" i="40"/>
  <c r="AC17" i="40"/>
  <c r="AC15" i="40"/>
  <c r="AB27" i="40"/>
  <c r="S30" i="40"/>
  <c r="AA19" i="40"/>
  <c r="S28" i="40"/>
  <c r="U21" i="40"/>
  <c r="AB19" i="40"/>
  <c r="U37" i="39"/>
  <c r="F32" i="39"/>
  <c r="S32" i="39" s="1"/>
  <c r="F106" i="39"/>
  <c r="G106" i="39" s="1"/>
  <c r="H106" i="39" s="1"/>
  <c r="I106" i="39" s="1"/>
  <c r="J106" i="39" s="1"/>
  <c r="K106" i="39" s="1"/>
  <c r="L106" i="39" s="1"/>
  <c r="M106" i="39" s="1"/>
  <c r="U31" i="39"/>
  <c r="J21" i="39"/>
  <c r="W21" i="39" s="1"/>
  <c r="S15" i="39"/>
  <c r="U14" i="39"/>
  <c r="AC13" i="39"/>
  <c r="U13" i="36"/>
  <c r="U26" i="36"/>
  <c r="AA26" i="36"/>
  <c r="AA34" i="36"/>
  <c r="AC26" i="36"/>
  <c r="AA22" i="36"/>
  <c r="W14" i="36"/>
  <c r="AB14" i="36"/>
  <c r="U22" i="36"/>
  <c r="S16" i="36"/>
  <c r="AA25" i="36"/>
  <c r="S24" i="36"/>
  <c r="AB20" i="36"/>
  <c r="U16" i="36"/>
  <c r="S14" i="36"/>
  <c r="AA25" i="35"/>
  <c r="S23" i="35"/>
  <c r="W24" i="35"/>
  <c r="AB13" i="35"/>
  <c r="U28" i="35"/>
  <c r="AB27" i="35"/>
  <c r="U36" i="35"/>
  <c r="U32" i="35"/>
  <c r="AA33" i="35"/>
  <c r="AC30" i="35"/>
  <c r="S32" i="35"/>
  <c r="S28" i="35"/>
  <c r="AB16" i="35"/>
  <c r="U22" i="35"/>
  <c r="AC20" i="35"/>
  <c r="S22" i="35"/>
  <c r="U14" i="35"/>
  <c r="AA11" i="35"/>
  <c r="AC9" i="35"/>
  <c r="W9" i="35"/>
  <c r="F9" i="35"/>
  <c r="S9" i="35" s="1"/>
  <c r="H9" i="35"/>
  <c r="U9" i="35" s="1"/>
  <c r="S25" i="37"/>
  <c r="U29" i="37"/>
  <c r="AB31" i="37"/>
  <c r="W30" i="37"/>
  <c r="S36" i="37"/>
  <c r="AA38" i="37"/>
  <c r="U32" i="37"/>
  <c r="AC35" i="37"/>
  <c r="W39" i="37"/>
  <c r="S30" i="37"/>
  <c r="S37" i="37"/>
  <c r="AC15" i="37"/>
  <c r="J17" i="37"/>
  <c r="W17" i="37"/>
  <c r="G73" i="37"/>
  <c r="F17" i="37"/>
  <c r="AA17" i="37" s="1"/>
  <c r="AB17" i="37"/>
  <c r="F75" i="37"/>
  <c r="G75" i="37" s="1"/>
  <c r="F19" i="37"/>
  <c r="S19" i="37" s="1"/>
  <c r="F79" i="37"/>
  <c r="G79" i="37" s="1"/>
  <c r="F23" i="37"/>
  <c r="S23" i="37" s="1"/>
  <c r="U15" i="37"/>
  <c r="AC13" i="37"/>
  <c r="H10" i="37"/>
  <c r="AB10" i="37" s="1"/>
  <c r="F63" i="37"/>
  <c r="F11" i="37"/>
  <c r="S11" i="37" s="1"/>
  <c r="W25" i="34"/>
  <c r="AB8" i="34"/>
  <c r="W41" i="34"/>
  <c r="AC42" i="34"/>
  <c r="U39" i="34"/>
  <c r="AB41" i="34"/>
  <c r="AA45" i="34"/>
  <c r="U28" i="34"/>
  <c r="S13" i="34"/>
  <c r="H10" i="34"/>
  <c r="AB10" i="34" s="1"/>
  <c r="F11" i="34"/>
  <c r="S11" i="34" s="1"/>
  <c r="F70" i="34"/>
  <c r="W42"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H27" i="33"/>
  <c r="F87" i="33"/>
  <c r="G87" i="33" s="1"/>
  <c r="H87" i="33" s="1"/>
  <c r="I87" i="33" s="1"/>
  <c r="J87" i="33" s="1"/>
  <c r="K87" i="33" s="1"/>
  <c r="L87" i="33" s="1"/>
  <c r="M87" i="33" s="1"/>
  <c r="H25" i="33"/>
  <c r="U25" i="33" s="1"/>
  <c r="F25" i="33"/>
  <c r="J23" i="33"/>
  <c r="AC23" i="33" s="1"/>
  <c r="F85" i="33"/>
  <c r="H23" i="33"/>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L17" i="3"/>
  <c r="AZ17" i="3" s="1"/>
  <c r="BL13" i="3"/>
  <c r="J56" i="9"/>
  <c r="J57" i="9" s="1"/>
  <c r="J59" i="9" s="1"/>
  <c r="J61" i="9" s="1"/>
  <c r="A24" i="51"/>
  <c r="B18" i="72" s="1"/>
  <c r="U29" i="34"/>
  <c r="E5" i="6"/>
  <c r="E32" i="6"/>
  <c r="G1" i="68"/>
  <c r="K1" i="12"/>
  <c r="E19" i="69"/>
  <c r="E19" i="68"/>
  <c r="E19" i="11"/>
  <c r="G22" i="68"/>
  <c r="G26" i="12"/>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33" i="40"/>
  <c r="AA15" i="40"/>
  <c r="U11" i="40"/>
  <c r="S31" i="40"/>
  <c r="AB13" i="40"/>
  <c r="U15" i="40"/>
  <c r="AB17" i="40"/>
  <c r="U8" i="40"/>
  <c r="S8" i="40"/>
  <c r="U13" i="39"/>
  <c r="AB13" i="39"/>
  <c r="AA13" i="39"/>
  <c r="S13" i="39"/>
  <c r="S14" i="39"/>
  <c r="AA14" i="39"/>
  <c r="U43" i="39"/>
  <c r="AB43" i="39"/>
  <c r="AC31" i="39"/>
  <c r="S8" i="39"/>
  <c r="AC25" i="36"/>
  <c r="U32" i="36"/>
  <c r="W29" i="36"/>
  <c r="AC20" i="36"/>
  <c r="U25" i="36"/>
  <c r="AB28" i="36"/>
  <c r="AA13" i="36"/>
  <c r="W22" i="36"/>
  <c r="AB20" i="35"/>
  <c r="AC25" i="35"/>
  <c r="U25" i="35"/>
  <c r="S24" i="35"/>
  <c r="U24" i="35"/>
  <c r="AA16" i="35"/>
  <c r="AA35" i="37"/>
  <c r="W36" i="37"/>
  <c r="S27" i="37"/>
  <c r="S28" i="37"/>
  <c r="W32" i="37"/>
  <c r="U36" i="37"/>
  <c r="S40" i="37"/>
  <c r="AB37" i="37"/>
  <c r="AC34" i="37"/>
  <c r="AB35" i="37"/>
  <c r="AA31" i="37"/>
  <c r="U19" i="37"/>
  <c r="AA29" i="37"/>
  <c r="U8" i="37"/>
  <c r="AA31" i="34"/>
  <c r="AA30" i="34"/>
  <c r="AB45" i="34"/>
  <c r="AB47" i="34"/>
  <c r="U25" i="34"/>
  <c r="AC32" i="34"/>
  <c r="AC29" i="34"/>
  <c r="W29" i="34"/>
  <c r="W46" i="34"/>
  <c r="AC46" i="34"/>
  <c r="S32" i="34"/>
  <c r="AA32" i="34"/>
  <c r="U30" i="34"/>
  <c r="AB30" i="34"/>
  <c r="S37" i="34"/>
  <c r="U38" i="34"/>
  <c r="AA8" i="34"/>
  <c r="AA46" i="34"/>
  <c r="U32" i="34"/>
  <c r="AB32"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s="1"/>
  <c r="J17" i="21"/>
  <c r="AC17" i="21" s="1"/>
  <c r="AC19" i="21"/>
  <c r="W39" i="21"/>
  <c r="W30" i="21"/>
  <c r="H45" i="21"/>
  <c r="U45" i="21" s="1"/>
  <c r="F29" i="21"/>
  <c r="AA29" i="21" s="1"/>
  <c r="F13" i="21"/>
  <c r="AA13" i="21" s="1"/>
  <c r="AC38" i="21"/>
  <c r="H32" i="21"/>
  <c r="U32" i="21" s="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M18" i="67"/>
  <c r="M18" i="15"/>
  <c r="AA39" i="40"/>
  <c r="S39" i="40"/>
  <c r="AA12" i="33"/>
  <c r="J32" i="39"/>
  <c r="H32" i="39"/>
  <c r="AB32" i="39" s="1"/>
  <c r="AC17" i="37"/>
  <c r="S17" i="37"/>
  <c r="J19" i="37"/>
  <c r="W19" i="37" s="1"/>
  <c r="AA19" i="37"/>
  <c r="AA23" i="37"/>
  <c r="J23" i="37"/>
  <c r="AC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J27" i="33"/>
  <c r="AC27" i="33" s="1"/>
  <c r="AB25" i="33"/>
  <c r="S25" i="33"/>
  <c r="AA25" i="33"/>
  <c r="J25" i="33"/>
  <c r="AC25" i="33" s="1"/>
  <c r="AB23" i="33"/>
  <c r="U23" i="33"/>
  <c r="F23" i="33"/>
  <c r="G85" i="33"/>
  <c r="AA19" i="33"/>
  <c r="H19" i="33"/>
  <c r="H17" i="33"/>
  <c r="U17" i="33" s="1"/>
  <c r="F17" i="33"/>
  <c r="S17" i="33" s="1"/>
  <c r="AC17" i="33"/>
  <c r="S37" i="21"/>
  <c r="AA23" i="21"/>
  <c r="J23" i="21"/>
  <c r="F85" i="21"/>
  <c r="G85" i="21" s="1"/>
  <c r="H23" i="21"/>
  <c r="S13" i="21"/>
  <c r="AP7" i="1"/>
  <c r="AB45" i="21"/>
  <c r="AB9" i="21"/>
  <c r="AA32" i="21"/>
  <c r="S32" i="21"/>
  <c r="W9" i="21"/>
  <c r="AC9" i="21"/>
  <c r="AC32" i="39"/>
  <c r="W32" i="39"/>
  <c r="J63" i="37"/>
  <c r="K63" i="37" s="1"/>
  <c r="L63" i="37" s="1"/>
  <c r="M63" i="37" s="1"/>
  <c r="J11" i="37"/>
  <c r="AC11" i="37" s="1"/>
  <c r="H70" i="34"/>
  <c r="I70" i="34" s="1"/>
  <c r="J70" i="34" s="1"/>
  <c r="K70" i="34" s="1"/>
  <c r="L70" i="34" s="1"/>
  <c r="M70" i="34" s="1"/>
  <c r="J11" i="34"/>
  <c r="W11" i="34" s="1"/>
  <c r="AB36" i="33"/>
  <c r="AB19" i="33"/>
  <c r="U19" i="33"/>
  <c r="AA17" i="33"/>
  <c r="U23" i="21"/>
  <c r="AB23" i="21"/>
  <c r="AC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E8" i="76"/>
  <c r="C76" i="15"/>
  <c r="F6" i="73"/>
  <c r="F7" i="73"/>
  <c r="E9" i="76"/>
  <c r="F8" i="15"/>
  <c r="E2" i="68"/>
  <c r="E11" i="76"/>
  <c r="M24" i="15"/>
  <c r="M6" i="15"/>
  <c r="F5" i="73"/>
  <c r="M28" i="15"/>
  <c r="F4" i="73"/>
  <c r="F42" i="15"/>
  <c r="F40" i="15"/>
  <c r="B13" i="76"/>
  <c r="M26" i="15"/>
  <c r="B8" i="76"/>
  <c r="AO13" i="1"/>
  <c r="M23" i="15"/>
  <c r="M29" i="15"/>
  <c r="M22" i="15"/>
  <c r="F8" i="67"/>
  <c r="F7" i="15"/>
  <c r="E10" i="76"/>
  <c r="C76" i="67"/>
  <c r="D6" i="73"/>
  <c r="F20" i="31"/>
  <c r="F3" i="73"/>
  <c r="F36" i="15"/>
  <c r="E13" i="76"/>
  <c r="E2" i="69"/>
  <c r="F13" i="15"/>
  <c r="J15" i="15"/>
  <c r="B7" i="76"/>
  <c r="F26" i="15"/>
  <c r="F9" i="67"/>
  <c r="B11" i="76"/>
  <c r="L48" i="15"/>
  <c r="F37" i="15"/>
  <c r="L47" i="15"/>
  <c r="F16" i="15"/>
  <c r="E12" i="76"/>
  <c r="M8" i="15"/>
  <c r="E7" i="76"/>
  <c r="B12" i="76"/>
  <c r="F9" i="15"/>
  <c r="B10" i="76"/>
  <c r="F38" i="15"/>
  <c r="AB35" i="34" l="1"/>
  <c r="S44" i="34"/>
  <c r="W44" i="34"/>
  <c r="AC43" i="34"/>
  <c r="S36" i="34"/>
  <c r="U27" i="34"/>
  <c r="S17" i="34"/>
  <c r="AC17" i="34"/>
  <c r="F78" i="34"/>
  <c r="G78" i="34" s="1"/>
  <c r="J15" i="34"/>
  <c r="W15" i="34" s="1"/>
  <c r="H15" i="34"/>
  <c r="F15" i="34"/>
  <c r="AA15" i="34" s="1"/>
  <c r="AC23" i="34"/>
  <c r="S23" i="34"/>
  <c r="S19" i="34"/>
  <c r="U19" i="34"/>
  <c r="W19" i="34"/>
  <c r="U17" i="34"/>
  <c r="U43" i="34"/>
  <c r="S43" i="34"/>
  <c r="W40" i="34"/>
  <c r="AB40" i="34"/>
  <c r="AB36" i="34"/>
  <c r="S35" i="34"/>
  <c r="W33" i="34"/>
  <c r="AB33" i="34"/>
  <c r="AA33" i="34"/>
  <c r="AA47" i="34"/>
  <c r="AC45" i="34"/>
  <c r="J51" i="15"/>
  <c r="F11" i="1"/>
  <c r="G11" i="1" s="1"/>
  <c r="G44" i="43"/>
  <c r="D23" i="15"/>
  <c r="F42" i="39"/>
  <c r="S42" i="39" s="1"/>
  <c r="H123" i="39"/>
  <c r="I123" i="39" s="1"/>
  <c r="J123" i="39" s="1"/>
  <c r="K123" i="39" s="1"/>
  <c r="L123" i="39" s="1"/>
  <c r="M123" i="39" s="1"/>
  <c r="J41" i="39"/>
  <c r="W41" i="39" s="1"/>
  <c r="U42" i="39"/>
  <c r="U40" i="39"/>
  <c r="U41" i="39"/>
  <c r="AA41" i="39"/>
  <c r="W40" i="39"/>
  <c r="AB39" i="39"/>
  <c r="AA39" i="39"/>
  <c r="U38" i="39"/>
  <c r="AC38" i="39"/>
  <c r="AA32" i="39"/>
  <c r="W34" i="39"/>
  <c r="S31" i="39"/>
  <c r="F25" i="39"/>
  <c r="AA25" i="39" s="1"/>
  <c r="J25" i="39"/>
  <c r="W25" i="39" s="1"/>
  <c r="H25" i="39"/>
  <c r="AB25" i="39" s="1"/>
  <c r="H21" i="39"/>
  <c r="AB21" i="39" s="1"/>
  <c r="F21" i="39"/>
  <c r="S21" i="39" s="1"/>
  <c r="S23" i="39"/>
  <c r="AB27" i="39"/>
  <c r="S27" i="39"/>
  <c r="W27" i="39"/>
  <c r="W23" i="39"/>
  <c r="U21" i="39"/>
  <c r="S19" i="39"/>
  <c r="U19" i="39"/>
  <c r="W19" i="39"/>
  <c r="W17" i="39"/>
  <c r="S17" i="39"/>
  <c r="AC11" i="39"/>
  <c r="U11" i="39"/>
  <c r="AA11" i="39"/>
  <c r="W9" i="39"/>
  <c r="S9" i="39"/>
  <c r="U9" i="39"/>
  <c r="G22" i="69"/>
  <c r="G22" i="11"/>
  <c r="E1" i="73"/>
  <c r="C18" i="9"/>
  <c r="D18" i="9" s="1"/>
  <c r="A4" i="52"/>
  <c r="B41" i="72" s="1"/>
  <c r="A118" i="9"/>
  <c r="A2" i="9"/>
  <c r="C24" i="12"/>
  <c r="F30" i="11"/>
  <c r="C48" i="11" s="1"/>
  <c r="F28" i="15"/>
  <c r="C40" i="69"/>
  <c r="C40" i="68"/>
  <c r="BS5" i="3"/>
  <c r="BJ5" i="3"/>
  <c r="BB5" i="3"/>
  <c r="BA14" i="3"/>
  <c r="AZ14" i="3" s="1"/>
  <c r="BA13" i="3"/>
  <c r="F29" i="6"/>
  <c r="H69" i="43"/>
  <c r="AA35" i="35"/>
  <c r="S35" i="35"/>
  <c r="D8" i="53"/>
  <c r="D120" i="9"/>
  <c r="W27" i="33"/>
  <c r="W23" i="37"/>
  <c r="D68" i="9"/>
  <c r="F32" i="67"/>
  <c r="F60" i="67" s="1"/>
  <c r="AC25" i="39"/>
  <c r="AA20" i="36"/>
  <c r="S20" i="36"/>
  <c r="S36" i="35"/>
  <c r="AA36" i="35"/>
  <c r="AZ540" i="3"/>
  <c r="AB14" i="40"/>
  <c r="U14" i="40"/>
  <c r="AC16" i="35"/>
  <c r="W16" i="35"/>
  <c r="AA39" i="33"/>
  <c r="S39" i="33"/>
  <c r="AC13" i="35"/>
  <c r="W13" i="35"/>
  <c r="AA21" i="39"/>
  <c r="F31" i="12"/>
  <c r="W17" i="21"/>
  <c r="AA29" i="34"/>
  <c r="AZ523" i="3"/>
  <c r="AZ183" i="3"/>
  <c r="U32" i="39"/>
  <c r="AB15" i="21"/>
  <c r="U31" i="40"/>
  <c r="AB31" i="40"/>
  <c r="AA11" i="36"/>
  <c r="S11" i="36"/>
  <c r="W29" i="37"/>
  <c r="AC29" i="37"/>
  <c r="AB15" i="34"/>
  <c r="U15" i="34"/>
  <c r="S25" i="34"/>
  <c r="AA25" i="34"/>
  <c r="AA32" i="37"/>
  <c r="S32" i="37"/>
  <c r="AB32" i="21"/>
  <c r="U23" i="37"/>
  <c r="W39" i="34"/>
  <c r="AC39" i="34"/>
  <c r="AA20" i="35"/>
  <c r="S20" i="35"/>
  <c r="AB30" i="33"/>
  <c r="U30" i="33"/>
  <c r="S34" i="33"/>
  <c r="AA34" i="33"/>
  <c r="AC36" i="34"/>
  <c r="W36" i="34"/>
  <c r="J46" i="21"/>
  <c r="H46" i="21"/>
  <c r="F46" i="21"/>
  <c r="S40" i="21"/>
  <c r="AA40" i="21"/>
  <c r="F29" i="33"/>
  <c r="H29" i="33"/>
  <c r="J14" i="34"/>
  <c r="F14" i="34"/>
  <c r="H14" i="34"/>
  <c r="F12" i="35"/>
  <c r="H12" i="35"/>
  <c r="J12" i="35"/>
  <c r="H35" i="35"/>
  <c r="J35" i="35"/>
  <c r="J12" i="37"/>
  <c r="H12" i="37"/>
  <c r="AB12" i="37" s="1"/>
  <c r="F12" i="37"/>
  <c r="S12" i="37" s="1"/>
  <c r="AB35" i="39"/>
  <c r="U35" i="39"/>
  <c r="G569" i="3"/>
  <c r="H5" i="3"/>
  <c r="BA568" i="3"/>
  <c r="AZ568" i="3" s="1"/>
  <c r="BD5" i="3"/>
  <c r="BL567" i="3"/>
  <c r="BP5" i="3"/>
  <c r="G29" i="6" s="1"/>
  <c r="BA566" i="3"/>
  <c r="BC5" i="3"/>
  <c r="W25" i="33"/>
  <c r="F48" i="9"/>
  <c r="O52" i="9" s="1"/>
  <c r="F30" i="68"/>
  <c r="F48" i="68" s="1"/>
  <c r="F32" i="15"/>
  <c r="F60" i="15" s="1"/>
  <c r="F54" i="9"/>
  <c r="F52" i="9"/>
  <c r="AA43" i="33"/>
  <c r="S43" i="33"/>
  <c r="F30" i="69"/>
  <c r="F48" i="69" s="1"/>
  <c r="S35" i="33"/>
  <c r="AA35" i="33"/>
  <c r="S13" i="40"/>
  <c r="AA13" i="40"/>
  <c r="AZ557" i="3"/>
  <c r="AZ587" i="3"/>
  <c r="AC8" i="34"/>
  <c r="W8" i="34"/>
  <c r="U27" i="37"/>
  <c r="AB27" i="37"/>
  <c r="J40" i="37"/>
  <c r="H40" i="37"/>
  <c r="AA13" i="37"/>
  <c r="S43" i="39"/>
  <c r="AZ379" i="3"/>
  <c r="AZ390" i="3"/>
  <c r="AZ371" i="3"/>
  <c r="AZ313" i="3"/>
  <c r="AZ394" i="3"/>
  <c r="AZ529" i="3"/>
  <c r="J27" i="37"/>
  <c r="AB23" i="34"/>
  <c r="B72" i="43"/>
  <c r="C15" i="39"/>
  <c r="S44" i="33"/>
  <c r="AA44" i="33"/>
  <c r="AZ564" i="3"/>
  <c r="AZ552" i="3"/>
  <c r="AB12" i="39"/>
  <c r="S27" i="40"/>
  <c r="AZ324" i="3"/>
  <c r="AA25" i="21"/>
  <c r="AZ539" i="3"/>
  <c r="AZ518" i="3"/>
  <c r="AC31" i="34"/>
  <c r="G586" i="3"/>
  <c r="AB34" i="34"/>
  <c r="U34" i="34"/>
  <c r="BL578" i="3"/>
  <c r="BA574" i="3"/>
  <c r="AZ574" i="3" s="1"/>
  <c r="W37" i="33"/>
  <c r="AZ387" i="3"/>
  <c r="AZ362" i="3"/>
  <c r="AZ187" i="3"/>
  <c r="BL569" i="3"/>
  <c r="AZ569" i="3" s="1"/>
  <c r="S12" i="40"/>
  <c r="U39" i="37"/>
  <c r="AB39" i="37"/>
  <c r="H45" i="39"/>
  <c r="F45" i="39"/>
  <c r="BA567" i="3"/>
  <c r="AZ567" i="3" s="1"/>
  <c r="AZ537" i="3"/>
  <c r="AZ548" i="3"/>
  <c r="J14" i="21"/>
  <c r="H14" i="21"/>
  <c r="F9" i="34"/>
  <c r="AA9" i="34" s="1"/>
  <c r="J9" i="34"/>
  <c r="H9" i="34"/>
  <c r="BL584" i="3"/>
  <c r="AZ584" i="3" s="1"/>
  <c r="BA582" i="3"/>
  <c r="AZ582" i="3" s="1"/>
  <c r="U29" i="35"/>
  <c r="AZ355" i="3"/>
  <c r="AZ203" i="3"/>
  <c r="AZ160" i="3"/>
  <c r="AB45" i="33"/>
  <c r="W28" i="34"/>
  <c r="AC28" i="34"/>
  <c r="AC33" i="33"/>
  <c r="W33" i="33"/>
  <c r="J38" i="37"/>
  <c r="H38" i="37"/>
  <c r="AB34" i="40"/>
  <c r="U34" i="40"/>
  <c r="AA40" i="34"/>
  <c r="AZ337" i="3"/>
  <c r="AZ305" i="3"/>
  <c r="AZ571" i="3"/>
  <c r="AA42" i="39"/>
  <c r="F33" i="36"/>
  <c r="H33" i="36"/>
  <c r="J36" i="39"/>
  <c r="AC36" i="39" s="1"/>
  <c r="H36" i="39"/>
  <c r="F36" i="39"/>
  <c r="BA575" i="3"/>
  <c r="AZ575" i="3" s="1"/>
  <c r="W25" i="37"/>
  <c r="BL585" i="3"/>
  <c r="AZ585" i="3" s="1"/>
  <c r="H23" i="36"/>
  <c r="J23" i="36"/>
  <c r="F23" i="36"/>
  <c r="BA550" i="3"/>
  <c r="J12" i="34"/>
  <c r="H12" i="34"/>
  <c r="W27" i="35"/>
  <c r="AC27" i="35"/>
  <c r="J12" i="39"/>
  <c r="F12" i="39"/>
  <c r="BA515" i="3"/>
  <c r="AZ515" i="3" s="1"/>
  <c r="BL587" i="3"/>
  <c r="BL586" i="3"/>
  <c r="AZ586" i="3" s="1"/>
  <c r="F12" i="34"/>
  <c r="S12" i="34" s="1"/>
  <c r="J36" i="35"/>
  <c r="AC36" i="35" s="1"/>
  <c r="H9" i="36"/>
  <c r="AB9" i="36" s="1"/>
  <c r="J9" i="36"/>
  <c r="AC31" i="40"/>
  <c r="W31" i="40"/>
  <c r="BA560" i="3"/>
  <c r="AZ560" i="3" s="1"/>
  <c r="BA549" i="3"/>
  <c r="AZ549" i="3" s="1"/>
  <c r="G543" i="3"/>
  <c r="BL542" i="3"/>
  <c r="AZ542" i="3" s="1"/>
  <c r="BA538" i="3"/>
  <c r="AZ538" i="3" s="1"/>
  <c r="BA533" i="3"/>
  <c r="AZ533" i="3" s="1"/>
  <c r="BL580" i="3"/>
  <c r="AZ580" i="3" s="1"/>
  <c r="BA576" i="3"/>
  <c r="AZ576" i="3" s="1"/>
  <c r="BA569" i="3"/>
  <c r="BL566" i="3"/>
  <c r="AZ511" i="3"/>
  <c r="AZ541" i="3"/>
  <c r="AA38" i="34"/>
  <c r="J27" i="21"/>
  <c r="F27" i="21"/>
  <c r="H24" i="36"/>
  <c r="J12" i="36"/>
  <c r="J37" i="39"/>
  <c r="F37" i="39"/>
  <c r="AZ407" i="3"/>
  <c r="AB33" i="33"/>
  <c r="U33" i="33"/>
  <c r="AA34" i="40"/>
  <c r="S34" i="40"/>
  <c r="BL532" i="3"/>
  <c r="AZ532" i="3" s="1"/>
  <c r="BA530" i="3"/>
  <c r="AZ530" i="3" s="1"/>
  <c r="BA521" i="3"/>
  <c r="AZ521" i="3" s="1"/>
  <c r="BA514" i="3"/>
  <c r="AZ514" i="3" s="1"/>
  <c r="BL506" i="3"/>
  <c r="AZ506" i="3" s="1"/>
  <c r="BL504" i="3"/>
  <c r="AZ504" i="3" s="1"/>
  <c r="BL499" i="3"/>
  <c r="AZ499" i="3" s="1"/>
  <c r="BA497" i="3"/>
  <c r="AZ497" i="3" s="1"/>
  <c r="AZ400" i="3"/>
  <c r="AZ307" i="3"/>
  <c r="AZ140" i="3"/>
  <c r="AZ360" i="3"/>
  <c r="BL553" i="3"/>
  <c r="AZ553" i="3" s="1"/>
  <c r="BL583" i="3"/>
  <c r="AZ583" i="3" s="1"/>
  <c r="AZ513" i="3"/>
  <c r="AZ526" i="3"/>
  <c r="H46" i="34"/>
  <c r="F12" i="36"/>
  <c r="AA40" i="33"/>
  <c r="U8" i="39"/>
  <c r="AB8" i="39"/>
  <c r="AZ422" i="3"/>
  <c r="AZ462" i="3"/>
  <c r="BL408" i="3"/>
  <c r="BL411" i="3"/>
  <c r="BL413" i="3"/>
  <c r="AZ413" i="3" s="1"/>
  <c r="G416" i="3"/>
  <c r="BL417" i="3"/>
  <c r="BL418" i="3"/>
  <c r="BL420" i="3"/>
  <c r="AZ420" i="3" s="1"/>
  <c r="G423" i="3"/>
  <c r="BL424" i="3"/>
  <c r="G427" i="3"/>
  <c r="BA439" i="3"/>
  <c r="BA440" i="3"/>
  <c r="AZ440" i="3" s="1"/>
  <c r="BA442" i="3"/>
  <c r="BA446" i="3"/>
  <c r="BL453" i="3"/>
  <c r="AZ453" i="3" s="1"/>
  <c r="BL454" i="3"/>
  <c r="BL466" i="3"/>
  <c r="G469" i="3"/>
  <c r="BL471" i="3"/>
  <c r="BL484" i="3"/>
  <c r="BL317" i="3"/>
  <c r="BA331" i="3"/>
  <c r="AZ331" i="3" s="1"/>
  <c r="AZ125" i="3"/>
  <c r="BL414" i="3"/>
  <c r="BL415" i="3"/>
  <c r="BL421" i="3"/>
  <c r="BL422" i="3"/>
  <c r="BL425" i="3"/>
  <c r="BL426" i="3"/>
  <c r="BA438" i="3"/>
  <c r="G443" i="3"/>
  <c r="BL463" i="3"/>
  <c r="AZ463" i="3" s="1"/>
  <c r="BL467" i="3"/>
  <c r="BL468" i="3"/>
  <c r="BA480" i="3"/>
  <c r="G585" i="3"/>
  <c r="G574" i="3"/>
  <c r="BL15" i="3"/>
  <c r="AZ15" i="3" s="1"/>
  <c r="BA398" i="3"/>
  <c r="AZ398" i="3" s="1"/>
  <c r="BA399" i="3"/>
  <c r="AZ399" i="3" s="1"/>
  <c r="BA434" i="3"/>
  <c r="BA436" i="3"/>
  <c r="G445" i="3"/>
  <c r="BL462" i="3"/>
  <c r="G463" i="3"/>
  <c r="BL464" i="3"/>
  <c r="BA476" i="3"/>
  <c r="BL531" i="3"/>
  <c r="AZ531" i="3" s="1"/>
  <c r="BL559" i="3"/>
  <c r="AZ559" i="3" s="1"/>
  <c r="S34" i="39"/>
  <c r="BA551" i="3"/>
  <c r="AZ551" i="3" s="1"/>
  <c r="BL548" i="3"/>
  <c r="BA401" i="3"/>
  <c r="BA403" i="3"/>
  <c r="AZ403" i="3" s="1"/>
  <c r="BA404" i="3"/>
  <c r="AZ404" i="3" s="1"/>
  <c r="BA405" i="3"/>
  <c r="AZ405" i="3" s="1"/>
  <c r="BA432" i="3"/>
  <c r="AZ432" i="3" s="1"/>
  <c r="G438" i="3"/>
  <c r="BL438" i="3"/>
  <c r="BL439" i="3"/>
  <c r="BL480" i="3"/>
  <c r="G482" i="3"/>
  <c r="BL483" i="3"/>
  <c r="AZ483" i="3" s="1"/>
  <c r="BA489" i="3"/>
  <c r="AZ270" i="3"/>
  <c r="G398" i="3"/>
  <c r="BL400" i="3"/>
  <c r="BA428" i="3"/>
  <c r="AZ428" i="3" s="1"/>
  <c r="BA429" i="3"/>
  <c r="AZ429" i="3" s="1"/>
  <c r="BA430" i="3"/>
  <c r="AZ430" i="3" s="1"/>
  <c r="BL433" i="3"/>
  <c r="BL434" i="3"/>
  <c r="G436" i="3"/>
  <c r="G460" i="3"/>
  <c r="BL460" i="3"/>
  <c r="BL461" i="3"/>
  <c r="BA469" i="3"/>
  <c r="AZ469" i="3" s="1"/>
  <c r="BA473" i="3"/>
  <c r="AZ473" i="3" s="1"/>
  <c r="BL476" i="3"/>
  <c r="BL477" i="3"/>
  <c r="BL478" i="3"/>
  <c r="G479" i="3"/>
  <c r="G480" i="3"/>
  <c r="BA319" i="3"/>
  <c r="AZ319" i="3" s="1"/>
  <c r="BA335" i="3"/>
  <c r="AZ335" i="3" s="1"/>
  <c r="G551" i="3"/>
  <c r="BL550" i="3"/>
  <c r="G542" i="3"/>
  <c r="BL398" i="3"/>
  <c r="BL403" i="3"/>
  <c r="BA408" i="3"/>
  <c r="BA409" i="3"/>
  <c r="AZ409" i="3" s="1"/>
  <c r="BA411" i="3"/>
  <c r="AZ411" i="3" s="1"/>
  <c r="BA417" i="3"/>
  <c r="AZ417" i="3" s="1"/>
  <c r="BL431" i="3"/>
  <c r="AZ431" i="3" s="1"/>
  <c r="BL435" i="3"/>
  <c r="BL436" i="3"/>
  <c r="BL458" i="3"/>
  <c r="AZ458" i="3" s="1"/>
  <c r="BA470" i="3"/>
  <c r="BA471" i="3"/>
  <c r="AZ471" i="3" s="1"/>
  <c r="BA485" i="3"/>
  <c r="BL488" i="3"/>
  <c r="BL489" i="3"/>
  <c r="BL491" i="3"/>
  <c r="BL492" i="3"/>
  <c r="BL328" i="3"/>
  <c r="AZ328" i="3" s="1"/>
  <c r="BL401" i="3"/>
  <c r="BL404" i="3"/>
  <c r="BL405" i="3"/>
  <c r="BL407" i="3"/>
  <c r="BA412" i="3"/>
  <c r="AZ412" i="3" s="1"/>
  <c r="BA414" i="3"/>
  <c r="BA415" i="3"/>
  <c r="BA416" i="3"/>
  <c r="AZ416" i="3" s="1"/>
  <c r="BA418" i="3"/>
  <c r="AZ418" i="3" s="1"/>
  <c r="BA421" i="3"/>
  <c r="AZ421" i="3" s="1"/>
  <c r="BA423" i="3"/>
  <c r="AZ423" i="3" s="1"/>
  <c r="BA425" i="3"/>
  <c r="AZ425" i="3" s="1"/>
  <c r="BL427" i="3"/>
  <c r="G429" i="3"/>
  <c r="BL432" i="3"/>
  <c r="BA449" i="3"/>
  <c r="G456" i="3"/>
  <c r="G457" i="3"/>
  <c r="BA466" i="3"/>
  <c r="AZ466" i="3" s="1"/>
  <c r="BL473" i="3"/>
  <c r="BL474" i="3"/>
  <c r="G475" i="3"/>
  <c r="BL487" i="3"/>
  <c r="AZ487" i="3" s="1"/>
  <c r="G488" i="3"/>
  <c r="G491" i="3"/>
  <c r="BA307" i="3"/>
  <c r="G311" i="3"/>
  <c r="BA353" i="3"/>
  <c r="BL365" i="3"/>
  <c r="AZ365" i="3" s="1"/>
  <c r="BL368" i="3"/>
  <c r="BA374" i="3"/>
  <c r="AZ374" i="3" s="1"/>
  <c r="BA388" i="3"/>
  <c r="AZ388" i="3" s="1"/>
  <c r="BL217" i="3"/>
  <c r="AZ217" i="3" s="1"/>
  <c r="BA219" i="3"/>
  <c r="AZ219" i="3" s="1"/>
  <c r="BA221" i="3"/>
  <c r="BA223" i="3"/>
  <c r="BL232" i="3"/>
  <c r="BL234" i="3"/>
  <c r="BL261" i="3"/>
  <c r="BL271" i="3"/>
  <c r="BL274" i="3"/>
  <c r="BA296" i="3"/>
  <c r="V24" i="71"/>
  <c r="E23" i="71"/>
  <c r="E22" i="71" s="1"/>
  <c r="E21" i="71" s="1"/>
  <c r="E20" i="71" s="1"/>
  <c r="BA426" i="3"/>
  <c r="BA427" i="3"/>
  <c r="AZ427" i="3" s="1"/>
  <c r="BA433" i="3"/>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AZ460" i="3" s="1"/>
  <c r="BA461" i="3"/>
  <c r="AZ461" i="3" s="1"/>
  <c r="BA483" i="3"/>
  <c r="BA486" i="3"/>
  <c r="G307" i="3"/>
  <c r="BA315" i="3"/>
  <c r="AZ315" i="3" s="1"/>
  <c r="BA333" i="3"/>
  <c r="BL346" i="3"/>
  <c r="AZ346" i="3" s="1"/>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4" i="3"/>
  <c r="AZ144" i="3" s="1"/>
  <c r="G152" i="3"/>
  <c r="BL155" i="3"/>
  <c r="AZ155" i="3" s="1"/>
  <c r="BA162" i="3"/>
  <c r="AZ162" i="3" s="1"/>
  <c r="BA169" i="3"/>
  <c r="AZ169" i="3" s="1"/>
  <c r="BA178" i="3"/>
  <c r="BL205" i="3"/>
  <c r="G206" i="3"/>
  <c r="BA39" i="3"/>
  <c r="BA50" i="3"/>
  <c r="AZ50" i="3" s="1"/>
  <c r="BL52" i="3"/>
  <c r="BA70" i="3"/>
  <c r="BL100" i="3"/>
  <c r="P65" i="71"/>
  <c r="P66" i="71"/>
  <c r="C52" i="71"/>
  <c r="D51" i="71"/>
  <c r="BL445" i="3"/>
  <c r="BL446" i="3"/>
  <c r="AZ446" i="3" s="1"/>
  <c r="BL449" i="3"/>
  <c r="BL450" i="3"/>
  <c r="BL452" i="3"/>
  <c r="G454" i="3"/>
  <c r="BL456" i="3"/>
  <c r="BA464" i="3"/>
  <c r="AZ464" i="3" s="1"/>
  <c r="BA482" i="3"/>
  <c r="BA484" i="3"/>
  <c r="AZ484" i="3" s="1"/>
  <c r="BA303" i="3"/>
  <c r="AZ303" i="3" s="1"/>
  <c r="BL314" i="3"/>
  <c r="AZ314" i="3" s="1"/>
  <c r="G315" i="3"/>
  <c r="BA332" i="3"/>
  <c r="AZ332" i="3" s="1"/>
  <c r="G364" i="3"/>
  <c r="BA370" i="3"/>
  <c r="AZ370" i="3" s="1"/>
  <c r="BA386" i="3"/>
  <c r="AZ386" i="3" s="1"/>
  <c r="BL218" i="3"/>
  <c r="BL220" i="3"/>
  <c r="BL221" i="3"/>
  <c r="G222" i="3"/>
  <c r="BL223" i="3"/>
  <c r="G224" i="3"/>
  <c r="BA227" i="3"/>
  <c r="AZ227" i="3" s="1"/>
  <c r="BA229" i="3"/>
  <c r="AZ229" i="3" s="1"/>
  <c r="BA247" i="3"/>
  <c r="AZ247" i="3" s="1"/>
  <c r="BA249" i="3"/>
  <c r="AZ249" i="3" s="1"/>
  <c r="BA251" i="3"/>
  <c r="BA253" i="3"/>
  <c r="BA290" i="3"/>
  <c r="BL299" i="3"/>
  <c r="BL113" i="3"/>
  <c r="BA118" i="3"/>
  <c r="AZ118" i="3" s="1"/>
  <c r="BA122" i="3"/>
  <c r="AZ122" i="3" s="1"/>
  <c r="BL125" i="3"/>
  <c r="BL126" i="3"/>
  <c r="AZ126" i="3" s="1"/>
  <c r="BL149" i="3"/>
  <c r="AZ149" i="3" s="1"/>
  <c r="BL150" i="3"/>
  <c r="AZ150" i="3" s="1"/>
  <c r="BA164" i="3"/>
  <c r="AZ164" i="3" s="1"/>
  <c r="BA166" i="3"/>
  <c r="AZ166" i="3" s="1"/>
  <c r="BL170" i="3"/>
  <c r="BA176" i="3"/>
  <c r="AZ176" i="3" s="1"/>
  <c r="BL179" i="3"/>
  <c r="AZ179" i="3" s="1"/>
  <c r="BA201" i="3"/>
  <c r="BL24" i="3"/>
  <c r="BA30" i="3"/>
  <c r="BL40" i="3"/>
  <c r="BL41" i="3"/>
  <c r="C64" i="71"/>
  <c r="D64" i="71" s="1"/>
  <c r="D63" i="71"/>
  <c r="BL459" i="3"/>
  <c r="G461" i="3"/>
  <c r="BA465" i="3"/>
  <c r="AZ465" i="3" s="1"/>
  <c r="BA467" i="3"/>
  <c r="BA468" i="3"/>
  <c r="BA477" i="3"/>
  <c r="BA478" i="3"/>
  <c r="AZ478" i="3" s="1"/>
  <c r="BA481" i="3"/>
  <c r="G484" i="3"/>
  <c r="BA488" i="3"/>
  <c r="BA491" i="3"/>
  <c r="BL324" i="3"/>
  <c r="BA339" i="3"/>
  <c r="AZ339" i="3" s="1"/>
  <c r="G343" i="3"/>
  <c r="BA348" i="3"/>
  <c r="BA350" i="3"/>
  <c r="AZ350" i="3" s="1"/>
  <c r="BL385" i="3"/>
  <c r="BA397" i="3"/>
  <c r="BA210" i="3"/>
  <c r="BL225" i="3"/>
  <c r="BL226" i="3"/>
  <c r="G227" i="3"/>
  <c r="BA239" i="3"/>
  <c r="AZ239" i="3" s="1"/>
  <c r="BA241" i="3"/>
  <c r="BA244" i="3"/>
  <c r="BA246" i="3"/>
  <c r="BA252" i="3"/>
  <c r="AZ252" i="3" s="1"/>
  <c r="BA254" i="3"/>
  <c r="AZ254" i="3" s="1"/>
  <c r="BA256" i="3"/>
  <c r="BA258" i="3"/>
  <c r="BA268" i="3"/>
  <c r="BA277" i="3"/>
  <c r="AZ277" i="3" s="1"/>
  <c r="BA282" i="3"/>
  <c r="BA284" i="3"/>
  <c r="AZ284" i="3" s="1"/>
  <c r="BL293" i="3"/>
  <c r="BL294" i="3"/>
  <c r="BL297" i="3"/>
  <c r="BL300" i="3"/>
  <c r="BA117" i="3"/>
  <c r="BL130" i="3"/>
  <c r="BL138" i="3"/>
  <c r="BA142" i="3"/>
  <c r="BA157" i="3"/>
  <c r="AZ157" i="3" s="1"/>
  <c r="BL162" i="3"/>
  <c r="BL165" i="3"/>
  <c r="BL23" i="3"/>
  <c r="BA47" i="3"/>
  <c r="AZ47" i="3" s="1"/>
  <c r="BA67" i="3"/>
  <c r="AZ67" i="3" s="1"/>
  <c r="BL70" i="3"/>
  <c r="BL71" i="3"/>
  <c r="BA77" i="3"/>
  <c r="BL79" i="3"/>
  <c r="D28" i="71"/>
  <c r="U28" i="71" s="1"/>
  <c r="T28" i="71"/>
  <c r="C27" i="71"/>
  <c r="N67" i="71"/>
  <c r="B66" i="71"/>
  <c r="BA349" i="3"/>
  <c r="AZ349" i="3" s="1"/>
  <c r="BL353" i="3"/>
  <c r="BA358" i="3"/>
  <c r="AZ358" i="3" s="1"/>
  <c r="G362" i="3"/>
  <c r="BA368" i="3"/>
  <c r="AZ368" i="3" s="1"/>
  <c r="BA396" i="3"/>
  <c r="BA209" i="3"/>
  <c r="BL228" i="3"/>
  <c r="AZ228" i="3" s="1"/>
  <c r="BA230" i="3"/>
  <c r="AZ230" i="3" s="1"/>
  <c r="BA236" i="3"/>
  <c r="BA238" i="3"/>
  <c r="BA243" i="3"/>
  <c r="AZ243" i="3" s="1"/>
  <c r="BL248" i="3"/>
  <c r="AZ248" i="3" s="1"/>
  <c r="G250" i="3"/>
  <c r="BL250" i="3"/>
  <c r="AZ250" i="3" s="1"/>
  <c r="G252" i="3"/>
  <c r="G254" i="3"/>
  <c r="BA259" i="3"/>
  <c r="AZ259" i="3" s="1"/>
  <c r="BA263" i="3"/>
  <c r="BA267" i="3"/>
  <c r="AZ267" i="3" s="1"/>
  <c r="BA269" i="3"/>
  <c r="AZ269" i="3" s="1"/>
  <c r="BA271" i="3"/>
  <c r="AZ271" i="3" s="1"/>
  <c r="BA274" i="3"/>
  <c r="BA276" i="3"/>
  <c r="BA279" i="3"/>
  <c r="BA281" i="3"/>
  <c r="BL286" i="3"/>
  <c r="AZ286" i="3" s="1"/>
  <c r="G291" i="3"/>
  <c r="BA116" i="3"/>
  <c r="AZ116" i="3" s="1"/>
  <c r="BL121" i="3"/>
  <c r="AZ121" i="3" s="1"/>
  <c r="G144" i="3"/>
  <c r="BA156" i="3"/>
  <c r="AZ156" i="3" s="1"/>
  <c r="BA160" i="3"/>
  <c r="G162" i="3"/>
  <c r="BA174" i="3"/>
  <c r="G190" i="3"/>
  <c r="BA198" i="3"/>
  <c r="AZ198" i="3" s="1"/>
  <c r="BL201" i="3"/>
  <c r="BL203" i="3"/>
  <c r="BA19" i="3"/>
  <c r="G31" i="3"/>
  <c r="BA65" i="3"/>
  <c r="BL86" i="3"/>
  <c r="BL96" i="3"/>
  <c r="AZ103" i="3"/>
  <c r="C47" i="71"/>
  <c r="D47" i="71" s="1"/>
  <c r="D46" i="71"/>
  <c r="C55" i="71"/>
  <c r="D54" i="71"/>
  <c r="C60" i="71"/>
  <c r="D59" i="71"/>
  <c r="G288" i="3"/>
  <c r="BL292" i="3"/>
  <c r="BL295" i="3"/>
  <c r="BA114" i="3"/>
  <c r="BL123" i="3"/>
  <c r="AZ123" i="3" s="1"/>
  <c r="BA153" i="3"/>
  <c r="BL175" i="3"/>
  <c r="AZ175" i="3" s="1"/>
  <c r="BL186" i="3"/>
  <c r="BA197" i="3"/>
  <c r="AZ197" i="3" s="1"/>
  <c r="T40" i="71"/>
  <c r="D40" i="71"/>
  <c r="BA367" i="3"/>
  <c r="AZ367" i="3" s="1"/>
  <c r="BA216" i="3"/>
  <c r="AZ216" i="3" s="1"/>
  <c r="BA218" i="3"/>
  <c r="BL229" i="3"/>
  <c r="BL231" i="3"/>
  <c r="BL233" i="3"/>
  <c r="AZ233" i="3" s="1"/>
  <c r="BL235" i="3"/>
  <c r="AZ235" i="3" s="1"/>
  <c r="BL236" i="3"/>
  <c r="BL238" i="3"/>
  <c r="BL243" i="3"/>
  <c r="BL247" i="3"/>
  <c r="BL249" i="3"/>
  <c r="BL251" i="3"/>
  <c r="BL260" i="3"/>
  <c r="G262" i="3"/>
  <c r="BL263" i="3"/>
  <c r="G264" i="3"/>
  <c r="BL270" i="3"/>
  <c r="BA272" i="3"/>
  <c r="AZ272" i="3" s="1"/>
  <c r="BL275" i="3"/>
  <c r="AZ275" i="3" s="1"/>
  <c r="G277" i="3"/>
  <c r="G280" i="3"/>
  <c r="BL285" i="3"/>
  <c r="BL287" i="3"/>
  <c r="BL115" i="3"/>
  <c r="AZ115" i="3" s="1"/>
  <c r="BL118" i="3"/>
  <c r="BA152" i="3"/>
  <c r="AZ152" i="3" s="1"/>
  <c r="BA154" i="3"/>
  <c r="AZ154" i="3" s="1"/>
  <c r="BA181" i="3"/>
  <c r="AZ181" i="3" s="1"/>
  <c r="BA182" i="3"/>
  <c r="AZ182" i="3" s="1"/>
  <c r="BL185" i="3"/>
  <c r="G186" i="3"/>
  <c r="BA193" i="3"/>
  <c r="BA196" i="3"/>
  <c r="AZ196" i="3" s="1"/>
  <c r="G29" i="3"/>
  <c r="BL29" i="3"/>
  <c r="BA62" i="3"/>
  <c r="AZ62" i="3" s="1"/>
  <c r="BL65" i="3"/>
  <c r="BL66" i="3"/>
  <c r="BL76" i="3"/>
  <c r="BL93" i="3"/>
  <c r="BL103" i="3"/>
  <c r="BA109" i="3"/>
  <c r="C31" i="71"/>
  <c r="D30" i="71"/>
  <c r="F66" i="71"/>
  <c r="Q67" i="71"/>
  <c r="BA366" i="3"/>
  <c r="AZ366" i="3" s="1"/>
  <c r="BL375" i="3"/>
  <c r="AZ375" i="3" s="1"/>
  <c r="BL397" i="3"/>
  <c r="BL210" i="3"/>
  <c r="BL212" i="3"/>
  <c r="BL214" i="3"/>
  <c r="AZ214" i="3" s="1"/>
  <c r="BL239" i="3"/>
  <c r="BL241" i="3"/>
  <c r="BL244" i="3"/>
  <c r="BL256" i="3"/>
  <c r="BL264" i="3"/>
  <c r="BL266" i="3"/>
  <c r="BL273" i="3"/>
  <c r="AZ273" i="3" s="1"/>
  <c r="G274" i="3"/>
  <c r="BL277" i="3"/>
  <c r="BL282" i="3"/>
  <c r="BA297" i="3"/>
  <c r="AZ297" i="3" s="1"/>
  <c r="BA302" i="3"/>
  <c r="AZ302" i="3" s="1"/>
  <c r="G115" i="3"/>
  <c r="BA130" i="3"/>
  <c r="BA137" i="3"/>
  <c r="BA140" i="3"/>
  <c r="G154" i="3"/>
  <c r="G156" i="3"/>
  <c r="BL173" i="3"/>
  <c r="AZ173" i="3" s="1"/>
  <c r="BL183" i="3"/>
  <c r="BA192" i="3"/>
  <c r="AZ192" i="3" s="1"/>
  <c r="BL197" i="3"/>
  <c r="G198" i="3"/>
  <c r="BA33" i="3"/>
  <c r="BL35" i="3"/>
  <c r="BL199" i="3"/>
  <c r="AZ199" i="3" s="1"/>
  <c r="BA20" i="3"/>
  <c r="AZ20" i="3" s="1"/>
  <c r="BL25" i="3"/>
  <c r="AZ25" i="3" s="1"/>
  <c r="BL27" i="3"/>
  <c r="BA38" i="3"/>
  <c r="BA41" i="3"/>
  <c r="BA42" i="3"/>
  <c r="G46" i="3"/>
  <c r="G47" i="3"/>
  <c r="BL48" i="3"/>
  <c r="BA59" i="3"/>
  <c r="AZ59" i="3" s="1"/>
  <c r="G61" i="3"/>
  <c r="BL61" i="3"/>
  <c r="G64" i="3"/>
  <c r="G67" i="3"/>
  <c r="BL68" i="3"/>
  <c r="G72" i="3"/>
  <c r="BL73" i="3"/>
  <c r="G81" i="3"/>
  <c r="BA86" i="3"/>
  <c r="AZ86" i="3" s="1"/>
  <c r="BA87" i="3"/>
  <c r="BA91" i="3"/>
  <c r="AZ91" i="3" s="1"/>
  <c r="BA108" i="3"/>
  <c r="AZ108" i="3" s="1"/>
  <c r="BA110" i="3"/>
  <c r="AZ110" i="3" s="1"/>
  <c r="S21" i="37"/>
  <c r="B77" i="43"/>
  <c r="AA18" i="35"/>
  <c r="D71" i="71"/>
  <c r="AA28" i="71"/>
  <c r="E79" i="71"/>
  <c r="E78" i="71" s="1"/>
  <c r="AB25" i="71"/>
  <c r="C43" i="71"/>
  <c r="C35" i="71"/>
  <c r="AB32" i="71"/>
  <c r="X33" i="71"/>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BA57" i="3"/>
  <c r="BL58" i="3"/>
  <c r="AZ58" i="3" s="1"/>
  <c r="G60" i="3"/>
  <c r="BA84" i="3"/>
  <c r="AZ84" i="3" s="1"/>
  <c r="BL88" i="3"/>
  <c r="AZ88" i="3" s="1"/>
  <c r="G90" i="3"/>
  <c r="BL90" i="3"/>
  <c r="BL92" i="3"/>
  <c r="BA101" i="3"/>
  <c r="G108" i="3"/>
  <c r="G109" i="3"/>
  <c r="BL112" i="3"/>
  <c r="AC21" i="33"/>
  <c r="W18" i="35"/>
  <c r="S21" i="34"/>
  <c r="B88" i="43"/>
  <c r="D39" i="71"/>
  <c r="D62" i="71"/>
  <c r="U68" i="71"/>
  <c r="Y27" i="71"/>
  <c r="Z27" i="71" s="1"/>
  <c r="X31" i="71"/>
  <c r="AA34" i="71"/>
  <c r="B51" i="71"/>
  <c r="B52" i="71" s="1"/>
  <c r="S52" i="71" s="1"/>
  <c r="V68" i="71"/>
  <c r="G143" i="3"/>
  <c r="G175" i="3"/>
  <c r="G176" i="3"/>
  <c r="BL178" i="3"/>
  <c r="BA185" i="3"/>
  <c r="AZ185" i="3" s="1"/>
  <c r="BL191" i="3"/>
  <c r="AZ191" i="3" s="1"/>
  <c r="G192" i="3"/>
  <c r="BA205" i="3"/>
  <c r="AZ205" i="3" s="1"/>
  <c r="G20" i="3"/>
  <c r="BL20" i="3"/>
  <c r="BA29" i="3"/>
  <c r="AZ29" i="3" s="1"/>
  <c r="BA36" i="3"/>
  <c r="BL38" i="3"/>
  <c r="AZ38" i="3" s="1"/>
  <c r="BA52" i="3"/>
  <c r="BA53" i="3"/>
  <c r="AZ53" i="3" s="1"/>
  <c r="BA54" i="3"/>
  <c r="BL57" i="3"/>
  <c r="BA82" i="3"/>
  <c r="AZ82" i="3" s="1"/>
  <c r="G86" i="3"/>
  <c r="G87" i="3"/>
  <c r="BL94" i="3"/>
  <c r="AZ94" i="3" s="1"/>
  <c r="BA100" i="3"/>
  <c r="AZ100" i="3" s="1"/>
  <c r="BA102" i="3"/>
  <c r="BL105" i="3"/>
  <c r="AZ105" i="3" s="1"/>
  <c r="G107" i="3"/>
  <c r="BL107" i="3"/>
  <c r="K13" i="1"/>
  <c r="M13" i="1" s="1"/>
  <c r="O13" i="1" s="1"/>
  <c r="P13" i="1" s="1"/>
  <c r="AC21" i="21"/>
  <c r="AC21" i="37"/>
  <c r="S18" i="36"/>
  <c r="Y26" i="71"/>
  <c r="Z26" i="71" s="1"/>
  <c r="X36" i="71"/>
  <c r="AA30" i="71"/>
  <c r="AB34" i="71"/>
  <c r="AB31" i="71"/>
  <c r="AA36" i="71"/>
  <c r="B48" i="71"/>
  <c r="S48" i="71" s="1"/>
  <c r="BL171" i="3"/>
  <c r="AZ171" i="3" s="1"/>
  <c r="G174" i="3"/>
  <c r="BA184" i="3"/>
  <c r="AZ184" i="3" s="1"/>
  <c r="BL187" i="3"/>
  <c r="G188" i="3"/>
  <c r="BL189" i="3"/>
  <c r="AZ189" i="3" s="1"/>
  <c r="BL190" i="3"/>
  <c r="G191" i="3"/>
  <c r="BA200" i="3"/>
  <c r="AZ200" i="3" s="1"/>
  <c r="BA202" i="3"/>
  <c r="BL207" i="3"/>
  <c r="BL18" i="3"/>
  <c r="G19" i="3"/>
  <c r="BL19" i="3"/>
  <c r="BA28" i="3"/>
  <c r="AZ28" i="3" s="1"/>
  <c r="BA31" i="3"/>
  <c r="BA32" i="3"/>
  <c r="BL54" i="3"/>
  <c r="BL55" i="3"/>
  <c r="AZ55" i="3" s="1"/>
  <c r="G57" i="3"/>
  <c r="BA64" i="3"/>
  <c r="AZ64" i="3" s="1"/>
  <c r="BA69" i="3"/>
  <c r="AZ69" i="3" s="1"/>
  <c r="BA74" i="3"/>
  <c r="AZ74" i="3" s="1"/>
  <c r="BA75" i="3"/>
  <c r="AZ75" i="3" s="1"/>
  <c r="G85" i="3"/>
  <c r="BL85" i="3"/>
  <c r="G96" i="3"/>
  <c r="BL97" i="3"/>
  <c r="AZ97" i="3" s="1"/>
  <c r="BL101" i="3"/>
  <c r="BL102" i="3"/>
  <c r="G104" i="3"/>
  <c r="BL106" i="3"/>
  <c r="F3" i="35"/>
  <c r="W29" i="39"/>
  <c r="O67" i="71"/>
  <c r="AB27" i="71"/>
  <c r="X26" i="71"/>
  <c r="Y25" i="71"/>
  <c r="Z25" i="71" s="1"/>
  <c r="Y29" i="71"/>
  <c r="Z29" i="71" s="1"/>
  <c r="E38" i="71"/>
  <c r="E39" i="71" s="1"/>
  <c r="E40" i="71" s="1"/>
  <c r="U40" i="71" s="1"/>
  <c r="AB37" i="71"/>
  <c r="BL206" i="3"/>
  <c r="BA27" i="3"/>
  <c r="G30" i="3"/>
  <c r="BL30" i="3"/>
  <c r="BL31" i="3"/>
  <c r="G35" i="3"/>
  <c r="G36" i="3"/>
  <c r="BA48" i="3"/>
  <c r="AZ48" i="3" s="1"/>
  <c r="BA49" i="3"/>
  <c r="BA51" i="3"/>
  <c r="G54" i="3"/>
  <c r="BL56" i="3"/>
  <c r="AZ56" i="3" s="1"/>
  <c r="BA61" i="3"/>
  <c r="AZ61" i="3" s="1"/>
  <c r="BA68" i="3"/>
  <c r="AZ68" i="3" s="1"/>
  <c r="BA73" i="3"/>
  <c r="AZ73" i="3" s="1"/>
  <c r="BA80" i="3"/>
  <c r="BL84" i="3"/>
  <c r="G99" i="3"/>
  <c r="U29" i="39"/>
  <c r="C29" i="39"/>
  <c r="C66" i="71"/>
  <c r="C83" i="71"/>
  <c r="X25" i="71"/>
  <c r="X35" i="71"/>
  <c r="X32" i="71"/>
  <c r="F38" i="71"/>
  <c r="F39" i="71" s="1"/>
  <c r="F40" i="71" s="1"/>
  <c r="V40" i="71" s="1"/>
  <c r="AA39" i="71"/>
  <c r="BA45" i="3"/>
  <c r="AZ45" i="3" s="1"/>
  <c r="BA46" i="3"/>
  <c r="AZ46" i="3" s="1"/>
  <c r="BL49" i="3"/>
  <c r="BL50" i="3"/>
  <c r="BL51" i="3"/>
  <c r="G53" i="3"/>
  <c r="BL53" i="3"/>
  <c r="BA60" i="3"/>
  <c r="BA63" i="3"/>
  <c r="AZ63" i="3" s="1"/>
  <c r="BA66" i="3"/>
  <c r="AZ66" i="3" s="1"/>
  <c r="BA71" i="3"/>
  <c r="AZ71" i="3" s="1"/>
  <c r="G76" i="3"/>
  <c r="BL77" i="3"/>
  <c r="BA79" i="3"/>
  <c r="AZ79" i="3" s="1"/>
  <c r="G82" i="3"/>
  <c r="G83" i="3"/>
  <c r="U25" i="40"/>
  <c r="B68" i="43"/>
  <c r="X34" i="71"/>
  <c r="B44" i="71"/>
  <c r="S44" i="71" s="1"/>
  <c r="BL72" i="3"/>
  <c r="AZ72" i="3" s="1"/>
  <c r="BL75" i="3"/>
  <c r="BL81" i="3"/>
  <c r="BL83" i="3"/>
  <c r="BA90" i="3"/>
  <c r="AZ90" i="3" s="1"/>
  <c r="BA111" i="3"/>
  <c r="AZ111" i="3" s="1"/>
  <c r="B57" i="43"/>
  <c r="AB33" i="71"/>
  <c r="E35" i="71"/>
  <c r="E36" i="71" s="1"/>
  <c r="U36" i="71" s="1"/>
  <c r="AB36" i="71"/>
  <c r="B64" i="71"/>
  <c r="S64"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68" i="3"/>
  <c r="AZ470" i="3"/>
  <c r="W35" i="39"/>
  <c r="F27" i="34"/>
  <c r="C21" i="39"/>
  <c r="U9" i="36"/>
  <c r="U14" i="37"/>
  <c r="H12" i="21"/>
  <c r="G526" i="3"/>
  <c r="AZ424" i="3"/>
  <c r="AZ434" i="3"/>
  <c r="AZ436" i="3"/>
  <c r="AZ438" i="3"/>
  <c r="AZ450" i="3"/>
  <c r="G28" i="6"/>
  <c r="U26" i="21"/>
  <c r="W36" i="39"/>
  <c r="U23" i="40"/>
  <c r="AA39" i="37"/>
  <c r="AC16" i="36"/>
  <c r="AB12" i="33"/>
  <c r="C27" i="39"/>
  <c r="U40" i="40"/>
  <c r="AC9" i="40"/>
  <c r="J12" i="21"/>
  <c r="B73" i="43"/>
  <c r="B76" i="43"/>
  <c r="F9" i="36"/>
  <c r="J40" i="40"/>
  <c r="G562" i="3"/>
  <c r="AZ426" i="3"/>
  <c r="AZ485"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G483" i="3"/>
  <c r="BL485" i="3"/>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40"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F50" i="15"/>
  <c r="F51" i="15"/>
  <c r="L59" i="15"/>
  <c r="N59" i="15"/>
  <c r="L58" i="15"/>
  <c r="M59" i="15"/>
  <c r="F66" i="15"/>
  <c r="Q71" i="67"/>
  <c r="F64" i="15"/>
  <c r="C27" i="15"/>
  <c r="F65" i="15"/>
  <c r="B13" i="70"/>
  <c r="F68" i="15"/>
  <c r="C36" i="68"/>
  <c r="D9" i="69"/>
  <c r="C36" i="69"/>
  <c r="D9" i="68"/>
  <c r="L48" i="67"/>
  <c r="M8" i="67"/>
  <c r="F6" i="67"/>
  <c r="M9" i="15"/>
  <c r="D5" i="73"/>
  <c r="M29" i="67"/>
  <c r="L47" i="67"/>
  <c r="M24" i="67"/>
  <c r="D7" i="73"/>
  <c r="F36" i="67"/>
  <c r="M26" i="67"/>
  <c r="F26" i="67"/>
  <c r="F43" i="67"/>
  <c r="F43" i="15"/>
  <c r="M9" i="67"/>
  <c r="J15" i="67"/>
  <c r="M28" i="67"/>
  <c r="M22" i="67"/>
  <c r="F38" i="67"/>
  <c r="D3" i="73"/>
  <c r="F37" i="67"/>
  <c r="F42" i="67"/>
  <c r="M6" i="67"/>
  <c r="F16" i="67"/>
  <c r="F6" i="15"/>
  <c r="F7" i="67"/>
  <c r="F13" i="67"/>
  <c r="F40" i="67"/>
  <c r="M23" i="67"/>
  <c r="D4" i="73"/>
  <c r="C16" i="15"/>
  <c r="AC15" i="34" l="1"/>
  <c r="S9" i="34"/>
  <c r="C24" i="43"/>
  <c r="E18" i="43"/>
  <c r="G18" i="43" s="1"/>
  <c r="E17" i="43" s="1"/>
  <c r="C17" i="43" s="1"/>
  <c r="D5" i="43" s="1"/>
  <c r="AC41" i="39"/>
  <c r="U25" i="39"/>
  <c r="C30" i="69"/>
  <c r="C48" i="69"/>
  <c r="C30" i="68"/>
  <c r="C48" i="68"/>
  <c r="E11" i="6"/>
  <c r="E60" i="39" s="1"/>
  <c r="E15" i="6"/>
  <c r="E64" i="39" s="1"/>
  <c r="F26" i="43"/>
  <c r="H26" i="43"/>
  <c r="N370" i="46"/>
  <c r="P6" i="1"/>
  <c r="C13" i="12" s="1"/>
  <c r="E26" i="43"/>
  <c r="G26" i="43"/>
  <c r="E13" i="6"/>
  <c r="E62" i="39" s="1"/>
  <c r="N94" i="46"/>
  <c r="E10" i="6"/>
  <c r="E28" i="6"/>
  <c r="K14" i="1" s="1"/>
  <c r="M14" i="1" s="1"/>
  <c r="F68" i="67"/>
  <c r="F64" i="67"/>
  <c r="F71" i="15"/>
  <c r="F66" i="67"/>
  <c r="C6" i="15"/>
  <c r="C32" i="15" s="1"/>
  <c r="F31" i="15"/>
  <c r="F65" i="67"/>
  <c r="C27" i="67"/>
  <c r="J53" i="67"/>
  <c r="F1" i="67" s="1"/>
  <c r="L56" i="67"/>
  <c r="I54" i="67"/>
  <c r="J57" i="67"/>
  <c r="J55" i="67" s="1"/>
  <c r="J58" i="67" s="1"/>
  <c r="Q50" i="67" s="1"/>
  <c r="C6" i="67"/>
  <c r="C32" i="67" s="1"/>
  <c r="F31" i="67"/>
  <c r="N59" i="67"/>
  <c r="L58" i="67"/>
  <c r="Q73" i="67" s="1"/>
  <c r="M59" i="67"/>
  <c r="L59" i="67"/>
  <c r="Q61" i="67" s="1"/>
  <c r="F50" i="67"/>
  <c r="C49" i="67" s="1"/>
  <c r="M7" i="67"/>
  <c r="J6" i="67" s="1"/>
  <c r="J18" i="67" s="1"/>
  <c r="F71" i="67"/>
  <c r="E29" i="6"/>
  <c r="K15" i="1" s="1"/>
  <c r="G30" i="6"/>
  <c r="G31" i="6" s="1"/>
  <c r="AZ37" i="3"/>
  <c r="AZ292" i="3"/>
  <c r="D83" i="71"/>
  <c r="C82" i="71"/>
  <c r="D82" i="71" s="1"/>
  <c r="AZ190" i="3"/>
  <c r="AZ274" i="3"/>
  <c r="AZ241" i="3"/>
  <c r="AZ433" i="3"/>
  <c r="S12" i="39"/>
  <c r="AA12" i="39"/>
  <c r="AA23" i="36"/>
  <c r="S23" i="36"/>
  <c r="AC38" i="37"/>
  <c r="W38" i="37"/>
  <c r="U9" i="34"/>
  <c r="AB9" i="34"/>
  <c r="U40" i="37"/>
  <c r="AB40" i="37"/>
  <c r="AA14" i="34"/>
  <c r="S14" i="34"/>
  <c r="O65" i="71"/>
  <c r="O66" i="71"/>
  <c r="D66" i="71"/>
  <c r="C36" i="71"/>
  <c r="D35" i="71"/>
  <c r="C26" i="71"/>
  <c r="D26" i="71" s="1"/>
  <c r="D27" i="71"/>
  <c r="W12" i="39"/>
  <c r="AC12" i="39"/>
  <c r="AC23" i="36"/>
  <c r="W23" i="36"/>
  <c r="AC9" i="34"/>
  <c r="W9" i="34"/>
  <c r="W40" i="37"/>
  <c r="AC40" i="37"/>
  <c r="W12" i="37"/>
  <c r="AC12" i="37"/>
  <c r="W14" i="34"/>
  <c r="AC14" i="34"/>
  <c r="D121" i="9"/>
  <c r="D7" i="52" s="1"/>
  <c r="D6" i="52"/>
  <c r="E12" i="6"/>
  <c r="E57" i="40" s="1"/>
  <c r="W36" i="35"/>
  <c r="C44" i="71"/>
  <c r="D43" i="71"/>
  <c r="AZ39" i="3"/>
  <c r="AA37" i="39"/>
  <c r="S37" i="39"/>
  <c r="AB23" i="36"/>
  <c r="U23" i="36"/>
  <c r="AA33" i="36"/>
  <c r="S33" i="36"/>
  <c r="S45" i="39"/>
  <c r="AA45" i="39"/>
  <c r="AC35" i="35"/>
  <c r="W35" i="35"/>
  <c r="U29" i="33"/>
  <c r="AB29" i="33"/>
  <c r="AZ476" i="3"/>
  <c r="AB33" i="36"/>
  <c r="U33" i="36"/>
  <c r="J6" i="15"/>
  <c r="J18" i="15" s="1"/>
  <c r="T64" i="71"/>
  <c r="AZ76" i="3"/>
  <c r="AZ101" i="3"/>
  <c r="AZ57" i="3"/>
  <c r="AZ256" i="3"/>
  <c r="T52" i="71"/>
  <c r="D52" i="71"/>
  <c r="AZ454" i="3"/>
  <c r="AZ415" i="3"/>
  <c r="AZ401" i="3"/>
  <c r="AC37" i="39"/>
  <c r="W37" i="39"/>
  <c r="AB14" i="21"/>
  <c r="U14" i="21"/>
  <c r="AB45" i="39"/>
  <c r="U45" i="39"/>
  <c r="S29" i="33"/>
  <c r="AA29" i="33"/>
  <c r="Q16" i="1"/>
  <c r="F27" i="69" s="1"/>
  <c r="C47" i="69" s="1"/>
  <c r="D45" i="69" s="1"/>
  <c r="AZ268" i="3"/>
  <c r="AZ51" i="3"/>
  <c r="AZ41" i="3"/>
  <c r="AZ137" i="3"/>
  <c r="D31" i="71"/>
  <c r="C32" i="71"/>
  <c r="AZ263" i="3"/>
  <c r="AZ238" i="3"/>
  <c r="AZ414" i="3"/>
  <c r="AC12" i="36"/>
  <c r="W12" i="36"/>
  <c r="AB12" i="34"/>
  <c r="U12" i="34"/>
  <c r="W14" i="21"/>
  <c r="AC14" i="21"/>
  <c r="W12" i="35"/>
  <c r="AC12" i="35"/>
  <c r="H16" i="1"/>
  <c r="AZ296" i="3"/>
  <c r="AZ287" i="3"/>
  <c r="AZ209" i="3"/>
  <c r="AZ49" i="3"/>
  <c r="AZ102" i="3"/>
  <c r="AZ130" i="3"/>
  <c r="AZ218" i="3"/>
  <c r="T60" i="71"/>
  <c r="D60" i="71"/>
  <c r="AZ65" i="3"/>
  <c r="AZ77" i="3"/>
  <c r="AZ210" i="3"/>
  <c r="AZ491" i="3"/>
  <c r="AZ178" i="3"/>
  <c r="AZ408" i="3"/>
  <c r="AZ480" i="3"/>
  <c r="AB24" i="36"/>
  <c r="U24" i="36"/>
  <c r="W12" i="34"/>
  <c r="AC12" i="34"/>
  <c r="AC27" i="37"/>
  <c r="W27" i="37"/>
  <c r="U12" i="35"/>
  <c r="AB12" i="35"/>
  <c r="E14" i="6"/>
  <c r="AZ170" i="3"/>
  <c r="AZ285" i="3"/>
  <c r="AZ396" i="3"/>
  <c r="AZ52" i="3"/>
  <c r="AZ27" i="3"/>
  <c r="AZ397" i="3"/>
  <c r="AZ488" i="3"/>
  <c r="AZ201" i="3"/>
  <c r="AZ251" i="3"/>
  <c r="AZ223" i="3"/>
  <c r="AZ353" i="3"/>
  <c r="S12" i="36"/>
  <c r="AA12" i="36"/>
  <c r="AA27" i="21"/>
  <c r="S27" i="21"/>
  <c r="S36" i="39"/>
  <c r="AA36" i="39"/>
  <c r="AZ566" i="3"/>
  <c r="AA46" i="21"/>
  <c r="S46" i="21"/>
  <c r="J7" i="36"/>
  <c r="AC7" i="36" s="1"/>
  <c r="V36" i="36" s="1"/>
  <c r="I36" i="36" s="1"/>
  <c r="J7" i="37"/>
  <c r="G16" i="1"/>
  <c r="F10" i="39" s="1"/>
  <c r="AA10" i="39" s="1"/>
  <c r="AZ112" i="3"/>
  <c r="G5" i="3"/>
  <c r="B3" i="3" s="1"/>
  <c r="E442" i="3" s="1"/>
  <c r="AZ36" i="3"/>
  <c r="AZ5" i="3" s="1"/>
  <c r="AZ295" i="3"/>
  <c r="AZ482" i="3"/>
  <c r="AZ348" i="3"/>
  <c r="AZ31" i="3"/>
  <c r="C56" i="71"/>
  <c r="D55" i="71"/>
  <c r="AZ19" i="3"/>
  <c r="N65" i="71"/>
  <c r="N66" i="71"/>
  <c r="AZ282" i="3"/>
  <c r="AZ244" i="3"/>
  <c r="AZ70" i="3"/>
  <c r="AZ435" i="3"/>
  <c r="AB46" i="34"/>
  <c r="U46" i="34"/>
  <c r="W27" i="21"/>
  <c r="AC27" i="21"/>
  <c r="AC9" i="36"/>
  <c r="W9" i="36"/>
  <c r="AZ550" i="3"/>
  <c r="U36" i="39"/>
  <c r="AB36" i="39"/>
  <c r="U38" i="37"/>
  <c r="AB38" i="37"/>
  <c r="AB14" i="34"/>
  <c r="U14" i="34"/>
  <c r="U46" i="21"/>
  <c r="AB46" i="21"/>
  <c r="K1" i="73"/>
  <c r="E174" i="3"/>
  <c r="E356" i="3"/>
  <c r="E324" i="3"/>
  <c r="AH6" i="3"/>
  <c r="E463" i="3"/>
  <c r="E123" i="3"/>
  <c r="E138" i="3"/>
  <c r="E48" i="3"/>
  <c r="E163" i="3"/>
  <c r="E66" i="3"/>
  <c r="E224" i="3"/>
  <c r="E93" i="3"/>
  <c r="E319" i="3"/>
  <c r="E523" i="3"/>
  <c r="E321" i="3"/>
  <c r="E280" i="3"/>
  <c r="E481" i="3"/>
  <c r="E429" i="3"/>
  <c r="E334" i="3"/>
  <c r="E366" i="3"/>
  <c r="E294" i="3"/>
  <c r="E382" i="3"/>
  <c r="E336" i="3"/>
  <c r="E519" i="3"/>
  <c r="E31" i="3"/>
  <c r="AS6" i="3"/>
  <c r="E530" i="3"/>
  <c r="E343" i="3"/>
  <c r="E533" i="3"/>
  <c r="AR6" i="3"/>
  <c r="E503" i="3"/>
  <c r="E347" i="3"/>
  <c r="K6" i="3"/>
  <c r="E560" i="3"/>
  <c r="E146" i="3"/>
  <c r="E315" i="3"/>
  <c r="AO6" i="3"/>
  <c r="E273" i="3"/>
  <c r="E509" i="3"/>
  <c r="E247" i="3"/>
  <c r="E215" i="3"/>
  <c r="E189" i="3"/>
  <c r="E191" i="3"/>
  <c r="E263" i="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56" i="40"/>
  <c r="C9" i="69"/>
  <c r="C9" i="68"/>
  <c r="E72" i="43"/>
  <c r="B70" i="43" s="1"/>
  <c r="E60" i="40"/>
  <c r="F31" i="6"/>
  <c r="E51" i="40"/>
  <c r="E58" i="40"/>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C16" i="67"/>
  <c r="AE6" i="1"/>
  <c r="F41" i="67"/>
  <c r="G1" i="73"/>
  <c r="T49" i="34" l="1"/>
  <c r="G49" i="34" s="1"/>
  <c r="E318" i="3"/>
  <c r="E448" i="3"/>
  <c r="E317" i="3"/>
  <c r="E58" i="3"/>
  <c r="E391" i="3"/>
  <c r="E275" i="3"/>
  <c r="E485" i="3"/>
  <c r="E528" i="3"/>
  <c r="E458" i="3"/>
  <c r="E252" i="3"/>
  <c r="E207" i="3"/>
  <c r="E460" i="3"/>
  <c r="E491" i="3"/>
  <c r="E119" i="3"/>
  <c r="E211" i="3"/>
  <c r="E399" i="3"/>
  <c r="E505" i="3"/>
  <c r="E551" i="3"/>
  <c r="E303" i="3"/>
  <c r="E136" i="3"/>
  <c r="E392" i="3"/>
  <c r="E199" i="3"/>
  <c r="E575" i="3"/>
  <c r="E417" i="3"/>
  <c r="E409" i="3"/>
  <c r="E67" i="3"/>
  <c r="E198" i="3"/>
  <c r="E235" i="3"/>
  <c r="E140" i="3"/>
  <c r="E451" i="3"/>
  <c r="E115" i="3"/>
  <c r="E342" i="3"/>
  <c r="E83" i="3"/>
  <c r="E493" i="3"/>
  <c r="E490" i="3"/>
  <c r="E40" i="3"/>
  <c r="E333" i="3"/>
  <c r="E455" i="3"/>
  <c r="E339" i="3"/>
  <c r="E147" i="3"/>
  <c r="E218" i="3"/>
  <c r="E398" i="3"/>
  <c r="E65" i="3"/>
  <c r="E421" i="3"/>
  <c r="E209" i="3"/>
  <c r="E582" i="3"/>
  <c r="E373" i="3"/>
  <c r="Y6" i="3"/>
  <c r="E167" i="3"/>
  <c r="E122" i="3"/>
  <c r="E532" i="3"/>
  <c r="E475" i="3"/>
  <c r="E397" i="3"/>
  <c r="E432" i="3"/>
  <c r="E502" i="3"/>
  <c r="E37" i="3"/>
  <c r="E467" i="3"/>
  <c r="E184" i="3"/>
  <c r="E332" i="3"/>
  <c r="E86" i="3"/>
  <c r="E197" i="3"/>
  <c r="E556" i="3"/>
  <c r="E243"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430" i="3"/>
  <c r="E258" i="3"/>
  <c r="E160" i="3"/>
  <c r="E68" i="3"/>
  <c r="AL6" i="3"/>
  <c r="E251" i="3"/>
  <c r="T6" i="3"/>
  <c r="E452" i="3"/>
  <c r="E428"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449" i="3"/>
  <c r="E241" i="3"/>
  <c r="E267" i="3"/>
  <c r="E63" i="3"/>
  <c r="E482" i="3"/>
  <c r="AF6" i="3"/>
  <c r="E405" i="3"/>
  <c r="E470" i="3"/>
  <c r="E412"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54" i="3"/>
  <c r="E389" i="3"/>
  <c r="E309" i="3"/>
  <c r="E129" i="3"/>
  <c r="E308" i="3"/>
  <c r="E512" i="3"/>
  <c r="E26" i="3"/>
  <c r="E220" i="3"/>
  <c r="E158" i="3"/>
  <c r="E105" i="3"/>
  <c r="E422" i="3"/>
  <c r="E401" i="3"/>
  <c r="E276" i="3"/>
  <c r="E473" i="3"/>
  <c r="E234" i="3"/>
  <c r="E112" i="3"/>
  <c r="E539" i="3"/>
  <c r="AP6" i="3"/>
  <c r="E349" i="3"/>
  <c r="E371" i="3"/>
  <c r="E283" i="3"/>
  <c r="E18" i="3"/>
  <c r="E102" i="3"/>
  <c r="E469" i="3"/>
  <c r="E420"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585" i="3"/>
  <c r="E447" i="3"/>
  <c r="E441" i="3"/>
  <c r="E410" i="3"/>
  <c r="E439" i="3"/>
  <c r="E361" i="3"/>
  <c r="E495" i="3"/>
  <c r="AK6" i="3"/>
  <c r="E465" i="3"/>
  <c r="E214" i="3"/>
  <c r="E327" i="3"/>
  <c r="E489" i="3"/>
  <c r="E109" i="3"/>
  <c r="E431" i="3"/>
  <c r="E387" i="3"/>
  <c r="E445" i="3"/>
  <c r="E385" i="3"/>
  <c r="E296" i="3"/>
  <c r="E369" i="3"/>
  <c r="E139" i="3"/>
  <c r="E536" i="3"/>
  <c r="E310" i="3"/>
  <c r="E248" i="3"/>
  <c r="E148" i="3"/>
  <c r="E135" i="3"/>
  <c r="E335" i="3"/>
  <c r="AJ6" i="3"/>
  <c r="E182" i="3"/>
  <c r="Z6" i="3"/>
  <c r="E106" i="3"/>
  <c r="E133" i="3"/>
  <c r="E124" i="3"/>
  <c r="E261" i="3"/>
  <c r="E270" i="3"/>
  <c r="E175" i="3"/>
  <c r="E414" i="3"/>
  <c r="E150" i="3"/>
  <c r="E193" i="3"/>
  <c r="E61" i="3"/>
  <c r="E358" i="3"/>
  <c r="E295" i="3"/>
  <c r="I6" i="3"/>
  <c r="Q6" i="3"/>
  <c r="E254" i="3"/>
  <c r="E390" i="3"/>
  <c r="E272" i="3"/>
  <c r="E14" i="3"/>
  <c r="E82" i="3"/>
  <c r="E374" i="3"/>
  <c r="E446" i="3"/>
  <c r="E552" i="3"/>
  <c r="E299" i="3"/>
  <c r="E440" i="3"/>
  <c r="E41" i="3"/>
  <c r="E494" i="3"/>
  <c r="E286" i="3"/>
  <c r="E200" i="3"/>
  <c r="E161" i="3"/>
  <c r="M6" i="3"/>
  <c r="E322" i="3"/>
  <c r="E70" i="3"/>
  <c r="E89" i="3"/>
  <c r="E454" i="3"/>
  <c r="E277" i="3"/>
  <c r="E350" i="3"/>
  <c r="E185" i="3"/>
  <c r="E143" i="3"/>
  <c r="E384" i="3"/>
  <c r="E478" i="3"/>
  <c r="E111" i="3"/>
  <c r="E45" i="3"/>
  <c r="E290" i="3"/>
  <c r="E151" i="3"/>
  <c r="E166" i="3"/>
  <c r="E32" i="3"/>
  <c r="E330" i="3"/>
  <c r="E221" i="3"/>
  <c r="E97" i="3"/>
  <c r="E126" i="3"/>
  <c r="E168" i="3"/>
  <c r="E127" i="3"/>
  <c r="E341" i="3"/>
  <c r="E500" i="3"/>
  <c r="E141" i="3"/>
  <c r="E38" i="3"/>
  <c r="E543" i="3"/>
  <c r="E497" i="3"/>
  <c r="E233" i="3"/>
  <c r="E100" i="3"/>
  <c r="E535" i="3"/>
  <c r="E570" i="3"/>
  <c r="E268" i="3"/>
  <c r="E28" i="3"/>
  <c r="E368" i="3"/>
  <c r="E468" i="3"/>
  <c r="E228" i="3"/>
  <c r="E301" i="3"/>
  <c r="E216" i="3"/>
  <c r="E337" i="3"/>
  <c r="E331" i="3"/>
  <c r="E515" i="3"/>
  <c r="E433" i="3"/>
  <c r="E314" i="3"/>
  <c r="E117" i="3"/>
  <c r="E229" i="3"/>
  <c r="E121" i="3"/>
  <c r="E580" i="3"/>
  <c r="E177" i="3"/>
  <c r="E302" i="3"/>
  <c r="E285" i="3"/>
  <c r="E92" i="3"/>
  <c r="E471" i="3"/>
  <c r="E187" i="3"/>
  <c r="E584" i="3"/>
  <c r="E312" i="3"/>
  <c r="E365" i="3"/>
  <c r="E15" i="3"/>
  <c r="E393" i="3"/>
  <c r="E408" i="3"/>
  <c r="E84" i="3"/>
  <c r="E378" i="3"/>
  <c r="E142" i="3"/>
  <c r="E131" i="3"/>
  <c r="E94" i="3"/>
  <c r="E219" i="3"/>
  <c r="X6" i="3"/>
  <c r="E563" i="3"/>
  <c r="E514" i="3"/>
  <c r="E526" i="3"/>
  <c r="E557" i="3"/>
  <c r="E227" i="3"/>
  <c r="E577" i="3"/>
  <c r="E181" i="3"/>
  <c r="E134" i="3"/>
  <c r="E231" i="3"/>
  <c r="E388" i="3"/>
  <c r="E186" i="3"/>
  <c r="E271" i="3"/>
  <c r="E450" i="3"/>
  <c r="E85" i="3"/>
  <c r="E415" i="3"/>
  <c r="E239" i="3"/>
  <c r="E581" i="3"/>
  <c r="E203" i="3"/>
  <c r="E434" i="3"/>
  <c r="E304" i="3"/>
  <c r="E328" i="3"/>
  <c r="E547" i="3"/>
  <c r="E537" i="3"/>
  <c r="E154" i="3"/>
  <c r="E297" i="3"/>
  <c r="E244" i="3"/>
  <c r="E176" i="3"/>
  <c r="L6" i="3"/>
  <c r="E16" i="3"/>
  <c r="E173" i="3"/>
  <c r="E64" i="3"/>
  <c r="E487" i="3"/>
  <c r="E483" i="3"/>
  <c r="E246" i="3"/>
  <c r="E278" i="3"/>
  <c r="E311" i="3"/>
  <c r="E217" i="3"/>
  <c r="E345" i="3"/>
  <c r="E74" i="3"/>
  <c r="E587" i="3"/>
  <c r="E568" i="3"/>
  <c r="E91" i="3"/>
  <c r="E380" i="3"/>
  <c r="E508" i="3"/>
  <c r="E162" i="3"/>
  <c r="E269" i="3"/>
  <c r="E571" i="3"/>
  <c r="E253" i="3"/>
  <c r="E130" i="3"/>
  <c r="E282" i="3"/>
  <c r="E443" i="3"/>
  <c r="E55" i="3"/>
  <c r="E156" i="3"/>
  <c r="E169" i="3"/>
  <c r="E153" i="3"/>
  <c r="E548" i="3"/>
  <c r="E474" i="3"/>
  <c r="E87" i="3"/>
  <c r="E464" i="3"/>
  <c r="E24" i="3"/>
  <c r="E62" i="3"/>
  <c r="E346" i="3"/>
  <c r="E326" i="3"/>
  <c r="E22" i="3"/>
  <c r="E59" i="3"/>
  <c r="E240" i="3"/>
  <c r="E242" i="3"/>
  <c r="E423" i="3"/>
  <c r="E69" i="3"/>
  <c r="E201" i="3"/>
  <c r="E377" i="3"/>
  <c r="E400" i="3"/>
  <c r="E362" i="3"/>
  <c r="E472" i="3"/>
  <c r="E77" i="3"/>
  <c r="E180" i="3"/>
  <c r="E561" i="3"/>
  <c r="E305" i="3"/>
  <c r="E27" i="3"/>
  <c r="E567" i="3"/>
  <c r="E527" i="3"/>
  <c r="E583" i="3"/>
  <c r="E230" i="3"/>
  <c r="E553" i="3"/>
  <c r="P6" i="3"/>
  <c r="E496" i="3"/>
  <c r="AA6" i="3"/>
  <c r="E298" i="3"/>
  <c r="E501" i="3"/>
  <c r="E411" i="3"/>
  <c r="E313" i="3"/>
  <c r="AD6" i="3"/>
  <c r="AC6" i="3" s="1"/>
  <c r="E149" i="3"/>
  <c r="E521" i="3"/>
  <c r="E340" i="3"/>
  <c r="E108" i="3"/>
  <c r="E49" i="3"/>
  <c r="E34" i="3"/>
  <c r="E95" i="3"/>
  <c r="D26" i="43"/>
  <c r="C25" i="43" s="1"/>
  <c r="C33" i="43" s="1"/>
  <c r="Q52" i="67"/>
  <c r="E16" i="6"/>
  <c r="S10" i="39"/>
  <c r="H10" i="40"/>
  <c r="AB10" i="40" s="1"/>
  <c r="F10" i="40"/>
  <c r="S10" i="40" s="1"/>
  <c r="H10" i="39"/>
  <c r="U10" i="39" s="1"/>
  <c r="E61" i="39"/>
  <c r="J10" i="39"/>
  <c r="W10" i="39" s="1"/>
  <c r="K16" i="1"/>
  <c r="Q74" i="67"/>
  <c r="F27" i="68"/>
  <c r="F45" i="68" s="1"/>
  <c r="F27" i="11"/>
  <c r="C29" i="11" s="1"/>
  <c r="D27" i="11" s="1"/>
  <c r="F28" i="12"/>
  <c r="C29" i="12" s="1"/>
  <c r="D28" i="12" s="1"/>
  <c r="K26" i="6"/>
  <c r="M26" i="6" s="1"/>
  <c r="I26" i="6" s="1"/>
  <c r="S26" i="6" s="1"/>
  <c r="J10" i="40"/>
  <c r="AC10" i="40" s="1"/>
  <c r="J5" i="67"/>
  <c r="J24" i="67" s="1"/>
  <c r="J5" i="15"/>
  <c r="J24" i="15" s="1"/>
  <c r="F45" i="69"/>
  <c r="C29" i="69"/>
  <c r="D27" i="69" s="1"/>
  <c r="Q60" i="67"/>
  <c r="F67" i="39"/>
  <c r="W7" i="36"/>
  <c r="AY6" i="3"/>
  <c r="AY176" i="3" s="1"/>
  <c r="E3" i="6"/>
  <c r="E6" i="6" s="1"/>
  <c r="E525" i="3"/>
  <c r="E113" i="3"/>
  <c r="E383" i="3"/>
  <c r="E42" i="3"/>
  <c r="E513" i="3"/>
  <c r="E355" i="3"/>
  <c r="E492" i="3"/>
  <c r="E46" i="3"/>
  <c r="E544" i="3"/>
  <c r="E152" i="3"/>
  <c r="E517" i="3"/>
  <c r="E466" i="3"/>
  <c r="E212" i="3"/>
  <c r="D36" i="71"/>
  <c r="T36" i="71"/>
  <c r="T32" i="71"/>
  <c r="D32" i="71"/>
  <c r="E264" i="3"/>
  <c r="E144" i="3"/>
  <c r="E300" i="3"/>
  <c r="E425" i="3"/>
  <c r="E363" i="3"/>
  <c r="E56" i="3"/>
  <c r="I3" i="6"/>
  <c r="R6" i="3"/>
  <c r="E510" i="3"/>
  <c r="E63" i="39"/>
  <c r="E59" i="40"/>
  <c r="E30" i="6"/>
  <c r="E31" i="6" s="1"/>
  <c r="E225" i="3"/>
  <c r="E13" i="3"/>
  <c r="E456" i="3"/>
  <c r="E205" i="3"/>
  <c r="E206" i="3"/>
  <c r="E96" i="3"/>
  <c r="E281" i="3"/>
  <c r="E81" i="3"/>
  <c r="E33" i="3"/>
  <c r="E249" i="3"/>
  <c r="E484" i="3"/>
  <c r="E292" i="3"/>
  <c r="E479" i="3"/>
  <c r="E255" i="3"/>
  <c r="E499" i="3"/>
  <c r="D56" i="71"/>
  <c r="T56" i="71"/>
  <c r="D44" i="71"/>
  <c r="T44" i="71"/>
  <c r="E78" i="3"/>
  <c r="E104" i="3"/>
  <c r="E360" i="3"/>
  <c r="E534" i="3"/>
  <c r="E287" i="3"/>
  <c r="E522" i="3"/>
  <c r="E75" i="3"/>
  <c r="E21" i="3"/>
  <c r="E381" i="3"/>
  <c r="E23" i="3"/>
  <c r="E103" i="3"/>
  <c r="E76" i="3"/>
  <c r="E192" i="3"/>
  <c r="E435" i="3"/>
  <c r="E541" i="3"/>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371" i="3"/>
  <c r="AY300" i="3"/>
  <c r="AY76" i="3"/>
  <c r="AY374" i="3"/>
  <c r="AY316" i="3"/>
  <c r="AY75" i="3"/>
  <c r="AY126" i="3"/>
  <c r="AY525" i="3"/>
  <c r="AY343" i="3"/>
  <c r="AY88" i="3"/>
  <c r="AY96" i="3"/>
  <c r="AY442" i="3"/>
  <c r="AY127" i="3"/>
  <c r="AY179" i="3"/>
  <c r="AY122" i="3"/>
  <c r="AY347" i="3"/>
  <c r="AY250" i="3"/>
  <c r="AY451" i="3"/>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M27" i="67"/>
  <c r="F41" i="15"/>
  <c r="R50" i="34" l="1"/>
  <c r="E49" i="34"/>
  <c r="N22" i="9"/>
  <c r="N21" i="9"/>
  <c r="C47" i="11"/>
  <c r="D45" i="11" s="1"/>
  <c r="U10" i="40"/>
  <c r="AB10" i="39"/>
  <c r="H6" i="3"/>
  <c r="E6" i="3" s="1"/>
  <c r="M18" i="9"/>
  <c r="D14" i="12"/>
  <c r="D17" i="12" s="1"/>
  <c r="C17" i="12" s="1"/>
  <c r="AC10" i="39"/>
  <c r="C17" i="4"/>
  <c r="B4" i="52" s="1"/>
  <c r="B43" i="72" s="1"/>
  <c r="D3" i="21"/>
  <c r="D19" i="11"/>
  <c r="C19" i="11" s="1"/>
  <c r="D3" i="34"/>
  <c r="D3" i="37"/>
  <c r="D37" i="11"/>
  <c r="D3" i="33"/>
  <c r="AY408" i="3"/>
  <c r="AY396" i="3"/>
  <c r="AY330" i="3"/>
  <c r="AY298" i="3"/>
  <c r="AY148" i="3"/>
  <c r="AY285" i="3"/>
  <c r="AY426" i="3"/>
  <c r="AY65" i="3"/>
  <c r="AY72" i="3"/>
  <c r="AY326" i="3"/>
  <c r="AY516" i="3"/>
  <c r="AY117" i="3"/>
  <c r="AY237" i="3"/>
  <c r="AY491" i="3"/>
  <c r="AY357" i="3"/>
  <c r="AY60" i="3"/>
  <c r="AY245" i="3"/>
  <c r="AY366" i="3"/>
  <c r="W10" i="40"/>
  <c r="AY583" i="3"/>
  <c r="BC6" i="3"/>
  <c r="AY78" i="3"/>
  <c r="AY552" i="3"/>
  <c r="AY455" i="3"/>
  <c r="AY53" i="3"/>
  <c r="AY388" i="3"/>
  <c r="AY262" i="3"/>
  <c r="BE6" i="3"/>
  <c r="AY460" i="3"/>
  <c r="AY151" i="3"/>
  <c r="AY30" i="3"/>
  <c r="AY587" i="3"/>
  <c r="AY328" i="3"/>
  <c r="AY270" i="3"/>
  <c r="AY340" i="3"/>
  <c r="BG6" i="3"/>
  <c r="AY58" i="3"/>
  <c r="AY477" i="3"/>
  <c r="AY545" i="3"/>
  <c r="AY375" i="3"/>
  <c r="AY575" i="3"/>
  <c r="AY490" i="3"/>
  <c r="AY437" i="3"/>
  <c r="AY570" i="3"/>
  <c r="AY380" i="3"/>
  <c r="AY406" i="3"/>
  <c r="AY162" i="3"/>
  <c r="AY132" i="3"/>
  <c r="AY130" i="3"/>
  <c r="AY535" i="3"/>
  <c r="AY561" i="3"/>
  <c r="AY114" i="3"/>
  <c r="AY299" i="3"/>
  <c r="AY513" i="3"/>
  <c r="AY252" i="3"/>
  <c r="AY42" i="3"/>
  <c r="AY301" i="3"/>
  <c r="AY567" i="3"/>
  <c r="AY203" i="3"/>
  <c r="AY511" i="3"/>
  <c r="AY91" i="3"/>
  <c r="AY46" i="3"/>
  <c r="AY312" i="3"/>
  <c r="AY543" i="3"/>
  <c r="AY238" i="3"/>
  <c r="AY412" i="3"/>
  <c r="AY308" i="3"/>
  <c r="AY68" i="3"/>
  <c r="AY16" i="3"/>
  <c r="AY377" i="3"/>
  <c r="AY246" i="3"/>
  <c r="AY553" i="3"/>
  <c r="AY428" i="3"/>
  <c r="AY168" i="3"/>
  <c r="AY307" i="3"/>
  <c r="AY551" i="3"/>
  <c r="AY208" i="3"/>
  <c r="AY564" i="3"/>
  <c r="AY306" i="3"/>
  <c r="AY424" i="3"/>
  <c r="BR6" i="3"/>
  <c r="AY223" i="3"/>
  <c r="AY438" i="3"/>
  <c r="AY193" i="3"/>
  <c r="AY191" i="3"/>
  <c r="AY150" i="3"/>
  <c r="AY404" i="3"/>
  <c r="AY585" i="3"/>
  <c r="AY145" i="3"/>
  <c r="AY125" i="3"/>
  <c r="AY401" i="3"/>
  <c r="AY284" i="3"/>
  <c r="AY59" i="3"/>
  <c r="AY164" i="3"/>
  <c r="AY434" i="3"/>
  <c r="AY39" i="3"/>
  <c r="AY492" i="3"/>
  <c r="AY224" i="3"/>
  <c r="AY362" i="3"/>
  <c r="AY14" i="3"/>
  <c r="AY137" i="3"/>
  <c r="AY370" i="3"/>
  <c r="AY105" i="3"/>
  <c r="AY496" i="3"/>
  <c r="AY365" i="3"/>
  <c r="AY269" i="3"/>
  <c r="AY414" i="3"/>
  <c r="AY41" i="3"/>
  <c r="AY170" i="3"/>
  <c r="AY342" i="3"/>
  <c r="AY139" i="3"/>
  <c r="AY207" i="3"/>
  <c r="AY200" i="3"/>
  <c r="AY445" i="3"/>
  <c r="AY102" i="3"/>
  <c r="AY304" i="3"/>
  <c r="AY256" i="3"/>
  <c r="AY376" i="3"/>
  <c r="AY499" i="3"/>
  <c r="AY169" i="3"/>
  <c r="AY215" i="3"/>
  <c r="AY539" i="3"/>
  <c r="AY556" i="3"/>
  <c r="AY389" i="3"/>
  <c r="AY199" i="3"/>
  <c r="AY430" i="3"/>
  <c r="AY73" i="3"/>
  <c r="AY185" i="3"/>
  <c r="AY327" i="3"/>
  <c r="AY160" i="3"/>
  <c r="AY23" i="3"/>
  <c r="AA10" i="40"/>
  <c r="C47" i="68"/>
  <c r="D45" i="68" s="1"/>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24" i="6" s="1"/>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E65" i="39"/>
  <c r="C29" i="68"/>
  <c r="D27" i="68" s="1"/>
  <c r="G54" i="34"/>
  <c r="H54" i="34" s="1"/>
  <c r="I46" i="37"/>
  <c r="J46" i="37" s="1"/>
  <c r="F22" i="69"/>
  <c r="F41" i="69" s="1"/>
  <c r="F24" i="15"/>
  <c r="C24" i="15" s="1"/>
  <c r="F25" i="12"/>
  <c r="C26" i="12" s="1"/>
  <c r="D25" i="12" s="1"/>
  <c r="F22" i="68"/>
  <c r="C26" i="68" s="1"/>
  <c r="D22" i="68" s="1"/>
  <c r="F22" i="11"/>
  <c r="C44" i="11" s="1"/>
  <c r="D41" i="11" s="1"/>
  <c r="F24" i="67"/>
  <c r="C24" i="67"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6" i="6"/>
  <c r="D8" i="6"/>
  <c r="D14" i="6"/>
  <c r="D6" i="6"/>
  <c r="D9" i="6"/>
  <c r="D29" i="6"/>
  <c r="H24" i="6"/>
  <c r="C18" i="4"/>
  <c r="D23"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B118" i="9" l="1"/>
  <c r="B1" i="74" s="1"/>
  <c r="M23" i="9"/>
  <c r="D19" i="6"/>
  <c r="M19" i="9"/>
  <c r="C118" i="9" s="1"/>
  <c r="B2" i="74" s="1"/>
  <c r="D30" i="6"/>
  <c r="H25" i="6"/>
  <c r="R25" i="6" s="1"/>
  <c r="R12" i="1" s="1"/>
  <c r="D12" i="6"/>
  <c r="L19" i="9"/>
  <c r="D20" i="6"/>
  <c r="D5" i="6"/>
  <c r="D10" i="6"/>
  <c r="D16" i="6" s="1"/>
  <c r="H21" i="6"/>
  <c r="R21" i="6" s="1"/>
  <c r="R8" i="1" s="1"/>
  <c r="H22" i="6"/>
  <c r="R22" i="6" s="1"/>
  <c r="R9" i="1" s="1"/>
  <c r="C26" i="11"/>
  <c r="D22" i="11" s="1"/>
  <c r="C44" i="69"/>
  <c r="D41" i="69" s="1"/>
  <c r="C26" i="69"/>
  <c r="D22" i="69" s="1"/>
  <c r="C44" i="68"/>
  <c r="D41" i="68" s="1"/>
  <c r="F41" i="68"/>
  <c r="C24" i="11"/>
  <c r="C23" i="11"/>
  <c r="C25" i="11"/>
  <c r="C16" i="71"/>
  <c r="D17" i="71"/>
  <c r="C18" i="67"/>
  <c r="C15" i="67"/>
  <c r="H23" i="6"/>
  <c r="R23" i="6" s="1"/>
  <c r="R10" i="1" s="1"/>
  <c r="C30" i="43"/>
  <c r="B2" i="43" s="1"/>
  <c r="C6" i="68"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R24" i="6"/>
  <c r="R11" i="1" s="1"/>
  <c r="C15" i="12"/>
  <c r="C12" i="12"/>
  <c r="D27" i="6"/>
  <c r="D31" i="6" s="1"/>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43" l="1"/>
  <c r="C7" i="68"/>
  <c r="C18" i="12"/>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30" i="12"/>
  <c r="C28"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67"/>
  <c r="F35" i="15"/>
  <c r="M21" i="15"/>
  <c r="C25" i="68" l="1"/>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B3" i="68"/>
  <c r="C10" i="71"/>
  <c r="D11" i="71"/>
  <c r="C80" i="67"/>
  <c r="C79" i="67" s="1"/>
  <c r="C40" i="67"/>
  <c r="C45" i="67" s="1"/>
  <c r="C56" i="11"/>
  <c r="C57" i="11" s="1"/>
  <c r="B2" i="21"/>
  <c r="B3" i="21" s="1"/>
  <c r="J16" i="15"/>
  <c r="J25" i="15" s="1"/>
  <c r="J26" i="15" s="1"/>
  <c r="J29" i="15" s="1"/>
  <c r="C58" i="15"/>
  <c r="C67" i="15" s="1"/>
  <c r="C68" i="15" s="1"/>
  <c r="C71" i="15" s="1"/>
  <c r="C30" i="15"/>
  <c r="C39" i="15" s="1"/>
  <c r="I40" i="15" s="1"/>
  <c r="O67" i="39"/>
  <c r="O69" i="39" s="1"/>
  <c r="N69" i="39"/>
  <c r="F7" i="39"/>
  <c r="C39" i="35"/>
  <c r="C38" i="35"/>
  <c r="N63" i="40"/>
  <c r="M65" i="40"/>
  <c r="E43" i="35"/>
  <c r="F43" i="35" s="1"/>
  <c r="E42" i="35"/>
  <c r="F42" i="35" s="1"/>
  <c r="I43" i="35"/>
  <c r="J43" i="35" s="1"/>
  <c r="L51" i="67"/>
  <c r="D2" i="33"/>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12" i="1"/>
  <c r="AO11" i="1"/>
  <c r="C19" i="9"/>
  <c r="AO9" i="1"/>
  <c r="AO10" i="1"/>
  <c r="AO8" i="1"/>
  <c r="C102" i="9" l="1"/>
  <c r="C21" i="9"/>
  <c r="B3" i="34"/>
  <c r="R48" i="3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1" i="9"/>
  <c r="D22" i="9"/>
  <c r="G19" i="9"/>
  <c r="D28" i="9" s="1"/>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F65" i="39" l="1"/>
  <c r="B2" i="39" s="1"/>
  <c r="B3" i="39" s="1"/>
  <c r="K24" i="9"/>
  <c r="G21" i="9"/>
  <c r="D103" i="9"/>
  <c r="G20" i="9"/>
  <c r="Z20" i="1" s="1"/>
  <c r="D6" i="71"/>
  <c r="C5" i="71"/>
  <c r="D5" i="71" s="1"/>
  <c r="M24" i="43" s="1"/>
  <c r="C42" i="40"/>
  <c r="C43" i="40"/>
  <c r="E47" i="40"/>
  <c r="F47" i="40" s="1"/>
  <c r="E46" i="40"/>
  <c r="F46" i="40" s="1"/>
  <c r="I47" i="40"/>
  <c r="J47" i="40" s="1"/>
  <c r="C32" i="9" l="1"/>
  <c r="C35" i="9" s="1"/>
  <c r="C34" i="9" s="1"/>
  <c r="M22" i="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H4" i="52" s="1"/>
  <c r="D119" i="9" l="1"/>
  <c r="D5" i="52" s="1"/>
  <c r="B49" i="72" s="1"/>
  <c r="I118" i="9"/>
  <c r="G118" i="9"/>
  <c r="G4" i="52" s="1"/>
  <c r="B52" i="72" s="1"/>
  <c r="F4" i="52"/>
  <c r="B51" i="72" s="1"/>
  <c r="C104" i="9"/>
  <c r="H119" i="9"/>
  <c r="H5" i="52" s="1"/>
  <c r="H101" i="9"/>
  <c r="D14" i="74" s="1"/>
  <c r="G14" i="74" s="1"/>
  <c r="B6" i="74" s="1"/>
  <c r="D6" i="74" s="1"/>
  <c r="F14" i="74" l="1"/>
  <c r="E14" i="74"/>
  <c r="B5" i="74"/>
  <c r="D5" i="74" s="1"/>
  <c r="C105" i="9"/>
  <c r="I4" i="52"/>
  <c r="H102" i="9"/>
  <c r="E118" i="9"/>
  <c r="E4" i="52" s="1"/>
  <c r="B48" i="72" s="1"/>
  <c r="D45" i="9"/>
  <c r="M48" i="9"/>
  <c r="M54" i="9" s="1"/>
  <c r="D5" i="53"/>
  <c r="H107" i="9"/>
  <c r="C64" i="9" l="1"/>
  <c r="C63" i="9" s="1"/>
  <c r="C67" i="9" s="1"/>
  <c r="C72" i="9"/>
  <c r="C85" i="9"/>
  <c r="C78" i="9"/>
  <c r="C73" i="9" s="1"/>
  <c r="D55" i="9"/>
  <c r="M53" i="9" s="1"/>
  <c r="C93" i="9"/>
  <c r="C86" i="9" s="1"/>
  <c r="D53" i="9"/>
  <c r="D48" i="9" s="1"/>
  <c r="M52" i="9" s="1"/>
  <c r="D52" i="9"/>
  <c r="M49" i="9"/>
  <c r="D122" i="9"/>
  <c r="H108" i="9"/>
  <c r="D13" i="53"/>
  <c r="B20" i="72"/>
  <c r="D6" i="53"/>
  <c r="B22" i="72" s="1"/>
  <c r="C5" i="74"/>
  <c r="D7" i="53"/>
  <c r="B21" i="72" s="1"/>
  <c r="C95" i="9" l="1"/>
  <c r="B30" i="72"/>
  <c r="D14" i="53"/>
  <c r="B32" i="72" s="1"/>
  <c r="D15" i="53"/>
  <c r="B31" i="72" s="1"/>
  <c r="C6" i="74"/>
  <c r="D123" i="9"/>
  <c r="D9" i="52" s="1"/>
  <c r="D8" i="52"/>
  <c r="C79" i="9"/>
  <c r="L66" i="9"/>
  <c r="M66" i="9" s="1"/>
  <c r="L65" i="9"/>
  <c r="M65" i="9" s="1"/>
  <c r="L63" i="9"/>
  <c r="M63" i="9" s="1"/>
  <c r="L68" i="9"/>
  <c r="M68" i="9" s="1"/>
  <c r="L64" i="9"/>
  <c r="M64" i="9" s="1"/>
  <c r="L67" i="9"/>
  <c r="M67" i="9" s="1"/>
  <c r="C68" i="9"/>
  <c r="D54" i="9" s="1"/>
  <c r="D59" i="9"/>
  <c r="M55" i="9" s="1"/>
  <c r="C96" i="9" l="1"/>
  <c r="E96" i="9" s="1"/>
  <c r="E97" i="9" s="1"/>
  <c r="M69" i="9"/>
  <c r="N69" i="9" s="1"/>
  <c r="C80" i="9"/>
  <c r="E80" i="9" s="1"/>
  <c r="E81" i="9" s="1"/>
  <c r="C97" i="9" l="1"/>
  <c r="D58" i="9" s="1"/>
  <c r="D56" i="9" s="1"/>
  <c r="N57" i="9" s="1"/>
  <c r="N58" i="9" s="1"/>
  <c r="C81" i="9"/>
  <c r="P57" i="9" l="1"/>
  <c r="N59" i="9"/>
  <c r="H111" i="9" s="1"/>
  <c r="D126" i="9" l="1"/>
  <c r="I14" i="74" s="1"/>
  <c r="B8" i="74" s="1"/>
  <c r="D8" i="74" s="1"/>
  <c r="D19" i="53"/>
  <c r="N61" i="9"/>
  <c r="H112" i="9" s="1"/>
  <c r="N60" i="9"/>
  <c r="D21" i="53" l="1"/>
  <c r="B39" i="72" s="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<sst xmlns="http://schemas.openxmlformats.org/spreadsheetml/2006/main" count="9571" uniqueCount="4030">
  <si>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</si>
  <si>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</si>
  <si>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</si>
  <si>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</si>
  <si>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</si>
  <si>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</si>
  <si>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</si>
  <si>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</si>
  <si>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</si>
  <si>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</si>
  <si>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</si>
  <si>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</si>
  <si>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</si>
  <si>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</si>
  <si>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</si>
  <si>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</si>
  <si>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</si>
  <si>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</si>
  <si>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</si>
  <si>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</si>
  <si>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</si>
  <si>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</si>
  <si>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</si>
  <si>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</si>
  <si>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</si>
  <si>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</si>
  <si>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</si>
  <si>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</si>
  <si>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</si>
  <si>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</si>
  <si>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</si>
  <si>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</si>
  <si>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</si>
  <si>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</si>
  <si>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</si>
  <si>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</si>
  <si>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</si>
  <si>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</si>
  <si>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</si>
  <si>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</si>
  <si>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</si>
  <si>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</si>
  <si>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</si>
  <si>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</si>
  <si>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</si>
  <si>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</si>
  <si>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</si>
  <si>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</si>
  <si>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</si>
  <si>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</si>
  <si>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</si>
  <si>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</si>
  <si>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</si>
  <si>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</si>
  <si>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</si>
  <si>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</si>
  <si>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</si>
  <si>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</si>
  <si>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</si>
  <si>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</si>
  <si>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</si>
  <si>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</si>
  <si>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</si>
  <si>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</si>
  <si>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</si>
  <si>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</si>
  <si>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</si>
  <si>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</si>
  <si>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</si>
  <si>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</si>
  <si>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</si>
  <si>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</si>
  <si>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</si>
  <si>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</si>
  <si>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</si>
  <si>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</si>
  <si>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</si>
  <si>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</si>
  <si>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</si>
  <si>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</si>
  <si>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</si>
  <si>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</si>
  <si>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</si>
  <si>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</si>
  <si>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</si>
  <si>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</si>
  <si>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</si>
  <si>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</si>
  <si>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</si>
  <si>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</si>
  <si>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</si>
  <si>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</si>
  <si>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</si>
  <si>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</si>
  <si>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</si>
  <si>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</si>
  <si>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</si>
  <si>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</si>
  <si>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</si>
  <si>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</si>
  <si>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</si>
  <si>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</si>
  <si>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</si>
  <si>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</si>
  <si>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</si>
  <si>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</si>
  <si>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</si>
  <si>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</si>
  <si>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</si>
  <si>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</si>
  <si>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</si>
  <si>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</si>
  <si>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</si>
  <si>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</si>
  <si>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</si>
  <si>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</si>
  <si>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</si>
  <si>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</si>
  <si>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</si>
  <si>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</si>
  <si>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</si>
  <si>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</si>
  <si>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</si>
  <si>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</si>
  <si>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</si>
  <si>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</si>
  <si>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</si>
  <si>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</si>
  <si>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</si>
  <si>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</si>
  <si>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</si>
  <si>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</si>
  <si>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</si>
  <si>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</si>
  <si>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</si>
  <si>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</si>
  <si>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</si>
  <si>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</si>
  <si>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</si>
  <si>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</si>
  <si>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</si>
  <si>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</si>
  <si>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</si>
  <si>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</si>
  <si>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</si>
  <si>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</si>
  <si>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</si>
  <si>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</si>
  <si>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</si>
  <si>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</si>
  <si>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</si>
  <si>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</si>
  <si>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</si>
  <si>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</si>
  <si>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</si>
  <si>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</si>
  <si>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</si>
  <si>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</si>
  <si>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</si>
  <si>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</si>
  <si>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</si>
  <si>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</si>
  <si>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</si>
  <si>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</si>
  <si>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</si>
  <si>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</si>
  <si>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</si>
  <si>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</si>
  <si>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</si>
  <si>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</si>
  <si>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</si>
  <si>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</si>
  <si>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</si>
  <si>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</si>
  <si>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</si>
  <si>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</si>
  <si>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</si>
  <si>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</si>
  <si>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</si>
  <si>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</si>
  <si>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</si>
  <si>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</si>
  <si>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</si>
  <si>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</si>
  <si>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</si>
  <si>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</si>
  <si>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</si>
  <si>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</si>
  <si>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</si>
  <si>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</si>
  <si>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</si>
  <si>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</si>
  <si>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</si>
  <si>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</si>
  <si>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</si>
  <si>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</si>
  <si>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</si>
  <si>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</si>
  <si>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</si>
  <si>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</si>
  <si>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</si>
  <si>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</si>
  <si>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</si>
  <si>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</si>
  <si>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</si>
  <si>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</si>
  <si>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</si>
  <si>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</si>
  <si>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</si>
  <si>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</si>
  <si>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</si>
  <si>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</si>
  <si>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</si>
  <si>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</si>
  <si>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</si>
  <si>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</si>
  <si>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</si>
  <si>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</si>
  <si>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</si>
  <si>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</si>
  <si>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</si>
  <si>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</si>
  <si>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</si>
  <si>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</si>
  <si>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</si>
  <si>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</si>
  <si>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</si>
  <si>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</si>
  <si>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</si>
  <si>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</si>
  <si>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</si>
  <si>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</si>
  <si>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</si>
  <si>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</si>
  <si>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</si>
  <si>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</si>
  <si>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</si>
  <si>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</si>
  <si>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</si>
  <si>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</si>
  <si>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</si>
  <si>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</si>
  <si>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</si>
  <si>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</si>
  <si>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</si>
  <si>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</si>
  <si>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</si>
  <si>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</si>
  <si>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</si>
  <si>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</si>
  <si>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</si>
  <si>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</si>
  <si>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</si>
  <si>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</si>
  <si>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</si>
  <si>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</si>
  <si>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</si>
  <si>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</si>
  <si>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</si>
  <si>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</si>
  <si>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</si>
  <si>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</si>
  <si>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</si>
  <si>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</si>
  <si>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</si>
  <si>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</si>
  <si>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</si>
  <si>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</si>
  <si>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</si>
  <si>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</si>
  <si>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</si>
  <si>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</si>
  <si>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</si>
  <si>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</si>
  <si>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</si>
  <si>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</si>
  <si>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</si>
  <si>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</si>
  <si>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</si>
  <si>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</si>
  <si>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</si>
  <si>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</si>
  <si>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</si>
  <si>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</si>
  <si>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</si>
  <si>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</si>
  <si>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</si>
  <si>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</si>
  <si>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</si>
  <si>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</si>
  <si>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</si>
  <si>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</si>
  <si>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</si>
  <si>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</si>
  <si>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</si>
  <si>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</si>
  <si>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</si>
  <si>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</si>
  <si>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</si>
  <si>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</si>
  <si>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</si>
  <si>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</si>
  <si>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</si>
  <si>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</si>
  <si>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</si>
  <si>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</si>
  <si>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</si>
  <si>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</si>
  <si>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</si>
  <si>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</si>
  <si>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</si>
  <si>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</si>
  <si>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</si>
  <si>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</si>
  <si>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</si>
  <si>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</si>
  <si>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</si>
  <si>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</si>
  <si>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</si>
  <si>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</si>
  <si>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</si>
  <si>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</si>
  <si>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</si>
  <si>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</si>
  <si>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</si>
  <si>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</si>
  <si>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</si>
  <si>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</si>
  <si>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</si>
  <si>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</si>
  <si>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</si>
  <si>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</si>
  <si>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</si>
  <si>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</si>
  <si>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</si>
  <si>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</si>
  <si>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</si>
  <si>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</si>
  <si>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</si>
  <si>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</si>
  <si>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</si>
  <si>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</si>
  <si>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</si>
  <si>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</si>
  <si>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</si>
  <si>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</si>
  <si>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</si>
  <si>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</si>
  <si>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</si>
  <si>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</si>
  <si>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</si>
  <si>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</si>
  <si>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</si>
  <si>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</si>
  <si>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</si>
  <si>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</si>
  <si>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</si>
  <si>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</si>
  <si>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</si>
  <si>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</si>
  <si>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</si>
  <si>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</si>
  <si>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</si>
  <si>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</si>
  <si>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</si>
  <si>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</si>
  <si>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</si>
  <si>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</si>
  <si>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</si>
  <si>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</si>
  <si>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</si>
  <si>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</si>
  <si>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</si>
  <si>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</si>
  <si>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</si>
  <si>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</si>
  <si>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</si>
  <si>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</si>
  <si>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</si>
  <si>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</si>
  <si>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</si>
  <si>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</si>
  <si>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</si>
  <si>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</si>
  <si>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</si>
  <si>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</si>
  <si>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</si>
  <si>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</si>
  <si>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</si>
  <si>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</si>
  <si>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</si>
  <si>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</si>
  <si>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</si>
  <si>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</si>
  <si>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</si>
  <si>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</si>
  <si>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</si>
  <si>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</si>
  <si>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</si>
  <si>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</si>
  <si>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</si>
  <si>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</si>
  <si>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</si>
  <si>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</si>
  <si>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</si>
  <si>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</si>
  <si>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</si>
  <si>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</si>
  <si>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</si>
  <si>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</si>
  <si>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</si>
  <si>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</si>
  <si>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</si>
  <si>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</si>
  <si>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</si>
  <si>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</si>
  <si>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</si>
  <si>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</si>
  <si>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</si>
  <si>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</si>
  <si>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</si>
  <si>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</si>
  <si>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</si>
  <si>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</si>
  <si>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</si>
  <si>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</si>
  <si>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</si>
  <si>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</si>
  <si>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</si>
  <si>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</si>
  <si>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</si>
  <si>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</si>
  <si>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</si>
  <si>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</si>
  <si>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</si>
  <si>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</si>
  <si>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</si>
  <si>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</si>
  <si>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</si>
  <si>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</si>
  <si>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</si>
  <si>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</si>
  <si>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</si>
  <si>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</si>
  <si>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</si>
  <si>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</si>
  <si>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</si>
  <si>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</si>
  <si>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</si>
  <si>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</si>
  <si>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</si>
  <si>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</si>
  <si>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</si>
  <si>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</si>
  <si>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</si>
  <si>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</si>
  <si>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</si>
  <si>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</si>
  <si>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</si>
  <si>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</si>
  <si>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</si>
  <si>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</si>
  <si>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</si>
  <si>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</si>
  <si>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</si>
  <si>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</si>
  <si>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</si>
  <si>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</si>
  <si>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</si>
  <si>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</si>
  <si>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</si>
  <si>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</si>
  <si>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</si>
  <si>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</si>
  <si>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</si>
  <si>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</si>
  <si>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</si>
  <si>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</si>
  <si>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</si>
  <si>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</si>
  <si>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</si>
  <si>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</si>
  <si>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</si>
  <si>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</si>
  <si>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</si>
  <si>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</si>
  <si>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</si>
  <si>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</si>
  <si>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</si>
  <si>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</si>
  <si>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</si>
  <si>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</si>
  <si>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</si>
  <si>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</si>
  <si>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</si>
  <si>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</si>
  <si>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</si>
  <si>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</si>
  <si>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</si>
  <si>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</si>
  <si>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</si>
  <si>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</si>
  <si>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</si>
  <si>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</si>
  <si>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</si>
  <si>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</si>
  <si>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</si>
  <si>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</si>
  <si>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</si>
  <si>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</si>
  <si>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</si>
  <si>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</si>
  <si>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</si>
  <si>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</si>
  <si>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</si>
  <si>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</si>
  <si>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</si>
  <si>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</si>
  <si>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</si>
  <si>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</si>
  <si>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</si>
  <si>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</si>
  <si>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</si>
  <si>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</si>
  <si>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</si>
  <si>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</si>
  <si>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</si>
  <si>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</si>
  <si>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</si>
  <si>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</si>
  <si>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</si>
  <si>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</si>
  <si>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</si>
  <si>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</si>
  <si>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</si>
  <si>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</si>
  <si>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</si>
  <si>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</si>
  <si>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</si>
  <si>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</si>
  <si>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</si>
  <si>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</si>
  <si>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</si>
  <si>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</si>
  <si>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</si>
  <si>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</si>
  <si>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</si>
  <si>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</si>
  <si>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</si>
  <si>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</si>
  <si>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</si>
  <si>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</si>
  <si>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</si>
  <si>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</si>
  <si>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</si>
  <si>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</si>
  <si>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</si>
  <si>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</si>
  <si>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</si>
  <si>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</si>
  <si>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</si>
  <si>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</si>
  <si>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</si>
  <si>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</si>
  <si>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</si>
  <si>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</si>
  <si>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</si>
  <si>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</si>
  <si>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</si>
  <si>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</si>
  <si>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</si>
  <si>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</si>
  <si>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</si>
  <si>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</si>
  <si>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</si>
  <si>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</si>
  <si>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</si>
  <si>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</si>
  <si>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</si>
  <si>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</si>
  <si>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</si>
  <si>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</si>
  <si>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</si>
  <si>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</si>
  <si>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</si>
  <si>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</si>
  <si>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</si>
  <si>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</si>
  <si>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</si>
  <si>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</si>
  <si>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</si>
  <si>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</si>
  <si>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</si>
  <si>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</si>
  <si>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</si>
  <si>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</si>
  <si>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</si>
  <si>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</si>
  <si>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</si>
  <si>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</si>
  <si>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</si>
  <si>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</si>
  <si>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</si>
  <si>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</si>
  <si>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</si>
  <si>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</si>
  <si>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</si>
  <si>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</si>
  <si>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</si>
  <si>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</si>
  <si>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</si>
  <si>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</si>
  <si>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</si>
  <si>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</si>
  <si>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</si>
  <si>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</si>
  <si>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</si>
  <si>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</si>
  <si>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</si>
  <si>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</si>
  <si>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</si>
  <si>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</si>
  <si>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</si>
  <si>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</si>
  <si>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</si>
  <si>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</si>
  <si>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</si>
  <si>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</si>
  <si>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</si>
  <si>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</si>
  <si>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</si>
  <si>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</si>
  <si>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</si>
  <si>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</si>
  <si>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</si>
  <si>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</si>
  <si>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</si>
  <si>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</si>
  <si>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</si>
  <si>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</si>
  <si>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</si>
  <si>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</si>
  <si>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</si>
  <si>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</si>
  <si>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</si>
  <si>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</si>
  <si>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</si>
  <si>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</si>
  <si>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</si>
  <si>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</si>
  <si>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</si>
  <si>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</si>
  <si>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</si>
  <si>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</si>
  <si>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</si>
  <si>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</si>
  <si>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</si>
  <si>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</si>
  <si>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</si>
  <si>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</si>
  <si>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</si>
  <si>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</si>
  <si>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</si>
  <si>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</si>
  <si>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</si>
  <si>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</si>
  <si>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</si>
  <si>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</si>
  <si>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</si>
  <si>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</si>
  <si>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</si>
  <si>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</si>
  <si>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</si>
  <si>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</si>
  <si>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</si>
  <si>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</si>
  <si>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</si>
  <si>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</si>
  <si>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</si>
  <si>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</si>
  <si>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</si>
  <si>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</si>
  <si>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</si>
  <si>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</si>
  <si>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</si>
  <si>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</si>
  <si>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</si>
  <si>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</si>
  <si>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</si>
  <si>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</si>
  <si>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</si>
  <si>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</si>
  <si>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</si>
  <si>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</si>
  <si>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</si>
  <si>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</si>
  <si>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</si>
  <si>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</si>
  <si>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</si>
  <si>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</si>
  <si>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</si>
  <si>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</si>
  <si>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</si>
  <si>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</si>
  <si>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</si>
  <si>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</si>
  <si>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</si>
  <si>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</si>
  <si>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</si>
  <si>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</si>
  <si>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</si>
  <si>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</si>
  <si>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</si>
  <si>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</si>
  <si>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</si>
  <si>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</si>
  <si>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</si>
  <si>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</si>
  <si>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</si>
  <si>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</si>
  <si>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</si>
  <si>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</si>
  <si>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</si>
  <si>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</si>
  <si>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</si>
  <si>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</si>
  <si>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</si>
  <si>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</si>
  <si>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</si>
  <si>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</si>
  <si>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</si>
  <si>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</si>
  <si>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</si>
  <si>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</si>
  <si>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</si>
  <si>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</si>
  <si>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</si>
  <si>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</si>
  <si>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</si>
  <si>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</si>
  <si>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</si>
  <si>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</si>
  <si>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</si>
  <si>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</si>
  <si>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</si>
  <si>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</si>
  <si>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</si>
  <si>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</si>
  <si>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</si>
  <si>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</si>
  <si>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</si>
  <si>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</si>
  <si>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</si>
  <si>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</si>
  <si>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</si>
  <si>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</si>
  <si>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</si>
  <si>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</si>
  <si>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</si>
  <si>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</si>
  <si>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</si>
  <si>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</si>
  <si>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</si>
  <si>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</si>
  <si>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</si>
  <si>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</si>
  <si>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</si>
  <si>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</si>
  <si>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</si>
  <si>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</si>
  <si>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</si>
  <si>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</si>
  <si>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</si>
  <si>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</si>
  <si>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</si>
  <si>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</si>
  <si>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</si>
  <si>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</si>
  <si>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</si>
  <si>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</si>
  <si>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</si>
  <si>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</si>
  <si>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</si>
  <si>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</si>
  <si>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</si>
  <si>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</si>
  <si>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</si>
  <si>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</si>
  <si>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</si>
  <si>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</si>
  <si>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</si>
  <si>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</si>
  <si>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</si>
  <si>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</si>
  <si>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</si>
  <si>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</si>
  <si>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</si>
  <si>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</si>
  <si>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</si>
  <si>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</si>
  <si>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</si>
  <si>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</si>
  <si>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</si>
  <si>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</si>
  <si>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</si>
  <si>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</si>
  <si>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</si>
  <si>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</si>
  <si>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</si>
  <si>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</si>
  <si>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</si>
  <si>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</si>
  <si>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</si>
  <si>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</si>
  <si>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</si>
  <si>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</si>
  <si>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</si>
  <si>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</si>
  <si>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</si>
  <si>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</si>
  <si>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</si>
  <si>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</si>
  <si>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</si>
  <si>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</si>
  <si>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</si>
  <si>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</si>
  <si>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</si>
  <si>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</si>
  <si>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</si>
  <si>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</si>
  <si>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</si>
  <si>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</si>
  <si>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</si>
  <si>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</si>
  <si>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</si>
  <si>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</si>
  <si>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</si>
  <si>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</si>
  <si>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</si>
  <si>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</si>
  <si>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</si>
  <si>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</si>
  <si>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</si>
  <si>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</si>
  <si>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</si>
  <si>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</si>
  <si>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</si>
  <si>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</si>
  <si>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</si>
  <si>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</si>
  <si>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</si>
  <si>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</si>
  <si>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</si>
  <si>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</si>
  <si>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</si>
  <si>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</si>
  <si>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</si>
  <si>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</si>
  <si>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</si>
  <si>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</si>
  <si>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</si>
  <si>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</si>
  <si>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</si>
  <si>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</si>
  <si>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</si>
  <si>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</si>
  <si>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</si>
  <si>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</si>
  <si>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</si>
  <si>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</si>
  <si>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</si>
  <si>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</si>
  <si>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</si>
  <si>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</si>
  <si>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</si>
  <si>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</si>
  <si>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</si>
  <si>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</si>
  <si>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</si>
  <si>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</si>
  <si>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</si>
  <si>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</si>
  <si>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</si>
  <si>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</si>
  <si>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</si>
  <si>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</si>
  <si>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</si>
  <si>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</si>
  <si>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</si>
  <si>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</si>
  <si>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</si>
  <si>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</si>
  <si>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</si>
  <si>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</si>
  <si>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</si>
  <si>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</si>
  <si>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</si>
  <si>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</si>
  <si>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</si>
  <si>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</si>
  <si>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</si>
  <si>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</si>
  <si>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</si>
  <si>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</si>
  <si>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</si>
  <si>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</si>
  <si>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</si>
  <si>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</si>
  <si>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</si>
  <si>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</si>
  <si>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</si>
  <si>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</si>
  <si>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</si>
  <si>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</si>
  <si>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</si>
  <si>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</si>
  <si>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</si>
  <si>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</si>
  <si>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</si>
  <si>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</si>
  <si>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</si>
  <si>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</si>
  <si>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</si>
  <si>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</si>
  <si>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</si>
  <si>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</si>
  <si>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</si>
  <si>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</si>
  <si>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</si>
  <si>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</si>
  <si>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</si>
  <si>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</si>
  <si>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</si>
  <si>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</si>
  <si>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</si>
  <si>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</si>
  <si>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</si>
  <si>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</si>
  <si>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</si>
  <si>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</si>
  <si>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</si>
  <si>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</si>
  <si>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</si>
  <si>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</si>
  <si>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</si>
  <si>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</si>
  <si>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</si>
  <si>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</si>
  <si>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</si>
  <si>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</si>
  <si>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</si>
  <si>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</si>
  <si>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</si>
  <si>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</si>
  <si>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</si>
  <si>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</si>
  <si>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</si>
  <si>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</si>
  <si>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</si>
  <si>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</si>
  <si>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</si>
  <si>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</si>
  <si>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</si>
  <si>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</si>
  <si>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</si>
  <si>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</si>
  <si>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</si>
  <si>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</si>
  <si>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</si>
  <si>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</si>
  <si>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</si>
  <si>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</si>
  <si>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</si>
  <si>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</si>
  <si>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</si>
  <si>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</si>
  <si>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</si>
  <si>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</si>
  <si>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</si>
  <si>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</si>
  <si>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</si>
  <si>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</si>
  <si>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</si>
  <si>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</si>
  <si>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</si>
  <si>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</si>
  <si>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</si>
  <si>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</si>
  <si>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</si>
  <si>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</si>
  <si>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</si>
  <si>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</si>
  <si>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</si>
  <si>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</si>
  <si>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</si>
  <si>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</si>
  <si>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</si>
  <si>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</si>
  <si>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</si>
  <si>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</si>
  <si>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</si>
  <si>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</si>
  <si>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</si>
  <si>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</si>
  <si>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</si>
  <si>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</si>
  <si>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</si>
  <si>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</si>
  <si>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</si>
  <si>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</si>
  <si>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</si>
  <si>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</si>
  <si>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</si>
  <si>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</si>
  <si>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</si>
  <si>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</si>
  <si>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</si>
  <si>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</si>
  <si>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</si>
  <si>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</si>
  <si>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</si>
  <si>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</si>
  <si>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</si>
  <si>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</si>
  <si>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</si>
  <si>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</si>
  <si>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</si>
  <si>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</si>
  <si>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</si>
  <si>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</si>
  <si>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</si>
  <si>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</si>
  <si>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</si>
  <si>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</si>
  <si>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</si>
  <si>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</si>
  <si>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</si>
  <si>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</si>
  <si>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</si>
  <si>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</si>
  <si>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</si>
  <si>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</si>
  <si>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</si>
  <si>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</si>
  <si>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</si>
  <si>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</si>
  <si>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</si>
  <si>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</si>
  <si>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</si>
  <si>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</si>
  <si>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</si>
  <si>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</si>
  <si>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</si>
  <si>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</si>
  <si>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</si>
  <si>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</si>
  <si>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</si>
  <si>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</si>
  <si>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</si>
  <si>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</si>
  <si>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</si>
  <si>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</si>
  <si>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</si>
  <si>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</si>
  <si>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</si>
  <si>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</si>
  <si>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</si>
  <si>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</si>
  <si>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</si>
  <si>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</si>
  <si>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</si>
  <si>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</si>
  <si>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</si>
  <si>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</si>
  <si>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</si>
  <si>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</si>
  <si>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</si>
  <si>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</si>
  <si>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</si>
  <si>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</si>
  <si>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</si>
  <si>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</si>
  <si>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</si>
  <si>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</si>
  <si>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</si>
  <si>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</si>
  <si>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</si>
  <si>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</si>
  <si>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</si>
  <si>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</si>
  <si>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</si>
  <si>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</si>
  <si>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</si>
  <si>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</si>
  <si>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</si>
  <si>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</si>
  <si>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</si>
  <si>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</si>
  <si>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</si>
  <si>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</si>
  <si>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</si>
  <si>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</si>
  <si>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</si>
  <si>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</si>
  <si>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</si>
  <si>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</si>
  <si>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</si>
  <si>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</si>
  <si>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</si>
  <si>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</si>
  <si>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</si>
  <si>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</si>
  <si>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</si>
  <si>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</si>
  <si>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</si>
  <si>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</si>
  <si>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</si>
  <si>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</si>
  <si>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</si>
  <si>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</si>
  <si>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</si>
  <si>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</si>
  <si>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</si>
  <si>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</si>
  <si>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</si>
  <si>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</si>
  <si>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</si>
  <si>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</si>
  <si>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</si>
  <si>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</si>
  <si>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</si>
  <si>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</si>
  <si>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</si>
  <si>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</si>
  <si>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</si>
  <si>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</si>
  <si>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</si>
  <si>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</si>
  <si>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</si>
  <si>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</si>
  <si>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</si>
  <si>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</si>
  <si>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</si>
  <si>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</si>
  <si>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</si>
  <si>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</si>
  <si>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</si>
  <si>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</si>
  <si>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</si>
  <si>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</si>
  <si>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</si>
  <si>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</si>
  <si>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</si>
  <si>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</si>
  <si>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</si>
  <si>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</si>
  <si>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</si>
  <si>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</si>
  <si>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</si>
  <si>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</si>
  <si>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</si>
  <si>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</si>
  <si>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</si>
  <si>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</si>
  <si>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</si>
  <si>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</si>
  <si>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</si>
  <si>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</si>
  <si>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</si>
  <si>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</si>
  <si>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</si>
  <si>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</si>
  <si>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</si>
  <si>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</si>
  <si>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</si>
  <si>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</si>
  <si>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</si>
  <si>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</si>
  <si>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</si>
  <si>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</si>
  <si>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</si>
  <si>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</si>
  <si>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</si>
  <si>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</si>
  <si>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</si>
  <si>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</si>
  <si>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</si>
  <si>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</si>
  <si>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</si>
  <si>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</si>
  <si>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</si>
  <si>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</si>
  <si>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</si>
  <si>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</si>
  <si>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</si>
  <si>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</si>
  <si>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</si>
  <si>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</si>
  <si>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</si>
  <si>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</si>
  <si>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</si>
  <si>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</si>
  <si>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</si>
  <si>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</si>
  <si>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</si>
  <si>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</si>
  <si>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</si>
  <si>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</si>
  <si>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</si>
  <si>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</si>
  <si>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</si>
  <si>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</si>
  <si>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</si>
  <si>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</si>
  <si>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</si>
  <si>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</si>
  <si>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</si>
  <si>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</si>
  <si>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</si>
  <si>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</si>
  <si>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</si>
  <si>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</si>
  <si>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</si>
  <si>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</si>
  <si>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</si>
  <si>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</si>
  <si>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</si>
  <si>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</si>
  <si>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</si>
  <si>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</si>
  <si>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</si>
  <si>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</si>
  <si>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</si>
  <si>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</si>
  <si>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</si>
  <si>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</si>
  <si>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</si>
  <si>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</si>
  <si>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</si>
  <si>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</si>
  <si>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</si>
  <si>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</si>
  <si>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</si>
  <si>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</si>
  <si>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</si>
  <si>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</si>
  <si>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</si>
  <si>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</si>
  <si>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</si>
  <si>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</si>
  <si>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</si>
  <si>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</si>
  <si>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</si>
  <si>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</si>
  <si>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</si>
  <si>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</si>
  <si>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</si>
  <si>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</si>
  <si>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</si>
  <si>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</si>
  <si>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</si>
  <si>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</si>
  <si>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</si>
  <si>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</si>
  <si>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</si>
  <si>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</si>
  <si>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</si>
  <si>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</si>
  <si>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</si>
  <si>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</si>
  <si>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</si>
  <si>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</si>
  <si>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</si>
  <si>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</si>
  <si>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</si>
  <si>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</si>
  <si>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</si>
  <si>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</si>
  <si>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</si>
  <si>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</si>
  <si>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</si>
  <si>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</si>
  <si>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</si>
  <si>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</si>
  <si>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</si>
  <si>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</si>
  <si>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</si>
  <si>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</si>
  <si>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</si>
  <si>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</si>
  <si>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</si>
  <si>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</si>
  <si>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</si>
  <si>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</si>
  <si>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</si>
  <si>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</si>
  <si>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</si>
  <si>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</si>
  <si>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</si>
  <si>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</si>
  <si>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</si>
  <si>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</si>
  <si>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</si>
  <si>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</si>
  <si>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</si>
  <si>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</si>
  <si>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</si>
  <si>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</si>
  <si>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</si>
  <si>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</si>
  <si>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</si>
  <si>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</si>
  <si>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</si>
  <si>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</si>
  <si>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</si>
  <si>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</si>
  <si>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</si>
  <si>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</si>
  <si>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</si>
  <si>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</si>
  <si>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</si>
  <si>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</si>
  <si>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</si>
  <si>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</si>
  <si>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</si>
  <si>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</si>
  <si>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</si>
  <si>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</si>
  <si>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</si>
  <si>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</si>
  <si>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</si>
  <si>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</si>
  <si>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</si>
  <si>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</si>
  <si>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</si>
  <si>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</si>
  <si>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</si>
  <si>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</si>
  <si>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</si>
  <si>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</si>
  <si>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</si>
  <si>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</si>
  <si>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</si>
  <si>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</si>
  <si>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</si>
  <si>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</si>
  <si>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</si>
  <si>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</si>
  <si>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</si>
  <si>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</si>
  <si>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</si>
  <si>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</si>
  <si>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</si>
  <si>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</si>
  <si>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</si>
  <si>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</si>
  <si>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</si>
  <si>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</si>
  <si>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</si>
  <si>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</si>
  <si>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</si>
  <si>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</si>
  <si>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</si>
  <si>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</si>
  <si>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</si>
  <si>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</si>
  <si>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</si>
  <si>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</si>
  <si>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</si>
  <si>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</si>
  <si>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</si>
  <si>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</si>
  <si>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</si>
  <si>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</si>
  <si>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</si>
  <si>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</si>
  <si>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</si>
  <si>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</si>
  <si>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</si>
  <si>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</si>
  <si>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</si>
  <si>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</si>
  <si>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</si>
  <si>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</si>
  <si>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</si>
  <si>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</si>
  <si>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</si>
  <si>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</si>
  <si>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</si>
  <si>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</si>
  <si>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</si>
  <si>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</si>
  <si>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</si>
  <si>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</si>
  <si>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</si>
  <si>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</si>
  <si>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</si>
  <si>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</si>
  <si>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</si>
  <si>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</si>
  <si>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</si>
  <si>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</si>
  <si>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</si>
  <si>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</si>
  <si>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</si>
  <si>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</si>
  <si>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</si>
  <si>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</si>
  <si>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</si>
  <si>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</si>
  <si>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</si>
  <si>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</si>
  <si>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</si>
  <si>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</si>
  <si>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</si>
  <si>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</si>
  <si>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</si>
  <si>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</si>
  <si>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</si>
  <si>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</si>
  <si>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</si>
  <si>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</si>
  <si>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</si>
  <si>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</si>
  <si>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</si>
  <si>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</si>
  <si>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</si>
  <si>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</si>
  <si>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</si>
  <si>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</si>
  <si>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</si>
  <si>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</si>
  <si>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</si>
  <si>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</si>
  <si>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</si>
  <si>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</si>
  <si>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</si>
  <si>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</si>
  <si>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</si>
  <si>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</si>
  <si>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</si>
  <si>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</si>
  <si>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</si>
  <si>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</si>
  <si>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</si>
  <si>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</si>
  <si>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</si>
  <si>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</si>
  <si>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</si>
  <si>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</si>
  <si>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</si>
  <si>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</si>
  <si>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</si>
  <si>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</si>
  <si>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</si>
  <si>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</si>
  <si>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</si>
  <si>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</si>
  <si>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</si>
  <si>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</si>
  <si>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</si>
  <si>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</si>
  <si>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</si>
  <si>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</si>
  <si>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</si>
  <si>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</si>
  <si>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</si>
  <si>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</si>
  <si>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</si>
  <si>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</si>
  <si>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</si>
  <si>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</si>
  <si>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</si>
  <si>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</si>
  <si>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</si>
  <si>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</si>
  <si>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</si>
  <si>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</si>
  <si>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</si>
  <si>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</si>
  <si>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</si>
  <si>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</si>
  <si>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</si>
  <si>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</si>
  <si>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</si>
  <si>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</si>
  <si>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</si>
  <si>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</si>
  <si>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</si>
  <si>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</si>
  <si>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</si>
  <si>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</si>
  <si>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</si>
  <si>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</si>
  <si>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</si>
  <si>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</si>
  <si>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</si>
  <si>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</si>
  <si>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</si>
  <si>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</si>
  <si>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</si>
  <si>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</si>
  <si>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</si>
  <si>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</si>
  <si>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</si>
  <si>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</si>
  <si>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</si>
  <si>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</si>
  <si>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</si>
  <si>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</si>
  <si>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</si>
  <si>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</si>
  <si>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</si>
  <si>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</si>
  <si>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</si>
  <si>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</si>
  <si>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</si>
  <si>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</si>
  <si>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</si>
  <si>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</si>
  <si>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</si>
  <si>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</si>
  <si>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</si>
  <si>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</si>
  <si>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</si>
  <si>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</si>
  <si>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</si>
  <si>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</si>
  <si>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</si>
  <si>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</si>
  <si>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</si>
  <si>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</si>
  <si>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</si>
  <si>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</si>
  <si>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</si>
  <si>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</si>
  <si>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</si>
  <si>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</si>
  <si>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</si>
  <si>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</si>
  <si>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</si>
  <si>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</si>
  <si>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</si>
  <si>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</si>
  <si>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</si>
  <si>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</si>
  <si>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</si>
  <si>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</si>
  <si>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</si>
  <si>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</si>
  <si>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</si>
  <si>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</si>
  <si>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</si>
  <si>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</si>
  <si>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</si>
  <si>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</si>
  <si>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</si>
  <si>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</si>
  <si>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</si>
  <si>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</si>
  <si>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</si>
  <si>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</si>
  <si>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</si>
  <si>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</si>
  <si>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</si>
  <si>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</si>
  <si>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</si>
  <si>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</si>
  <si>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</si>
  <si>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</si>
  <si>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</si>
  <si>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</si>
  <si>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</si>
  <si>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</si>
  <si>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</si>
  <si>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</si>
  <si>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</si>
  <si>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</si>
  <si>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</si>
  <si>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</si>
  <si>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</si>
  <si>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</si>
  <si>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</si>
  <si>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</si>
  <si>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</si>
  <si>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</si>
  <si>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</si>
  <si>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</si>
  <si>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</si>
  <si>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</si>
  <si>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</si>
  <si>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</si>
  <si>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</si>
  <si>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</si>
  <si>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</si>
  <si>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</si>
  <si>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</si>
  <si>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</si>
  <si>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</si>
  <si>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</si>
  <si>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</si>
  <si>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</si>
  <si>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</si>
  <si>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</si>
  <si>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</si>
  <si>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</si>
  <si>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</si>
  <si>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</si>
  <si>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</si>
  <si>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</si>
  <si>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</si>
  <si>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</si>
  <si>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</si>
  <si>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</si>
  <si>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</si>
  <si>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</si>
  <si>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</si>
  <si>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</si>
  <si>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</si>
  <si>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</si>
  <si>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</si>
  <si>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</si>
  <si>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</si>
  <si>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</si>
  <si>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</si>
  <si>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</si>
  <si>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</si>
  <si>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</si>
  <si>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</si>
  <si>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</si>
  <si>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</si>
  <si>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</si>
  <si>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</si>
  <si>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</si>
  <si>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</si>
  <si>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</si>
  <si>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</si>
  <si>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</si>
  <si>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</si>
  <si>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</si>
  <si>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</si>
  <si>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</si>
  <si>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</si>
  <si>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</si>
  <si>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</si>
  <si>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</si>
  <si>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</si>
  <si>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</si>
  <si>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</si>
  <si>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</si>
  <si>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</si>
  <si>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</si>
  <si>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</si>
  <si>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</si>
  <si>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</si>
  <si>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</si>
  <si>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</si>
  <si>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</si>
  <si>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</si>
  <si>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</si>
  <si>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</si>
  <si>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</si>
  <si>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</si>
  <si>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</si>
  <si>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</si>
  <si>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</si>
  <si>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</si>
  <si>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</si>
  <si>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</si>
  <si>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</si>
  <si>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</si>
  <si>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</si>
  <si>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</si>
  <si>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</si>
  <si>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</si>
  <si>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</si>
  <si>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</si>
  <si>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</si>
  <si>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</si>
  <si>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</si>
  <si>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</si>
  <si>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</si>
  <si>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</si>
  <si>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</si>
  <si>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</si>
  <si>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</si>
  <si>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</si>
  <si>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</si>
  <si>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</si>
  <si>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</si>
  <si>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</si>
  <si>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</si>
  <si>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</si>
  <si>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</si>
  <si>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</si>
  <si>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</si>
  <si>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</si>
  <si>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</si>
  <si>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</si>
  <si>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</si>
  <si>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</si>
  <si>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</si>
  <si>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</si>
  <si>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</si>
  <si>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</si>
  <si>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</si>
  <si>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</si>
  <si>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</si>
  <si>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</si>
  <si>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</si>
  <si>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</si>
  <si>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</si>
  <si>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</si>
  <si>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</si>
  <si>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</si>
  <si>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</si>
  <si>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</si>
  <si>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</si>
  <si>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</si>
  <si>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</si>
  <si>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</si>
  <si>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</si>
  <si>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</si>
  <si>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</si>
  <si>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</si>
  <si>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</si>
  <si>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</si>
  <si>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</si>
  <si>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</si>
  <si>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</si>
  <si>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</si>
  <si>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</si>
  <si>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</si>
  <si>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</si>
  <si>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</si>
  <si>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</si>
  <si>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</si>
  <si>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</si>
  <si>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</si>
  <si>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</si>
  <si>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</si>
  <si>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</si>
  <si>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</si>
  <si>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</si>
  <si>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</si>
  <si>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</si>
  <si>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</si>
  <si>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</si>
  <si>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</si>
  <si>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</si>
  <si>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</si>
  <si>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</si>
  <si>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</si>
  <si>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</si>
  <si>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</si>
  <si>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</si>
  <si>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</si>
  <si>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</si>
  <si>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</si>
  <si>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</si>
  <si>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</si>
  <si>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</si>
  <si>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</si>
  <si>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</si>
  <si>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</si>
  <si>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</si>
  <si>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</si>
  <si>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</si>
  <si>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</si>
  <si>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</si>
  <si>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</si>
  <si>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</si>
  <si>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</si>
  <si>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</si>
  <si>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</si>
  <si>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</si>
  <si>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</si>
  <si>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</si>
  <si>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</si>
  <si>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</si>
  <si>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</si>
  <si>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</si>
  <si>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</si>
  <si>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</si>
  <si>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</si>
  <si>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</si>
  <si>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</si>
  <si>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</si>
  <si>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</si>
  <si>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</si>
  <si>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</si>
  <si>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</si>
  <si>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</si>
  <si>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</si>
  <si>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</si>
  <si>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</si>
  <si>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</si>
  <si>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</si>
  <si>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</si>
  <si>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</si>
  <si>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</si>
  <si>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</si>
  <si>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</si>
  <si>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</si>
  <si>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</si>
  <si>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</si>
  <si>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</si>
  <si>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</si>
  <si>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</si>
  <si>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</si>
  <si>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</si>
  <si>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</si>
  <si>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</si>
  <si>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</si>
  <si>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</si>
  <si>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</si>
  <si>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</si>
  <si>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</si>
  <si>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</si>
  <si>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</si>
  <si>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</si>
  <si>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</si>
  <si>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</si>
  <si>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</si>
  <si>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</si>
  <si>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</si>
  <si>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</si>
  <si>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</si>
  <si>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</si>
  <si>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</si>
  <si>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</si>
  <si>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</si>
  <si>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</si>
  <si>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</si>
  <si>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</si>
  <si>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</si>
  <si>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</si>
  <si>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</si>
  <si>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</si>
  <si>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</si>
  <si>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</si>
  <si>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</si>
  <si>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</si>
  <si>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</si>
  <si>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</si>
  <si>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</si>
  <si>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</si>
  <si>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</si>
  <si>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</si>
  <si>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</si>
  <si>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</si>
  <si>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</si>
  <si>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</si>
  <si>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</si>
  <si>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</si>
  <si>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</si>
  <si>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</si>
  <si>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</si>
  <si>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</si>
  <si>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</si>
  <si>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</si>
  <si>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</si>
  <si>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</si>
  <si>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</si>
  <si>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</si>
  <si>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</si>
  <si>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</si>
  <si>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</si>
  <si>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</si>
  <si>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</si>
  <si>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</si>
  <si>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</si>
  <si>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</si>
  <si>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</si>
  <si>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</si>
  <si>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</si>
  <si>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</si>
  <si>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</si>
  <si>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</si>
  <si>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</si>
  <si>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</si>
  <si>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</si>
  <si>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</si>
  <si>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</si>
  <si>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</si>
  <si>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</si>
  <si>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</si>
  <si>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</si>
  <si>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</si>
  <si>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</si>
  <si>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</si>
  <si>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</si>
  <si>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</si>
  <si>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</si>
  <si>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</si>
  <si>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</si>
  <si>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</si>
  <si>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</si>
  <si>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</si>
  <si>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</si>
  <si>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</si>
  <si>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</si>
  <si>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</si>
  <si>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</si>
  <si>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</si>
  <si>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</si>
  <si>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</si>
  <si>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</si>
  <si>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</si>
  <si>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</si>
  <si>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</si>
  <si>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</si>
  <si>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</si>
  <si>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</si>
  <si>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</si>
  <si>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</si>
  <si>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</si>
  <si>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</si>
  <si>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</si>
  <si>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</si>
  <si>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</si>
  <si>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</si>
  <si>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</si>
  <si>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</si>
  <si>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</si>
  <si>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</si>
  <si>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</si>
  <si>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</si>
  <si>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</si>
  <si>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</si>
  <si>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</si>
  <si>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</si>
  <si>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</si>
  <si>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</si>
  <si>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</si>
  <si>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</si>
  <si>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</si>
  <si>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</si>
  <si>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</si>
  <si>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</si>
  <si>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</si>
  <si>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</si>
  <si>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</si>
  <si>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</si>
  <si>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</si>
  <si>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</si>
  <si>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</si>
  <si>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</si>
  <si>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</si>
  <si>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</si>
  <si>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</si>
  <si>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</si>
  <si>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</si>
  <si>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</si>
  <si>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</si>
  <si>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</si>
  <si>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</si>
  <si>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</si>
  <si>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</si>
  <si>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</si>
  <si>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</si>
  <si>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</si>
  <si>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</si>
  <si>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</si>
  <si>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</si>
  <si>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</si>
  <si>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</si>
  <si>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</si>
  <si>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</si>
  <si>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</si>
  <si>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</si>
  <si>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</si>
  <si>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</si>
  <si>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</si>
  <si>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</si>
  <si>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</si>
  <si>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</si>
  <si>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</si>
  <si>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</si>
  <si>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</si>
  <si>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</si>
  <si>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</si>
  <si>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</si>
  <si>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</si>
  <si>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</si>
  <si>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</si>
  <si>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</si>
  <si>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</si>
  <si>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</si>
  <si>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</si>
  <si>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</si>
  <si>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</si>
  <si>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</si>
  <si>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</si>
  <si>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</si>
  <si>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</si>
  <si>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</si>
  <si>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</si>
  <si>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</si>
  <si>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</si>
  <si>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</si>
  <si>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</si>
  <si>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</si>
  <si>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</si>
  <si>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</si>
  <si>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</si>
  <si>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</si>
  <si>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</si>
  <si>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</si>
  <si>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</si>
  <si>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</si>
  <si>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</si>
  <si>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</si>
  <si>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</si>
  <si>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</si>
  <si>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</si>
  <si>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</si>
  <si>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</si>
  <si>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</si>
  <si>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</si>
  <si>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</si>
  <si>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</si>
  <si>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</si>
  <si>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</si>
  <si>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</si>
  <si>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</si>
  <si>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</si>
  <si>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</si>
  <si>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</si>
  <si>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</si>
  <si>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</si>
  <si>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</si>
  <si>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</si>
  <si>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</si>
  <si>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</si>
  <si>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</si>
  <si>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</si>
  <si>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</si>
  <si>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</si>
  <si>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</si>
  <si>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</si>
  <si>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</si>
  <si>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</si>
  <si>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</si>
  <si>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</si>
  <si>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</si>
  <si>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</si>
  <si>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</si>
  <si>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</si>
  <si>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</si>
  <si>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</si>
  <si>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</si>
  <si>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</si>
  <si>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</si>
  <si>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</si>
  <si>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</si>
  <si>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</si>
  <si>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</si>
  <si>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</si>
  <si>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</si>
  <si>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</si>
  <si>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</si>
  <si>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</si>
  <si>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</si>
  <si>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</si>
  <si>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</si>
  <si>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</si>
  <si>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</si>
  <si>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</si>
  <si>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</si>
  <si>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</si>
  <si>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</si>
  <si>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</si>
  <si>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</si>
  <si>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</si>
  <si>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</si>
  <si>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</si>
  <si>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</si>
  <si>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</si>
  <si>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</si>
  <si>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</si>
  <si>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</si>
  <si>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</si>
  <si>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</si>
  <si>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</si>
  <si>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</si>
  <si>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</si>
  <si>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</si>
  <si>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</si>
  <si>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</si>
  <si>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</si>
  <si>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</si>
  <si>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</si>
  <si>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</si>
  <si>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</si>
  <si>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</si>
  <si>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</si>
  <si>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</si>
  <si>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</si>
  <si>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</si>
  <si>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</si>
  <si>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</si>
  <si>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</si>
  <si>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</si>
  <si>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</si>
  <si>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</si>
  <si>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</si>
  <si>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</si>
  <si>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</si>
  <si>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</si>
  <si>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</si>
  <si>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</si>
  <si>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</si>
  <si>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</si>
  <si>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</si>
  <si>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</si>
  <si>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</si>
  <si>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</si>
  <si>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</si>
  <si>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</si>
  <si>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</si>
  <si>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</si>
  <si>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</si>
  <si>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</si>
  <si>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</si>
  <si>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</si>
  <si>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</si>
  <si>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</si>
  <si>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</si>
  <si>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</si>
  <si>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</si>
  <si>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</si>
  <si>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</si>
  <si>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</si>
  <si>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</si>
  <si>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</si>
  <si>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</si>
  <si>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</si>
  <si>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</si>
  <si>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</si>
  <si>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</si>
  <si>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</si>
  <si>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</si>
  <si>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</si>
  <si>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</si>
  <si>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</si>
  <si>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</si>
  <si>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</si>
  <si>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</si>
  <si>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</si>
  <si>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</si>
  <si>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</si>
  <si>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</si>
  <si>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</si>
  <si>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</si>
  <si>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</si>
  <si>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</si>
  <si>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</si>
  <si>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</si>
  <si>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</si>
  <si>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</si>
  <si>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</si>
  <si>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</si>
  <si>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</si>
  <si>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</si>
  <si>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</si>
  <si>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</si>
  <si>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</si>
  <si>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</si>
  <si>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</si>
  <si>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</si>
  <si>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</si>
  <si>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</si>
  <si>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</si>
  <si>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</si>
  <si>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</si>
  <si>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</si>
  <si>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</si>
  <si>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</si>
  <si>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</si>
  <si>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</si>
  <si>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</si>
  <si>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</si>
  <si>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</si>
  <si>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</si>
  <si>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</si>
  <si>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</si>
  <si>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</si>
  <si>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</si>
  <si>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</si>
  <si>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</si>
  <si>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</si>
  <si>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</si>
  <si>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</si>
  <si>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</si>
  <si>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</si>
  <si>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</si>
  <si>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</si>
  <si>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</si>
  <si>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</si>
  <si>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</si>
  <si>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</si>
  <si>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</si>
  <si>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</si>
  <si>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</si>
  <si>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</si>
  <si>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</si>
  <si>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</si>
  <si>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</si>
  <si>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</si>
  <si>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</si>
  <si>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</si>
  <si>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</si>
  <si>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</si>
  <si>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</si>
  <si>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</si>
  <si>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</si>
  <si>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</si>
  <si>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</si>
  <si>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</si>
  <si>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</si>
  <si>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</si>
  <si>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</si>
  <si>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</si>
  <si>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</si>
  <si>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</si>
  <si>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</si>
  <si>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</si>
  <si>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</si>
  <si>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</si>
  <si>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</si>
  <si>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</si>
  <si>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</si>
  <si>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</si>
  <si>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</si>
  <si>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</si>
  <si>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</si>
  <si>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</si>
  <si>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</si>
  <si>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</si>
  <si>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</si>
  <si>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</si>
  <si>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</si>
  <si>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</si>
  <si>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</si>
  <si>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</si>
  <si>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</si>
  <si>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</si>
  <si>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</si>
  <si>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</si>
  <si>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</si>
  <si>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</si>
  <si>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</si>
  <si>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</si>
  <si>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</si>
  <si>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</si>
  <si>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</si>
  <si>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</si>
  <si>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</si>
  <si>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</si>
  <si>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</si>
  <si>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</si>
  <si>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</si>
  <si>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</si>
  <si>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</si>
  <si>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</si>
  <si>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</si>
  <si>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</si>
  <si>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</si>
  <si>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</si>
  <si>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</si>
  <si>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</si>
  <si>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</si>
  <si>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</si>
  <si>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</si>
  <si>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</si>
  <si>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</si>
  <si>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</si>
  <si>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</si>
  <si>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</si>
  <si>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</si>
  <si>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</si>
  <si>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</si>
  <si>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</si>
  <si>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</si>
  <si>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</si>
  <si>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</si>
  <si>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</si>
  <si>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</si>
  <si>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</si>
  <si>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</si>
  <si>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</si>
  <si>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</si>
  <si>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</si>
  <si>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</si>
  <si>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</si>
  <si>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</si>
  <si>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</si>
  <si>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</si>
  <si>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</si>
  <si>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</si>
  <si>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</si>
  <si>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</si>
  <si>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</si>
  <si>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</si>
  <si>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</si>
  <si>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</si>
  <si>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</si>
  <si>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</si>
  <si>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</si>
  <si>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</si>
  <si>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</si>
  <si>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</si>
  <si>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</si>
  <si>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</si>
  <si>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</si>
  <si>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</si>
  <si>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</si>
  <si>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</si>
  <si>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</si>
  <si>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</si>
  <si>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</si>
  <si>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</si>
  <si>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</si>
  <si>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</si>
  <si>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</si>
  <si>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</si>
  <si>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</si>
  <si>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</si>
  <si>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</si>
  <si>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</si>
  <si>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</si>
  <si>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</si>
  <si>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</si>
  <si>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</si>
  <si>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</si>
  <si>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</si>
  <si>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</si>
  <si>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</si>
  <si>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</si>
  <si>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</si>
  <si>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</si>
  <si>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</si>
  <si>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</si>
  <si>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</si>
  <si>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</si>
  <si>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</si>
  <si>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</si>
  <si>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</si>
  <si>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</si>
  <si>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</si>
  <si>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</si>
  <si>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</si>
  <si>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</si>
  <si>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</si>
  <si>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</si>
  <si>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</si>
  <si>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</si>
  <si>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</si>
  <si>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</si>
  <si>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</si>
  <si>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</si>
  <si>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</si>
  <si>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</si>
  <si>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</si>
  <si>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</si>
  <si>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</si>
  <si>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</si>
  <si>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</si>
  <si>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</si>
  <si>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</si>
  <si>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</si>
  <si>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</si>
  <si>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</si>
  <si>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</si>
  <si>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</si>
  <si>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</si>
  <si>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</si>
  <si>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</si>
  <si>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</si>
  <si>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</si>
  <si>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</si>
  <si>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</si>
  <si>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</si>
  <si>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</si>
  <si>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</si>
  <si>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</si>
  <si>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</si>
  <si>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</si>
  <si>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</si>
  <si>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</si>
  <si>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</si>
  <si>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</si>
  <si>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</si>
  <si>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</si>
  <si>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</si>
  <si>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</si>
  <si>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</si>
  <si>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</si>
  <si>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</si>
  <si>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</si>
  <si>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</si>
  <si>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</si>
  <si>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</si>
  <si>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</si>
  <si>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</si>
  <si>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</si>
  <si>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</si>
  <si>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</si>
  <si>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</si>
  <si>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</si>
  <si>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</si>
  <si>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</si>
  <si>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</si>
  <si>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</si>
  <si>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</si>
  <si>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</si>
  <si>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</si>
  <si>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</si>
  <si>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</si>
  <si>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</si>
  <si>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</si>
  <si>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</si>
  <si>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</si>
  <si>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</si>
  <si>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</si>
  <si>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</si>
  <si>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</si>
  <si>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</si>
  <si>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</si>
  <si>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</si>
  <si>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</si>
  <si>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</si>
  <si>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</si>
  <si>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</si>
  <si>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</si>
  <si>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</si>
  <si>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</si>
  <si>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</si>
  <si>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</si>
  <si>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</si>
  <si>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</si>
  <si>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</si>
  <si>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</si>
  <si>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</si>
  <si>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</si>
  <si>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</si>
  <si>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</si>
  <si>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</si>
  <si>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</si>
  <si>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</si>
  <si>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</si>
  <si>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</si>
  <si>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</si>
  <si>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</si>
  <si>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</si>
  <si>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</si>
  <si>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</si>
  <si>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</si>
  <si>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</si>
  <si>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</si>
  <si>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</si>
  <si>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</si>
  <si>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</si>
  <si>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</si>
  <si>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</si>
  <si>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</si>
  <si>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</si>
  <si>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</si>
  <si>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</si>
  <si>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</si>
  <si>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</si>
  <si>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</si>
  <si>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</si>
  <si>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</si>
  <si>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</si>
  <si>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</si>
  <si>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</si>
  <si>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</si>
  <si>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</si>
  <si>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</si>
  <si>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</si>
  <si>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</si>
  <si>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</si>
  <si>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</si>
  <si>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</si>
  <si>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</si>
  <si>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</si>
  <si>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</si>
  <si>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</si>
  <si>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</si>
  <si>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</si>
  <si>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</si>
  <si>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</si>
  <si>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</si>
  <si>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</si>
  <si>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</si>
  <si>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</si>
  <si>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</si>
  <si>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</si>
  <si>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</si>
  <si>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</si>
  <si>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</si>
  <si>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</si>
  <si>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</si>
  <si>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</si>
  <si>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</si>
  <si>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</si>
  <si>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</si>
  <si>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</si>
  <si>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</si>
  <si>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</si>
  <si>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</si>
  <si>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</si>
  <si>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</si>
  <si>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</si>
  <si>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</si>
  <si>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</si>
  <si>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</si>
  <si>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</si>
  <si>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</si>
  <si>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</si>
  <si>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</si>
  <si>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</si>
  <si>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</si>
  <si>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</si>
  <si>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</si>
  <si>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</si>
  <si>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</si>
  <si>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</si>
  <si>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</si>
  <si>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</si>
  <si>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</si>
  <si>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</si>
  <si>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</si>
  <si>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</si>
  <si>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</si>
  <si>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</si>
  <si>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</si>
  <si>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</si>
  <si>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</si>
  <si>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</si>
  <si>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</si>
  <si>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</si>
  <si>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</si>
  <si>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</si>
  <si>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</si>
  <si>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</si>
  <si>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</si>
  <si>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</si>
  <si>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</si>
  <si>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</si>
  <si>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</si>
  <si>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</si>
  <si>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</si>
  <si>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</si>
  <si>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</si>
  <si>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</si>
  <si>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</si>
  <si>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</si>
  <si>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</si>
  <si>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</si>
  <si>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</si>
  <si>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</si>
  <si>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</si>
  <si>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</si>
  <si>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</si>
  <si>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</si>
  <si>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</si>
  <si>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</si>
  <si>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</si>
  <si>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</si>
  <si>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</si>
  <si>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</si>
  <si>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</si>
  <si>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</si>
  <si>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</si>
  <si>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</si>
  <si>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</si>
  <si>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</si>
  <si>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</si>
  <si>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</si>
  <si>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</si>
  <si>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</si>
  <si>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</si>
  <si>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</si>
  <si>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</si>
  <si>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</si>
  <si>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</si>
  <si>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</si>
  <si>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</si>
  <si>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</si>
  <si>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</si>
  <si>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</si>
  <si>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</si>
  <si>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</si>
  <si>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</si>
  <si>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</si>
  <si>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</si>
  <si>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</si>
  <si>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</si>
  <si>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</si>
  <si>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</si>
  <si>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</si>
  <si>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</si>
  <si>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</si>
  <si>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</si>
  <si>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</si>
  <si>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</si>
  <si>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</si>
  <si>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</si>
  <si>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</si>
  <si>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</si>
  <si>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</si>
  <si>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</si>
  <si>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</si>
  <si>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</si>
  <si>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</si>
  <si>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</si>
  <si>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</si>
  <si>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</si>
  <si>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</si>
  <si>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</si>
  <si>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</si>
  <si>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</si>
  <si>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</si>
  <si>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</si>
  <si>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</si>
  <si>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</si>
  <si>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</si>
  <si>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</si>
  <si>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</si>
  <si>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</si>
  <si>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</si>
  <si>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</si>
  <si>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</si>
  <si>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</si>
  <si>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</si>
  <si>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</si>
  <si>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</si>
  <si>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</si>
  <si>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</si>
  <si>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</si>
  <si>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</si>
  <si>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</si>
  <si>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</si>
  <si>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</si>
  <si>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</si>
  <si>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</si>
  <si>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</si>
  <si>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</si>
  <si>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</si>
  <si>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</si>
  <si>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</si>
  <si>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</si>
  <si>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</si>
  <si>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</si>
  <si>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</si>
  <si>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</si>
  <si>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</si>
  <si>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</si>
  <si>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</si>
  <si>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</si>
  <si>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</si>
  <si>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</si>
  <si>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</si>
  <si>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</si>
  <si>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</si>
  <si>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</si>
  <si>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</si>
  <si>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</si>
  <si>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</si>
  <si>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</si>
  <si>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</si>
  <si>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</si>
  <si>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</si>
  <si>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</si>
  <si>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</si>
  <si>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</si>
  <si>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</si>
  <si>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</si>
  <si>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</si>
  <si>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</si>
  <si>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</si>
  <si>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</si>
  <si>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</si>
  <si>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</si>
  <si>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</si>
  <si>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</si>
  <si>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</si>
  <si>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</si>
  <si>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</si>
  <si>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</si>
  <si>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</si>
  <si>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</si>
  <si>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</si>
  <si>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</si>
  <si>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</si>
  <si>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</si>
  <si>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</si>
  <si>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</si>
  <si>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</si>
  <si>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</si>
  <si>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</si>
  <si>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</si>
  <si>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</si>
  <si>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</si>
  <si>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</si>
  <si>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</si>
  <si>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</si>
  <si>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</si>
  <si>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</si>
  <si>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</si>
  <si>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</si>
  <si>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</si>
  <si>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</si>
  <si>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</si>
  <si>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</si>
  <si>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</si>
  <si>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</si>
  <si>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</si>
  <si>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</si>
  <si>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</si>
  <si>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</si>
  <si>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</si>
  <si>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</si>
  <si>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</si>
  <si>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</si>
  <si>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</si>
  <si>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</si>
  <si>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</si>
  <si>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</si>
  <si>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</si>
  <si>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</si>
  <si>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</si>
  <si>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</si>
  <si>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</si>
  <si>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</si>
  <si>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</si>
  <si>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</si>
  <si>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</si>
  <si>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</si>
  <si>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</si>
  <si>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</si>
  <si>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</si>
  <si>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</si>
  <si>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</si>
  <si>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</si>
  <si>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</si>
  <si>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</si>
  <si>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</si>
  <si>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</si>
  <si>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</si>
  <si>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</si>
  <si>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</si>
  <si>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</si>
  <si>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</si>
  <si>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</si>
  <si>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</si>
  <si>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</si>
  <si>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</si>
  <si>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</si>
  <si>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</si>
  <si>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</si>
  <si>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</si>
  <si>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</si>
  <si>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</si>
  <si>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</si>
  <si>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</si>
  <si>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</si>
  <si>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</si>
  <si>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</si>
  <si>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</si>
  <si>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</si>
  <si>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</si>
  <si>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</si>
  <si>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</si>
  <si>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</si>
  <si>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</si>
  <si>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</si>
  <si>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</si>
  <si>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</si>
  <si>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</si>
  <si>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</si>
  <si>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</si>
  <si>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</si>
  <si>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</si>
  <si>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</si>
  <si>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</si>
  <si>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</si>
  <si>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</si>
  <si>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</si>
  <si>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</si>
  <si>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</si>
  <si>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</si>
  <si>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</si>
  <si>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</si>
  <si>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</si>
  <si>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</si>
  <si>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</si>
  <si>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</si>
  <si>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</si>
  <si>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</si>
  <si>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</si>
  <si>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</si>
  <si>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</si>
  <si>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</si>
  <si>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</si>
  <si>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</si>
  <si>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</si>
  <si>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</si>
  <si>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</si>
  <si>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</si>
  <si>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</si>
  <si>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</si>
  <si>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</si>
  <si>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</si>
  <si>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</si>
  <si>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</si>
  <si>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</si>
  <si>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</si>
  <si>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</si>
  <si>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</si>
  <si>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</si>
  <si>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</si>
  <si>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</si>
  <si>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</si>
  <si>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</si>
  <si>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</si>
  <si>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</si>
  <si>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</si>
  <si>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</si>
  <si>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</si>
  <si>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</si>
  <si>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</si>
  <si>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</si>
  <si>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</si>
  <si>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</si>
  <si>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</si>
  <si>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</si>
  <si>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</si>
  <si>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</si>
  <si>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</si>
  <si>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</si>
  <si>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</si>
  <si>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</si>
  <si>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</si>
  <si>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</si>
  <si>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</si>
  <si>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</si>
  <si>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</si>
  <si>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</si>
  <si>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</si>
  <si>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</si>
  <si>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</si>
  <si>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</si>
  <si>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</si>
  <si>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</si>
  <si>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</si>
  <si>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</si>
  <si>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</si>
  <si>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</si>
  <si>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</si>
  <si>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</si>
  <si>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</si>
  <si>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</si>
  <si>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</si>
  <si>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</si>
  <si>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</si>
  <si>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</si>
  <si>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</si>
  <si>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</si>
  <si>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</si>
  <si>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</si>
  <si>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</si>
  <si>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</si>
  <si>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</si>
  <si>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</si>
  <si>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</si>
  <si>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</si>
  <si>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</si>
  <si>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</si>
  <si>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</si>
  <si>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</si>
  <si>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</si>
  <si>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</si>
  <si>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</si>
  <si>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</si>
  <si>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</si>
  <si>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</si>
  <si>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</si>
  <si>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</si>
  <si>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</si>
  <si>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</si>
  <si>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</si>
  <si>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</si>
  <si>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</si>
  <si>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</si>
  <si>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</si>
  <si>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</si>
  <si>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</si>
  <si>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</si>
  <si>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</si>
  <si>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</si>
  <si>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</si>
  <si>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</si>
  <si>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</si>
  <si>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</si>
  <si>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</si>
  <si>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</si>
  <si>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</si>
  <si>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</si>
  <si>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</si>
  <si>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</si>
  <si>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</si>
  <si>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</si>
  <si>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</si>
  <si>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</si>
  <si>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</si>
  <si>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</si>
  <si>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</si>
  <si>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</si>
  <si>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</si>
  <si>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</si>
  <si>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</si>
  <si>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</si>
  <si>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</si>
  <si>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</si>
  <si>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</si>
  <si>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</si>
  <si>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</si>
  <si>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</si>
  <si>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</si>
  <si>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</si>
  <si>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</si>
  <si>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</si>
  <si>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</si>
  <si>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</si>
  <si>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</si>
  <si>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</si>
  <si>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</si>
  <si>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</si>
  <si>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</si>
  <si>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</si>
  <si>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</si>
  <si>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</si>
  <si>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</si>
  <si>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</si>
  <si>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</si>
  <si>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</si>
  <si>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</si>
  <si>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</si>
  <si>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</si>
  <si>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</si>
  <si>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</si>
  <si>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</si>
  <si>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</si>
  <si>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</si>
  <si>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</si>
  <si>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</si>
  <si>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</si>
  <si>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</si>
  <si>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</si>
  <si>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</si>
  <si>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</si>
  <si>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</si>
  <si>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</si>
  <si>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</si>
  <si>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</si>
  <si>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</si>
  <si>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</si>
  <si>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</si>
  <si>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</si>
  <si>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</si>
  <si>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</si>
  <si>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</si>
  <si>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</si>
  <si>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</si>
  <si>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</si>
  <si>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</si>
  <si>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</si>
  <si>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</si>
  <si>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</si>
  <si>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</si>
  <si>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</si>
  <si>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</si>
  <si>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</si>
  <si>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</si>
  <si>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</si>
  <si>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</si>
  <si>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</si>
  <si>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</si>
  <si>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</si>
  <si>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</si>
  <si>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</si>
  <si>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</si>
  <si>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</si>
  <si>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</si>
  <si>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</si>
  <si>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</si>
  <si>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</si>
  <si>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</si>
  <si>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</si>
  <si>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</si>
  <si>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</si>
  <si>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</si>
  <si>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</si>
  <si>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</si>
  <si>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</si>
  <si>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</si>
  <si>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</si>
  <si>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</si>
  <si>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</si>
  <si>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</si>
  <si>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</si>
  <si>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</si>
  <si>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</si>
  <si>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</si>
  <si>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</si>
  <si>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</si>
  <si>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</si>
  <si>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</si>
  <si>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</si>
  <si>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</si>
  <si>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</si>
  <si>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</si>
  <si>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</si>
  <si>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</si>
  <si>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</si>
  <si>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</si>
  <si>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</si>
  <si>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</si>
  <si>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</si>
  <si>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</si>
  <si>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</si>
  <si>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</si>
  <si>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</si>
  <si>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</si>
  <si>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</si>
  <si>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</si>
  <si>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</si>
  <si>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</si>
  <si>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</si>
  <si>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</si>
  <si>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</si>
  <si>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</si>
  <si>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</si>
  <si>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</si>
  <si>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</si>
  <si>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</si>
  <si>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</si>
  <si>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</si>
  <si>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</si>
  <si>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</si>
  <si>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</si>
  <si>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</si>
  <si>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</si>
  <si>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</si>
  <si>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</si>
  <si>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</si>
  <si>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</si>
  <si>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</si>
  <si>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</si>
  <si>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</si>
  <si>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</si>
  <si>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</si>
  <si>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</si>
  <si>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</si>
  <si>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</si>
  <si>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</si>
  <si>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</si>
  <si>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</si>
  <si>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</si>
  <si>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</si>
  <si>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</si>
  <si>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</si>
  <si>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</si>
  <si>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</si>
  <si>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</si>
  <si>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</si>
  <si>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</si>
  <si>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</si>
  <si>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</si>
  <si>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</si>
  <si>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</si>
  <si>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</si>
  <si>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</si>
  <si>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</si>
  <si>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</si>
  <si>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</si>
  <si>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</si>
  <si>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</si>
  <si>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</si>
  <si>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</si>
  <si>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</si>
  <si>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</si>
  <si>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</si>
  <si>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</si>
  <si>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</si>
  <si>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</si>
  <si>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</si>
  <si>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</si>
  <si>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</si>
  <si>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</si>
  <si>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</si>
  <si>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</si>
  <si>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</si>
  <si>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</si>
  <si>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</si>
  <si>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</si>
  <si>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</si>
  <si>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</si>
  <si>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</si>
  <si>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</si>
  <si>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</si>
  <si>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</si>
  <si>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</si>
  <si>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</si>
  <si>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</si>
  <si>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</si>
  <si>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</si>
  <si>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</si>
  <si>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</si>
  <si>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</si>
  <si>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</si>
  <si>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</si>
  <si>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</si>
  <si>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</si>
  <si>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</si>
  <si>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</si>
  <si>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</si>
  <si>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</si>
  <si>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</si>
  <si>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</si>
  <si>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</si>
  <si>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</si>
  <si>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</si>
  <si>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</si>
  <si>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</si>
  <si>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</si>
  <si>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</si>
  <si>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</si>
  <si>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</si>
  <si>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</si>
  <si>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</si>
  <si>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</si>
  <si>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</si>
  <si>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</si>
  <si>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</si>
  <si>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</si>
  <si>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</si>
  <si>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</si>
  <si>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</si>
  <si>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</si>
  <si>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</si>
  <si>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</si>
  <si>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</si>
  <si>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</si>
  <si>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</si>
  <si>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</si>
  <si>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</si>
  <si>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</si>
  <si>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</si>
  <si>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</si>
  <si>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</si>
  <si>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</si>
  <si>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</si>
  <si>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</si>
  <si>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</si>
  <si>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</si>
  <si>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</si>
  <si>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</si>
  <si>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</si>
  <si>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</si>
  <si>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</si>
  <si>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</si>
  <si>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</si>
  <si>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</si>
  <si>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</si>
  <si>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</si>
  <si>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</si>
  <si>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</si>
  <si>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</si>
  <si>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</si>
  <si>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</si>
  <si>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</si>
  <si>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</si>
  <si>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</si>
  <si>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</si>
  <si>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</si>
  <si>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</si>
  <si>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</si>
  <si>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</si>
  <si>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</si>
  <si>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</si>
  <si>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</si>
  <si>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</si>
  <si>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</si>
  <si>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</si>
  <si>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</si>
  <si>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</si>
  <si>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</si>
  <si>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</si>
  <si>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</si>
  <si>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</si>
  <si>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</si>
  <si>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</si>
  <si>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</si>
  <si>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</si>
  <si>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</si>
  <si>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</si>
  <si>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</si>
  <si>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</si>
  <si>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</si>
  <si>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</si>
  <si>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</si>
  <si>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</si>
  <si>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</si>
  <si>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</si>
  <si>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</si>
  <si>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</si>
  <si>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</si>
  <si>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</si>
  <si>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</si>
  <si>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</si>
  <si>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</si>
  <si>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</si>
  <si>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</si>
  <si>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</si>
  <si>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</si>
  <si>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</si>
  <si>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</si>
  <si>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</si>
  <si>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</si>
  <si>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</si>
  <si>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</si>
  <si>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</si>
  <si>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</si>
  <si>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</si>
  <si>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</si>
  <si>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</si>
  <si>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</si>
  <si>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</si>
  <si>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</si>
  <si>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</si>
  <si>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</si>
  <si>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</si>
  <si>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</si>
  <si>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</si>
  <si>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</si>
  <si>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</si>
  <si>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</si>
  <si>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</si>
  <si>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</si>
  <si>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</si>
  <si>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</si>
  <si>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</si>
  <si>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</si>
  <si>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</si>
  <si>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</si>
  <si>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</si>
  <si>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</si>
  <si>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</si>
  <si>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</si>
  <si>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</si>
  <si>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</si>
  <si>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</si>
  <si>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</si>
  <si>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</si>
  <si>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</si>
  <si>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</si>
  <si>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</si>
  <si>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</si>
  <si>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</si>
  <si>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</si>
  <si>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</si>
  <si>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</si>
  <si>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</si>
  <si>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</si>
  <si>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</si>
  <si>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</si>
  <si>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</si>
  <si>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</si>
  <si>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</si>
  <si>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</si>
  <si>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</si>
  <si>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</si>
  <si>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</si>
  <si>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</si>
  <si>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</si>
  <si>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</si>
  <si>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</si>
  <si>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</si>
  <si>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</si>
  <si>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</si>
  <si>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</si>
  <si>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</si>
  <si>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</si>
  <si>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</si>
  <si>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</si>
  <si>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</si>
  <si>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</si>
  <si>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</si>
  <si>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</si>
  <si>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</si>
  <si>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</si>
  <si>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</si>
  <si>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</si>
  <si>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</si>
  <si>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</si>
  <si>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</si>
  <si>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</si>
  <si>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</si>
  <si>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</si>
  <si>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</si>
  <si>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</si>
  <si>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</si>
  <si>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</si>
  <si>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</si>
  <si>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</si>
  <si>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</si>
  <si>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</si>
  <si>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</si>
  <si>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</si>
  <si>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</si>
  <si>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</si>
  <si>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</si>
  <si>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</si>
  <si>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</si>
  <si>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</si>
  <si>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</si>
  <si>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</si>
  <si>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</si>
  <si>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</si>
  <si>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</si>
  <si>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</si>
  <si>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</si>
  <si>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</si>
  <si>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</si>
  <si>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</si>
  <si>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</si>
  <si>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</si>
  <si>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</si>
  <si>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</si>
  <si>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</si>
  <si>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</si>
  <si>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</si>
  <si>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</si>
  <si>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</si>
  <si>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</si>
  <si>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</si>
  <si>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</si>
  <si>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</si>
  <si>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</si>
  <si>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</si>
  <si>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</si>
  <si>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</si>
  <si>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</si>
  <si>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</si>
  <si>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</si>
  <si>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</si>
  <si>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</si>
  <si>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</si>
  <si>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</si>
  <si>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</si>
  <si>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</si>
  <si>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</si>
  <si>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</si>
  <si>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</si>
  <si>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</si>
  <si>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</si>
  <si>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</si>
  <si>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</si>
  <si>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</si>
  <si>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</si>
  <si>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</si>
  <si>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</si>
  <si>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</si>
  <si>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</si>
  <si>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</si>
  <si>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</si>
  <si>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</si>
  <si>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</si>
  <si>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</si>
  <si>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</si>
  <si>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</si>
  <si>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抵押</t>
  </si>
  <si>
    <t>房地产抵押价值</t>
  </si>
  <si>
    <t>北京市</t>
  </si>
  <si>
    <t>企业</t>
  </si>
  <si>
    <t>国测地理信息科技产业园集团有限公司</t>
    <phoneticPr fontId="6" type="noConversion"/>
  </si>
  <si>
    <t>办公项目</t>
  </si>
  <si>
    <t>现房</t>
  </si>
  <si>
    <t>通路</t>
  </si>
  <si>
    <t>通电</t>
  </si>
  <si>
    <t>通讯</t>
  </si>
  <si>
    <t>通上水</t>
  </si>
  <si>
    <t>通下水</t>
  </si>
  <si>
    <t>是</t>
  </si>
  <si>
    <t>地上</t>
  </si>
  <si>
    <t>公共服务</t>
  </si>
  <si>
    <t>地下</t>
  </si>
  <si>
    <t>研发设计</t>
  </si>
  <si>
    <t>研发设计</t>
    <phoneticPr fontId="7" type="noConversion"/>
  </si>
  <si>
    <t>成新度</t>
  </si>
  <si>
    <t>收益法</t>
  </si>
  <si>
    <t>一般</t>
  </si>
  <si>
    <t>一般</t>
    <phoneticPr fontId="40" type="noConversion"/>
  </si>
  <si>
    <t>一般</t>
    <phoneticPr fontId="24" type="noConversion"/>
  </si>
  <si>
    <t>一般</t>
    <phoneticPr fontId="24" type="noConversion"/>
  </si>
  <si>
    <t>一般</t>
    <phoneticPr fontId="40" type="noConversion"/>
  </si>
  <si>
    <t>一般</t>
    <phoneticPr fontId="40" type="noConversion"/>
  </si>
  <si>
    <t>七通</t>
    <phoneticPr fontId="24" type="noConversion"/>
  </si>
  <si>
    <t>较好</t>
  </si>
  <si>
    <t>较好</t>
    <phoneticPr fontId="40" type="noConversion"/>
  </si>
  <si>
    <t>自定义容积率</t>
  </si>
  <si>
    <r>
      <rPr>
        <sz val="10"/>
        <color theme="9" tint="-0.249977111117893"/>
        <rFont val="宋体"/>
        <family val="3"/>
        <charset val="134"/>
      </rPr>
      <t>顺义区汇海南路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25</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10</t>
    </r>
    <r>
      <rPr>
        <sz val="10"/>
        <color theme="9" tint="-0.249977111117893"/>
        <rFont val="宋体"/>
        <family val="3"/>
        <charset val="134"/>
      </rPr>
      <t>层</t>
    </r>
    <r>
      <rPr>
        <sz val="10"/>
        <color theme="9" tint="-0.249977111117893"/>
        <rFont val="Arial"/>
        <family val="2"/>
      </rPr>
      <t>101</t>
    </r>
    <phoneticPr fontId="6" type="noConversion"/>
  </si>
  <si>
    <t>不临65条商业街</t>
  </si>
  <si>
    <t>平整</t>
  </si>
  <si>
    <t>与级别开发程度不一致</t>
  </si>
  <si>
    <t>中心城区以外</t>
  </si>
  <si>
    <t>好</t>
  </si>
  <si>
    <t>未包含在土地购买价格中</t>
  </si>
  <si>
    <t>已包含在土地取得成本中</t>
  </si>
  <si>
    <t>押一</t>
  </si>
  <si>
    <t>钢混</t>
  </si>
  <si>
    <t>非生产用房</t>
  </si>
  <si>
    <t>否</t>
  </si>
  <si>
    <t>总价</t>
  </si>
  <si>
    <t>办公</t>
    <phoneticPr fontId="3" type="noConversion"/>
  </si>
  <si>
    <t>中行首都机场支行楼上办公</t>
    <phoneticPr fontId="134" type="noConversion"/>
  </si>
  <si>
    <t>提供的租赁合同</t>
    <phoneticPr fontId="134" type="noConversion"/>
  </si>
  <si>
    <t>项目局部</t>
  </si>
  <si>
    <t>折地上</t>
    <phoneticPr fontId="8" type="noConversion"/>
  </si>
  <si>
    <t>单层面积</t>
    <phoneticPr fontId="3" type="noConversion"/>
  </si>
  <si>
    <r>
      <t>1</t>
    </r>
    <r>
      <rPr>
        <sz val="10"/>
        <color indexed="8"/>
        <rFont val="宋体"/>
        <family val="3"/>
        <charset val="134"/>
      </rPr>
      <t>层</t>
    </r>
    <r>
      <rPr>
        <sz val="10"/>
        <color indexed="8"/>
        <rFont val="Arial"/>
        <family val="2"/>
      </rPr>
      <t>2</t>
    </r>
    <r>
      <rPr>
        <sz val="10"/>
        <color indexed="8"/>
        <rFont val="宋体"/>
        <family val="3"/>
        <charset val="134"/>
      </rPr>
      <t>间</t>
    </r>
    <phoneticPr fontId="3" type="noConversion"/>
  </si>
  <si>
    <t>单间面积</t>
    <phoneticPr fontId="3" type="noConversion"/>
  </si>
  <si>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</si>
  <si>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</si>
  <si>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</si>
  <si>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</si>
  <si>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</si>
  <si>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</si>
  <si>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</si>
  <si>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</si>
  <si>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</si>
  <si>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</si>
  <si>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</si>
  <si>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</si>
  <si>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</si>
  <si>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</si>
  <si>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</si>
  <si>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</si>
  <si>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</si>
  <si>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</si>
  <si>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</si>
  <si>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</si>
  <si>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</si>
  <si>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</si>
  <si>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</si>
  <si>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</si>
  <si>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</si>
  <si>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</si>
  <si>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</si>
  <si>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</si>
  <si>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</si>
  <si>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</si>
  <si>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</si>
  <si>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</si>
  <si>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</si>
  <si>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</si>
  <si>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</si>
  <si>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</si>
  <si>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</si>
  <si>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</si>
  <si>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</si>
  <si>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</si>
  <si>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</si>
  <si>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</si>
  <si>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</si>
  <si>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</si>
  <si>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</si>
  <si>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</si>
  <si>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</si>
  <si>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</si>
  <si>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</si>
  <si>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</si>
  <si>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</si>
  <si>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</si>
  <si>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</si>
  <si>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</si>
  <si>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</si>
  <si>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</si>
  <si>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</si>
  <si>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</si>
  <si>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</si>
  <si>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</si>
  <si>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</si>
  <si>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</si>
  <si>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</si>
  <si>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</si>
  <si>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</si>
  <si>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</si>
  <si>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</si>
  <si>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</si>
  <si>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</si>
  <si>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</si>
  <si>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</si>
  <si>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</si>
  <si>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</si>
  <si>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</si>
  <si>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</si>
  <si>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</si>
  <si>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</si>
  <si>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</si>
  <si>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</si>
  <si>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</si>
  <si>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</si>
  <si>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</si>
  <si>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</si>
  <si>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</si>
  <si>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</si>
  <si>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</si>
  <si>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</si>
  <si>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北京市顺义区天竺旧村改造土地一级开发项目SY00-2801-0149地块B4综合性商业金融服务用地</t>
  </si>
  <si>
    <t xml:space="preserve"> 顺义区 </t>
  </si>
  <si>
    <t xml:space="preserve"> 中央别墅区 </t>
  </si>
  <si>
    <t xml:space="preserve"> 京土储挂(顺)[2024]024号 </t>
  </si>
  <si>
    <t xml:space="preserve"> 顺义区天竺镇 </t>
  </si>
  <si>
    <t xml:space="preserve"> B4综合性商业金融服务用地 </t>
  </si>
  <si>
    <t xml:space="preserve"> B21金融保险用地、B1商业设施用地 </t>
  </si>
  <si>
    <t xml:space="preserve"> 北京罗红摄影艺术文化有限公司  </t>
  </si>
  <si>
    <t xml:space="preserve"> 北京罗红摄影艺术文化有限公司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</si>
  <si>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</si>
  <si>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</si>
  <si>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</si>
  <si>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</si>
  <si>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</si>
  <si>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</si>
  <si>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</si>
  <si>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</si>
  <si>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</si>
  <si>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</si>
  <si>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</si>
  <si>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</si>
  <si>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</si>
  <si>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</si>
  <si>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</si>
  <si>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</si>
  <si>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</si>
  <si>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</si>
  <si>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</si>
  <si>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</si>
  <si>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</si>
  <si>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</si>
  <si>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</si>
  <si>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</si>
  <si>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</si>
  <si>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</si>
  <si>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</si>
  <si>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</si>
  <si>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</si>
  <si>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</si>
  <si>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</si>
  <si>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</si>
  <si>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</si>
  <si>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</si>
  <si>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</si>
  <si>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</si>
  <si>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</si>
  <si>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</si>
  <si>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</si>
  <si>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</si>
  <si>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</si>
  <si>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</si>
  <si>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</si>
  <si>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</si>
  <si>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</si>
  <si>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</si>
  <si>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</si>
  <si>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</si>
  <si>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</si>
  <si>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</si>
  <si>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</si>
  <si>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</si>
  <si>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</si>
  <si>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</si>
  <si>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</si>
  <si>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</si>
  <si>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</si>
  <si>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</si>
  <si>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研发</t>
  </si>
  <si>
    <t>研发</t>
    <phoneticPr fontId="30" type="noConversion"/>
  </si>
  <si>
    <t>40</t>
    <phoneticPr fontId="30" type="noConversion"/>
  </si>
  <si>
    <t>50</t>
    <phoneticPr fontId="30" type="noConversion"/>
  </si>
  <si>
    <t>七通</t>
  </si>
  <si>
    <t>规则</t>
    <phoneticPr fontId="30" type="noConversion"/>
  </si>
  <si>
    <t>较规则</t>
  </si>
  <si>
    <t>较规则</t>
    <phoneticPr fontId="30" type="noConversion"/>
  </si>
  <si>
    <t>较不规则</t>
    <phoneticPr fontId="30" type="noConversion"/>
  </si>
  <si>
    <t>不规则</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</si>
  <si>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</si>
  <si>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</si>
  <si>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</si>
  <si>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</si>
  <si>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</si>
  <si>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六通</t>
  </si>
  <si>
    <t>五通</t>
  </si>
  <si>
    <t>三通</t>
  </si>
  <si>
    <t>建安取值</t>
  </si>
  <si>
    <t>建筑面积</t>
  </si>
  <si>
    <t>单方建安</t>
  </si>
  <si>
    <t>合计</t>
  </si>
  <si>
    <t>建安</t>
  </si>
  <si>
    <t>主体</t>
  </si>
  <si>
    <t>装修-地上</t>
    <phoneticPr fontId="3" type="noConversion"/>
  </si>
  <si>
    <t>装修-地下</t>
    <phoneticPr fontId="3" type="noConversion"/>
  </si>
  <si>
    <t>设备</t>
  </si>
  <si>
    <t>人防</t>
  </si>
  <si>
    <t>综合平均</t>
  </si>
  <si>
    <r>
      <rPr>
        <sz val="10"/>
        <color indexed="8"/>
        <rFont val="宋体"/>
        <family val="3"/>
        <charset val="134"/>
      </rPr>
      <t>不超</t>
    </r>
    <r>
      <rPr>
        <sz val="10"/>
        <color indexed="8"/>
        <rFont val="Arial"/>
        <family val="2"/>
      </rPr>
      <t>19000</t>
    </r>
    <phoneticPr fontId="8" type="noConversion"/>
  </si>
  <si>
    <t>郑</t>
    <phoneticPr fontId="8" type="noConversion"/>
  </si>
  <si>
    <t>单价</t>
    <phoneticPr fontId="8" type="noConversion"/>
  </si>
  <si>
    <t>总价</t>
    <phoneticPr fontId="8" type="noConversion"/>
  </si>
  <si>
    <t>序号</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</si>
  <si>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</si>
  <si>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</si>
  <si>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</si>
  <si>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</si>
  <si>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</si>
  <si>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</si>
  <si>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</si>
  <si>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</si>
  <si>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</si>
  <si>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</si>
  <si>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</si>
  <si>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</si>
  <si>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</si>
  <si>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</si>
  <si>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</si>
  <si>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</si>
  <si>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</si>
  <si>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</si>
  <si>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</si>
  <si>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</si>
  <si>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</si>
  <si>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</si>
  <si>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通州区台湖镇国际图书城东门对面，外郎营村北2号院</t>
    <phoneticPr fontId="3" type="noConversion"/>
  </si>
  <si>
    <t>通州区</t>
    <phoneticPr fontId="3" type="noConversion"/>
  </si>
  <si>
    <t>通州</t>
    <phoneticPr fontId="3" type="noConversion"/>
  </si>
  <si>
    <t>新华联</t>
    <phoneticPr fontId="3" type="noConversion"/>
  </si>
  <si>
    <t>厂房（办公）</t>
    <phoneticPr fontId="3" type="noConversion"/>
  </si>
  <si>
    <t>——</t>
    <phoneticPr fontId="3" type="noConversion"/>
  </si>
  <si>
    <t>地上3-4地下1层</t>
    <phoneticPr fontId="3" type="noConversion"/>
  </si>
  <si>
    <t>2016年</t>
    <phoneticPr fontId="3" type="noConversion"/>
  </si>
  <si>
    <t>电子城IT产业园103#</t>
    <phoneticPr fontId="3" type="noConversion"/>
  </si>
  <si>
    <t>朝阳区酒仙桥9号院 电子城</t>
    <phoneticPr fontId="3" type="noConversion"/>
  </si>
  <si>
    <t>朝阳区</t>
    <phoneticPr fontId="3" type="noConversion"/>
  </si>
  <si>
    <t>酒仙桥</t>
    <phoneticPr fontId="3" type="noConversion"/>
  </si>
  <si>
    <t>电子城股份</t>
    <phoneticPr fontId="3" type="noConversion"/>
  </si>
  <si>
    <t>办公（工业）</t>
    <phoneticPr fontId="3" type="noConversion"/>
  </si>
  <si>
    <t>地上:7 地下:1</t>
    <phoneticPr fontId="3" type="noConversion"/>
  </si>
  <si>
    <t>2020年</t>
    <phoneticPr fontId="3" type="noConversion"/>
  </si>
  <si>
    <t>制氧创新中心1607-039C#3栋</t>
    <phoneticPr fontId="3" type="noConversion"/>
  </si>
  <si>
    <t>石景山区首钢园区北区西南部首钢滑雪大跳台中心项目1607-039地块</t>
    <phoneticPr fontId="3" type="noConversion"/>
  </si>
  <si>
    <t>石景山区</t>
    <phoneticPr fontId="3" type="noConversion"/>
  </si>
  <si>
    <t>京西商务园</t>
    <phoneticPr fontId="3" type="noConversion"/>
  </si>
  <si>
    <t>首钢集团</t>
    <phoneticPr fontId="3" type="noConversion"/>
  </si>
  <si>
    <t>办公</t>
    <phoneticPr fontId="3" type="noConversion"/>
  </si>
  <si>
    <t>2022-Q1</t>
    <phoneticPr fontId="3" type="noConversion"/>
  </si>
  <si>
    <t>地上2-6层；0.7超低容积率和4-6米的层高，局部15米超高挑空；北区3号楼两面临湖的“楼王” ，总建筑面积9808平方米 ，东北两侧紧邻群明湖，可远眺石景山，同时还临近首钢滑雪大跳台</t>
    <phoneticPr fontId="3" type="noConversion"/>
  </si>
  <si>
    <t>2021年</t>
    <phoneticPr fontId="3" type="noConversion"/>
  </si>
  <si>
    <t>新华联北京民企总部基地10#</t>
    <phoneticPr fontId="3" type="noConversion"/>
  </si>
  <si>
    <t>地上3地下1层</t>
    <phoneticPr fontId="3" type="noConversion"/>
  </si>
  <si>
    <t>空港融慧园19号楼-1至5层19-1及空港融慧园88栋项下的车位5个</t>
    <phoneticPr fontId="3" type="noConversion"/>
  </si>
  <si>
    <t>顺义区空港融慧园19号楼-1至5层19-1及空港融慧园88栋项下的车位5个</t>
    <phoneticPr fontId="3" type="noConversion"/>
  </si>
  <si>
    <t>顺义区</t>
    <phoneticPr fontId="3" type="noConversion"/>
  </si>
  <si>
    <t>顺义</t>
    <phoneticPr fontId="3" type="noConversion"/>
  </si>
  <si>
    <t>企业</t>
    <phoneticPr fontId="3" type="noConversion"/>
  </si>
  <si>
    <t>办公、车位</t>
    <phoneticPr fontId="3" type="noConversion"/>
  </si>
  <si>
    <t>北京定远企业管理有限公司</t>
    <phoneticPr fontId="3" type="noConversion"/>
  </si>
  <si>
    <t xml:space="preserve">北京易讯融创科技有限公司租赁使用，租赁期限2016年1月1日至2035年12月31日止。   </t>
    <phoneticPr fontId="3" type="noConversion"/>
  </si>
  <si>
    <t>2007年</t>
    <phoneticPr fontId="3" type="noConversion"/>
  </si>
  <si>
    <t>拍卖</t>
    <phoneticPr fontId="3" type="noConversion"/>
  </si>
  <si>
    <t>怀柔区杨宋镇凤翔科技开发区凤翔一园8号土地及地上建筑、附属设施</t>
    <phoneticPr fontId="3" type="noConversion"/>
  </si>
  <si>
    <t>怀柔区</t>
    <phoneticPr fontId="3" type="noConversion"/>
  </si>
  <si>
    <t>——</t>
    <phoneticPr fontId="3" type="noConversion"/>
  </si>
  <si>
    <t>工业（厂房、办公）</t>
    <phoneticPr fontId="3" type="noConversion"/>
  </si>
  <si>
    <t>个人</t>
    <phoneticPr fontId="3" type="noConversion"/>
  </si>
  <si>
    <t>该院内部分地上建筑未办理产权登记证书(无证建筑包含：车间建筑面积为339.3平方米，门房建筑面积为12.8平方米，自行车棚建筑面积为35.4平方米)；土地终止日期2055年9月9日</t>
    <phoneticPr fontId="3" type="noConversion"/>
  </si>
  <si>
    <t>兴创公园总部2#楼（半栋）</t>
    <phoneticPr fontId="3" type="noConversion"/>
  </si>
  <si>
    <t>大兴义和庄地铁站西南侧500米，念坛公园北侧</t>
    <phoneticPr fontId="3" type="noConversion"/>
  </si>
  <si>
    <t>大兴区</t>
    <phoneticPr fontId="3" type="noConversion"/>
  </si>
  <si>
    <t>兴创集团</t>
    <phoneticPr fontId="3" type="noConversion"/>
  </si>
  <si>
    <t>办公</t>
    <phoneticPr fontId="3" type="noConversion"/>
  </si>
  <si>
    <t>地下1层，地上1-5层，企业独栋；</t>
    <phoneticPr fontId="3" type="noConversion"/>
  </si>
  <si>
    <t>2020年</t>
    <phoneticPr fontId="3" type="noConversion"/>
  </si>
  <si>
    <t>BDA国际企业大道62幢</t>
    <phoneticPr fontId="3" type="noConversion"/>
  </si>
  <si>
    <t>北京经济技术开发区景园北街2号62幢-2至7层1单元办公房地产</t>
    <phoneticPr fontId="3" type="noConversion"/>
  </si>
  <si>
    <t>北京经济技术开发区</t>
    <phoneticPr fontId="3" type="noConversion"/>
  </si>
  <si>
    <t>亦庄</t>
    <phoneticPr fontId="3" type="noConversion"/>
  </si>
  <si>
    <t>北京晟晖投资管理有限公司</t>
    <phoneticPr fontId="3" type="noConversion"/>
  </si>
  <si>
    <t>北京亦元文化传媒有限公司</t>
    <phoneticPr fontId="3" type="noConversion"/>
  </si>
  <si>
    <t>至2052年12月26日；9层（地上7层 地下2层），首层和顶层有调高8.4米；有租约</t>
    <phoneticPr fontId="3" type="noConversion"/>
  </si>
  <si>
    <t>2008年</t>
    <phoneticPr fontId="3" type="noConversion"/>
  </si>
  <si>
    <t>max空港企业园15#1-3</t>
    <phoneticPr fontId="3" type="noConversion"/>
  </si>
  <si>
    <t xml:space="preserve">	顺义区空港工业区B区裕华路</t>
    <phoneticPr fontId="3" type="noConversion"/>
  </si>
  <si>
    <t>顺义区</t>
    <phoneticPr fontId="3" type="noConversion"/>
  </si>
  <si>
    <t>顺义</t>
    <phoneticPr fontId="3" type="noConversion"/>
  </si>
  <si>
    <t>天竺空港</t>
    <phoneticPr fontId="3" type="noConversion"/>
  </si>
  <si>
    <t>工业（实际办公）</t>
    <phoneticPr fontId="3" type="noConversion"/>
  </si>
  <si>
    <t>地上:5 地下:1；15楼共4套</t>
    <phoneticPr fontId="3" type="noConversion"/>
  </si>
  <si>
    <t>2010年</t>
    <phoneticPr fontId="3" type="noConversion"/>
  </si>
  <si>
    <t>通州区台湖镇，通马路向南约500米</t>
    <phoneticPr fontId="3" type="noConversion"/>
  </si>
  <si>
    <t>通州区</t>
    <phoneticPr fontId="3" type="noConversion"/>
  </si>
  <si>
    <t>首开/万科</t>
    <phoneticPr fontId="3" type="noConversion"/>
  </si>
  <si>
    <t>商业、办公、地下仓储</t>
    <phoneticPr fontId="3" type="noConversion"/>
  </si>
  <si>
    <t>地上:3地下:1</t>
    <phoneticPr fontId="3" type="noConversion"/>
  </si>
  <si>
    <t>南四环西路188号十一区9号楼</t>
    <phoneticPr fontId="3" type="noConversion"/>
  </si>
  <si>
    <t>丰台区南四环西路188号十一区9号楼</t>
    <phoneticPr fontId="3" type="noConversion"/>
  </si>
  <si>
    <t>丰台区</t>
    <phoneticPr fontId="3" type="noConversion"/>
  </si>
  <si>
    <t>总部基地</t>
    <phoneticPr fontId="3" type="noConversion"/>
  </si>
  <si>
    <t>工业（办公）</t>
    <phoneticPr fontId="3" type="noConversion"/>
  </si>
  <si>
    <t>2053年10月23日止，1-6层，普装</t>
    <phoneticPr fontId="3" type="noConversion"/>
  </si>
  <si>
    <t>海淀区凌霄路15号院（稻香湖路中关村环保科技示范园），凌霄路与稻香湖路交汇处西南角</t>
    <phoneticPr fontId="3" type="noConversion"/>
  </si>
  <si>
    <t>海淀区</t>
    <phoneticPr fontId="3" type="noConversion"/>
  </si>
  <si>
    <t>北清路</t>
    <phoneticPr fontId="3" type="noConversion"/>
  </si>
  <si>
    <t>龙湖</t>
    <phoneticPr fontId="3" type="noConversion"/>
  </si>
  <si>
    <t>办公、地下车位</t>
    <phoneticPr fontId="3" type="noConversion"/>
  </si>
  <si>
    <t>浪潮信息</t>
    <phoneticPr fontId="3" type="noConversion"/>
  </si>
  <si>
    <t>地下商办、仓储用房11140.9平方米，地下车位8369.34平方米（共185个车位）；地上3-12层</t>
    <phoneticPr fontId="3" type="noConversion"/>
  </si>
  <si>
    <t>2021年</t>
    <phoneticPr fontId="3" type="noConversion"/>
  </si>
  <si>
    <t>东北旺西路8号中关村软件园10号楼研发用途（国永融通大厦）</t>
    <phoneticPr fontId="3" type="noConversion"/>
  </si>
  <si>
    <t>海淀区东北旺西路8号中关村软件园10号楼研发用途</t>
    <phoneticPr fontId="3" type="noConversion"/>
  </si>
  <si>
    <t>上地</t>
    <phoneticPr fontId="3" type="noConversion"/>
  </si>
  <si>
    <t>北京永旺融合信息系统有限公司</t>
    <phoneticPr fontId="3" type="noConversion"/>
  </si>
  <si>
    <t>研发（工业、科研办公）</t>
    <phoneticPr fontId="3" type="noConversion"/>
  </si>
  <si>
    <t>北京伟仕佳杰云创科技有限公司</t>
    <phoneticPr fontId="3"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</si>
  <si>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3" type="noConversion"/>
  </si>
  <si>
    <t>新华联北京民企总部基地32#</t>
    <phoneticPr fontId="3" type="noConversion"/>
  </si>
  <si>
    <t>通州区台湖镇国际图书城东门对面，外郎营村北2号院</t>
    <phoneticPr fontId="3" type="noConversion"/>
  </si>
  <si>
    <t>通州</t>
    <phoneticPr fontId="3" type="noConversion"/>
  </si>
  <si>
    <t>新华联</t>
    <phoneticPr fontId="3" type="noConversion"/>
  </si>
  <si>
    <t>厂房（办公）</t>
    <phoneticPr fontId="3" type="noConversion"/>
  </si>
  <si>
    <t>地上4地下1层</t>
    <phoneticPr fontId="3" type="noConversion"/>
  </si>
  <si>
    <t>2016年</t>
    <phoneticPr fontId="3" type="noConversion"/>
  </si>
  <si>
    <t>电子城科技园401楼</t>
    <phoneticPr fontId="3" type="noConversion"/>
  </si>
  <si>
    <t>朝阳区酒仙桥9号院电子城401楼</t>
    <phoneticPr fontId="3" type="noConversion"/>
  </si>
  <si>
    <t>朝阳区</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</si>
  <si>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</si>
  <si>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</si>
  <si>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</si>
  <si>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</si>
  <si>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</si>
  <si>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</si>
  <si>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</si>
  <si>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北京数字科技大厦（定制）</t>
    <phoneticPr fontId="3" type="noConversion"/>
  </si>
  <si>
    <t>新首钢国际人才社区（核心区北区）1607-035 地块项目，具体四至为：东至北辛安路；南至四高炉南路；西至焦化厂东街；北至烧结厂中街</t>
    <phoneticPr fontId="3" type="noConversion"/>
  </si>
  <si>
    <t>石景山区</t>
    <phoneticPr fontId="3" type="noConversion"/>
  </si>
  <si>
    <t>首钢</t>
    <phoneticPr fontId="3" type="noConversion"/>
  </si>
  <si>
    <t>首钢集团</t>
    <phoneticPr fontId="3" type="noConversion"/>
  </si>
  <si>
    <t>办公</t>
    <phoneticPr fontId="3" type="noConversion"/>
  </si>
  <si>
    <t>华夏银行</t>
    <phoneticPr fontId="3" type="noConversion"/>
  </si>
  <si>
    <t>首侨是首建投的全资子公司，后者由首钢集团100%控股，首钢集团则是华夏银行的第一大股东；项目尚未动工建设，预计可于2023年4月30日前取得施工许可证。拟作为数字科技运营研发中心</t>
    <phoneticPr fontId="3" type="noConversion"/>
  </si>
  <si>
    <t>2025年（预计）</t>
    <phoneticPr fontId="3" type="noConversion"/>
  </si>
  <si>
    <t>公告</t>
    <phoneticPr fontId="3" type="noConversion"/>
  </si>
  <si>
    <t>南四环西路188号一区22号楼</t>
    <phoneticPr fontId="3" type="noConversion"/>
  </si>
  <si>
    <t>丰台区南四环西路188号一区22号楼</t>
    <phoneticPr fontId="3" type="noConversion"/>
  </si>
  <si>
    <t>丰台区</t>
    <phoneticPr fontId="3" type="noConversion"/>
  </si>
  <si>
    <t>总部基地</t>
    <phoneticPr fontId="3" type="noConversion"/>
  </si>
  <si>
    <t>企业</t>
    <phoneticPr fontId="3" type="noConversion"/>
  </si>
  <si>
    <t>工业（办公）</t>
    <phoneticPr fontId="3" type="noConversion"/>
  </si>
  <si>
    <t>北京新兴联建勘测设计研究院有限责任公司</t>
    <phoneticPr fontId="3" type="noConversion"/>
  </si>
  <si>
    <t>2053年10月23日止，1-6层，普装</t>
    <phoneticPr fontId="3" type="noConversion"/>
  </si>
  <si>
    <t>2004年</t>
    <phoneticPr fontId="3" type="noConversion"/>
  </si>
  <si>
    <t>拍卖</t>
    <phoneticPr fontId="3" type="noConversion"/>
  </si>
  <si>
    <t>中国电科智能科技园（金府路29号院1、3号楼）</t>
    <phoneticPr fontId="3" type="noConversion"/>
  </si>
  <si>
    <r>
      <t>石景山区实兴大街（中关村科技园区石景山园北</t>
    </r>
    <r>
      <rPr>
        <sz val="10"/>
        <rFont val="Calibri"/>
        <family val="3"/>
        <charset val="161"/>
      </rPr>
      <t>Ι</t>
    </r>
    <r>
      <rPr>
        <sz val="10"/>
        <rFont val="宋体"/>
        <family val="3"/>
        <charset val="134"/>
      </rPr>
      <t>区）金府路29号院</t>
    </r>
    <phoneticPr fontId="3" type="noConversion"/>
  </si>
  <si>
    <t>苹果园</t>
    <phoneticPr fontId="3" type="noConversion"/>
  </si>
  <si>
    <t>石景山国投</t>
    <phoneticPr fontId="3" type="noConversion"/>
  </si>
  <si>
    <t>地上3-7层</t>
    <phoneticPr fontId="3" type="noConversion"/>
  </si>
  <si>
    <t>2022年</t>
    <phoneticPr fontId="3" type="noConversion"/>
  </si>
  <si>
    <t>网签</t>
    <phoneticPr fontId="3" type="noConversion"/>
  </si>
  <si>
    <t>自在香山9#号楼</t>
    <phoneticPr fontId="3" type="noConversion"/>
  </si>
  <si>
    <t>海淀区瀚河园9号楼-1至3层02号房屋</t>
    <phoneticPr fontId="3" type="noConversion"/>
  </si>
  <si>
    <t>海淀区</t>
    <phoneticPr fontId="3" type="noConversion"/>
  </si>
  <si>
    <t>西山</t>
    <phoneticPr fontId="3" type="noConversion"/>
  </si>
  <si>
    <t>科研办公楼</t>
    <phoneticPr fontId="3" type="noConversion"/>
  </si>
  <si>
    <t>个人</t>
    <phoneticPr fontId="3" type="noConversion"/>
  </si>
  <si>
    <t>B1至3层</t>
    <phoneticPr fontId="3" type="noConversion"/>
  </si>
  <si>
    <t>2008年</t>
    <phoneticPr fontId="3" type="noConversion"/>
  </si>
  <si>
    <t>绿地智汇健康城（云景中心，云汇中心）5-6#</t>
    <phoneticPr fontId="3" type="noConversion"/>
  </si>
  <si>
    <t>大兴区北臧村生物医药基地</t>
    <phoneticPr fontId="3" type="noConversion"/>
  </si>
  <si>
    <t>大兴区</t>
    <phoneticPr fontId="3" type="noConversion"/>
  </si>
  <si>
    <t>生物医药基地</t>
    <phoneticPr fontId="3" type="noConversion"/>
  </si>
  <si>
    <t>绿地</t>
    <phoneticPr fontId="3" type="noConversion"/>
  </si>
  <si>
    <t>商业\办公</t>
    <phoneticPr fontId="3" type="noConversion"/>
  </si>
  <si>
    <t>建信基金</t>
    <phoneticPr fontId="3" type="noConversion"/>
  </si>
  <si>
    <t>做长租公寓</t>
    <phoneticPr fontId="3" type="noConversion"/>
  </si>
  <si>
    <t>第三方数据</t>
    <phoneticPr fontId="3" type="noConversion"/>
  </si>
  <si>
    <t>万科翠湖国际办公6号楼</t>
    <phoneticPr fontId="3" type="noConversion"/>
  </si>
  <si>
    <t>海淀区万科翠湖国际南区0062地块6号楼负101至601</t>
    <phoneticPr fontId="3" type="noConversion"/>
  </si>
  <si>
    <t>北清路</t>
    <phoneticPr fontId="3" type="noConversion"/>
  </si>
  <si>
    <t>万科集团</t>
    <phoneticPr fontId="3" type="noConversion"/>
  </si>
  <si>
    <t>办公、地下仓储</t>
    <phoneticPr fontId="3" type="noConversion"/>
  </si>
  <si>
    <t>地下1层地上6层；地上办公网签价39395元/平方米，地下仓储网签价9619元/平方米（约为地上的25%）</t>
    <phoneticPr fontId="3" type="noConversion"/>
  </si>
  <si>
    <t>2019年</t>
    <phoneticPr fontId="3" type="noConversion"/>
  </si>
  <si>
    <t>网签数据</t>
    <phoneticPr fontId="3" type="noConversion"/>
  </si>
  <si>
    <t>中国电科智能科技园金府路30号院2号楼</t>
    <phoneticPr fontId="3" type="noConversion"/>
  </si>
  <si>
    <t>石景山区实兴大街金府路30号院（实兴大街1605-649地块b23研发设计用地项目）</t>
    <phoneticPr fontId="3" type="noConversion"/>
  </si>
  <si>
    <t>地上8层</t>
    <phoneticPr fontId="3" type="noConversion"/>
  </si>
  <si>
    <t xml:space="preserve">	电子城国际电子总部6号院1#楼102</t>
    <phoneticPr fontId="3" type="noConversion"/>
  </si>
  <si>
    <t>朝阳区酒仙桥路6号院1#楼102</t>
    <phoneticPr fontId="3" type="noConversion"/>
  </si>
  <si>
    <t>望京</t>
    <phoneticPr fontId="3" type="noConversion"/>
  </si>
  <si>
    <t>科研办公</t>
    <phoneticPr fontId="3" type="noConversion"/>
  </si>
  <si>
    <t>_</t>
    <phoneticPr fontId="3" type="noConversion"/>
  </si>
  <si>
    <t>2014年（约）</t>
    <phoneticPr fontId="3" type="noConversion"/>
  </si>
  <si>
    <t>总部基地7区1号楼</t>
    <phoneticPr fontId="3" type="noConversion"/>
  </si>
  <si>
    <t>丰台区南四环西路 188 号七区 1 号楼 1 至 8 层的房产</t>
    <phoneticPr fontId="3" type="noConversion"/>
  </si>
  <si>
    <t>三融集团有限公司</t>
    <phoneticPr fontId="3" type="noConversion"/>
  </si>
  <si>
    <t>工业（研发办公）</t>
    <phoneticPr fontId="3" type="noConversion"/>
  </si>
  <si>
    <t>北京睿博大正投资有限公司</t>
    <phoneticPr fontId="3" type="noConversion"/>
  </si>
  <si>
    <t>房屋结构为钢筋混凝土结构；房屋总层数为 8 层，所在层数为第 1-8 层；建筑面积 2230.18 ㎡；规划用途为工业用房，房屋性质为商品房；使用期限至2053 年10 月23日止;简装</t>
    <phoneticPr fontId="3" type="noConversion"/>
  </si>
  <si>
    <t xml:space="preserve">2005年 </t>
    <phoneticPr fontId="3" type="noConversion"/>
  </si>
  <si>
    <t>总部基地一区24号</t>
    <phoneticPr fontId="3" type="noConversion"/>
  </si>
  <si>
    <t>丰台区南四环西路 188 号一区24号楼1至6层全部</t>
    <phoneticPr fontId="3" type="noConversion"/>
  </si>
  <si>
    <t>北京中关村丰台园道丰科技商务园建设发展有限公司</t>
    <phoneticPr fontId="3" type="noConversion"/>
  </si>
  <si>
    <t>北京铁保中泰科技发展有限公司</t>
    <phoneticPr fontId="3" type="noConversion"/>
  </si>
  <si>
    <t>使用期限至2053 年10 月23日止;简装</t>
    <phoneticPr fontId="3" type="noConversion"/>
  </si>
  <si>
    <t xml:space="preserve">2004年 </t>
    <phoneticPr fontId="3" type="noConversion"/>
  </si>
  <si>
    <t>BDA国际企业大道35幢</t>
    <phoneticPr fontId="3" type="noConversion"/>
  </si>
  <si>
    <t>北京经济技术开发区景园北街2号35幢-2至4层01办公房地产</t>
    <phoneticPr fontId="3" type="noConversion"/>
  </si>
  <si>
    <t>北京经济技术开发区</t>
    <phoneticPr fontId="3" type="noConversion"/>
  </si>
  <si>
    <t>亦庄</t>
    <phoneticPr fontId="3" type="noConversion"/>
  </si>
  <si>
    <t>唐山东旭</t>
    <phoneticPr fontId="3" type="noConversion"/>
  </si>
  <si>
    <t>北京中和珍贝科技有限公司</t>
    <phoneticPr fontId="3" type="noConversion"/>
  </si>
  <si>
    <t>至2052年12月26日</t>
    <phoneticPr fontId="3" type="noConversion"/>
  </si>
  <si>
    <t>中国电科智能科技园（金府路30号院4、3号楼）</t>
    <phoneticPr fontId="3" type="noConversion"/>
  </si>
  <si>
    <t>石景山区（实兴大街1605-649地块b23研发设计用地项目）金府路30号院3、4号楼</t>
    <phoneticPr fontId="3" type="noConversion"/>
  </si>
  <si>
    <t>石景山区</t>
    <phoneticPr fontId="3" type="noConversion"/>
  </si>
  <si>
    <t>苹果园</t>
    <phoneticPr fontId="3" type="noConversion"/>
  </si>
  <si>
    <t>石景山国投</t>
    <phoneticPr fontId="3" type="noConversion"/>
  </si>
  <si>
    <t>地上1-8层</t>
    <phoneticPr fontId="3" type="noConversion"/>
  </si>
  <si>
    <t>2022年</t>
    <phoneticPr fontId="3" type="noConversion"/>
  </si>
  <si>
    <t>网签</t>
    <phoneticPr fontId="3" type="noConversion"/>
  </si>
  <si>
    <t>首特钢大厦2号楼</t>
    <phoneticPr fontId="3" type="noConversion"/>
  </si>
  <si>
    <t>石景山区新融中街1号院</t>
    <phoneticPr fontId="3" type="noConversion"/>
  </si>
  <si>
    <t>京西商务园</t>
    <phoneticPr fontId="3" type="noConversion"/>
  </si>
  <si>
    <t>首特钢园区（农发银行/首钢集团）</t>
    <phoneticPr fontId="3" type="noConversion"/>
  </si>
  <si>
    <t>科研办公用房</t>
    <phoneticPr fontId="3" type="noConversion"/>
  </si>
  <si>
    <t>深空探测实验室北京分部</t>
    <phoneticPr fontId="3" type="noConversion"/>
  </si>
  <si>
    <t>地上13层，定制精装修（根据新闻推断）</t>
    <phoneticPr fontId="3" type="noConversion"/>
  </si>
  <si>
    <t>网签+新闻</t>
    <phoneticPr fontId="3" type="noConversion"/>
  </si>
  <si>
    <t>中关村西三旗(金隅)科技园T7研发设计楼地上1-5层</t>
    <phoneticPr fontId="3" type="noConversion"/>
  </si>
  <si>
    <t>海淀区西三旗建材城中路，地块四至南与东升科技园二期接壤，北到西三旗建材城路，东临昌平区东小口镇，西靠北新建材国家机关保障性住宅用地</t>
    <phoneticPr fontId="3" type="noConversion"/>
  </si>
  <si>
    <t>西三旗</t>
    <phoneticPr fontId="3" type="noConversion"/>
  </si>
  <si>
    <t>金隅</t>
    <phoneticPr fontId="3" type="noConversion"/>
  </si>
  <si>
    <t>研发办公</t>
    <phoneticPr fontId="3" type="noConversion"/>
  </si>
  <si>
    <t>天智航</t>
    <phoneticPr fontId="3"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</si>
  <si>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3" type="noConversion"/>
  </si>
  <si>
    <t>2023年</t>
    <phoneticPr fontId="3" type="noConversion"/>
  </si>
  <si>
    <t>公告</t>
    <phoneticPr fontId="3"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</si>
  <si>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</si>
  <si>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</si>
  <si>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</si>
  <si>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</si>
  <si>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</si>
  <si>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第三方研报</t>
    <phoneticPr fontId="3" type="noConversion"/>
  </si>
  <si>
    <t>中国电科智能科技园（金府路30号院1号楼101）</t>
    <phoneticPr fontId="3" type="noConversion"/>
  </si>
  <si>
    <t>石景山区（实兴大街1605-649地块b23研发设计用地项目）金府路30号院1号楼101</t>
    <phoneticPr fontId="3" type="noConversion"/>
  </si>
  <si>
    <t>中国电科智能科技园（金府路29号院5号楼101）</t>
    <phoneticPr fontId="3" type="noConversion"/>
  </si>
  <si>
    <t>石景山区（实兴大街1605-649地块b23研发设计用地项目）金府路29号院5号楼101</t>
    <phoneticPr fontId="3" type="noConversion"/>
  </si>
  <si>
    <t>地上1-6层</t>
    <phoneticPr fontId="3" type="noConversion"/>
  </si>
  <si>
    <t>经略天地北京台湖总部基地168号楼</t>
    <phoneticPr fontId="3" type="noConversion"/>
  </si>
  <si>
    <t>通州区口子村东1号院168号楼-1至4层101房屋</t>
    <phoneticPr fontId="3" type="noConversion"/>
  </si>
  <si>
    <t>台湖</t>
    <phoneticPr fontId="3" type="noConversion"/>
  </si>
  <si>
    <t>工业立项办公</t>
    <phoneticPr fontId="3" type="noConversion"/>
  </si>
  <si>
    <t>北京方星建材有限公司</t>
    <phoneticPr fontId="3" type="noConversion"/>
  </si>
  <si>
    <t>该房屋有租赁，租期至2027年4月30日；所在-1-4层，总层数5层；土地终止日期2054年12月7日</t>
    <phoneticPr fontId="3" type="noConversion"/>
  </si>
  <si>
    <t>2015年</t>
    <phoneticPr fontId="3"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</si>
  <si>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</si>
  <si>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</si>
  <si>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</si>
  <si>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</si>
  <si>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</si>
  <si>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</si>
  <si>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</si>
  <si>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洪泰产业社区（国基智园）5号院1号楼</t>
    <phoneticPr fontId="3" type="noConversion"/>
  </si>
  <si>
    <t>大兴区凉水河二街5号院1号楼-1至5层101</t>
    <phoneticPr fontId="3" type="noConversion"/>
  </si>
  <si>
    <t>北京国电恒基科技股份有限公司</t>
    <phoneticPr fontId="3" type="noConversion"/>
  </si>
  <si>
    <t>研发办公/工业</t>
    <phoneticPr fontId="3" type="noConversion"/>
  </si>
  <si>
    <t>爱康恒创生物技术（北京）有限公司</t>
    <phoneticPr fontId="3"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</si>
  <si>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3" type="noConversion"/>
  </si>
  <si>
    <t>2107年</t>
    <phoneticPr fontId="3" type="noConversion"/>
  </si>
  <si>
    <t>八达岭新能源谷8号院12号楼</t>
    <phoneticPr fontId="3" type="noConversion"/>
  </si>
  <si>
    <t>延庆区八达岭开发区风谷四路8号院12号楼1至4层101</t>
    <phoneticPr fontId="3" type="noConversion"/>
  </si>
  <si>
    <t>延庆区</t>
    <phoneticPr fontId="3" type="noConversion"/>
  </si>
  <si>
    <t>延庆</t>
    <phoneticPr fontId="3" type="noConversion"/>
  </si>
  <si>
    <t>联合益康（北京）生物科技有限公司</t>
    <phoneticPr fontId="3" type="noConversion"/>
  </si>
  <si>
    <t>北京景瑞创安科技有限公司</t>
    <phoneticPr fontId="3" type="noConversion"/>
  </si>
  <si>
    <t>地上1-4层</t>
    <phoneticPr fontId="3" type="noConversion"/>
  </si>
  <si>
    <t>绿地智汇健康城（云景中心，云汇中心）1#及101幢地下车库</t>
    <phoneticPr fontId="3" type="noConversion"/>
  </si>
  <si>
    <t>地下全部为车位，共计218个车位</t>
    <phoneticPr fontId="3" type="noConversion"/>
  </si>
  <si>
    <t>中电建科技创新产业园E#办公楼203-303、402-702、1002、1502</t>
    <phoneticPr fontId="3" type="noConversion"/>
  </si>
  <si>
    <t>海淀区玲珑路与京密引水渠交叉口东南侧，东至北洼路，西至蓝靛厂南路，南至八里庄路，北至玲珑路。</t>
    <phoneticPr fontId="3" type="noConversion"/>
  </si>
  <si>
    <t>世纪金源</t>
    <phoneticPr fontId="3" type="noConversion"/>
  </si>
  <si>
    <t>电建地产</t>
    <phoneticPr fontId="3" type="noConversion"/>
  </si>
  <si>
    <t>203-303、402-702、1002、1502；非整栋</t>
    <phoneticPr fontId="3" type="noConversion"/>
  </si>
  <si>
    <t>2024年（约）</t>
    <phoneticPr fontId="3" type="noConversion"/>
  </si>
  <si>
    <t>中电建科技创新产业园E#办公楼802-902、1102-1402</t>
    <phoneticPr fontId="3" type="noConversion"/>
  </si>
  <si>
    <t>802-902、1102-1402；非整栋</t>
    <phoneticPr fontId="3" type="noConversion"/>
  </si>
  <si>
    <t>北京经开国际企业大道III</t>
    <phoneticPr fontId="3" type="noConversion"/>
  </si>
  <si>
    <t>北京经济技术开发区经海五路1号院</t>
    <phoneticPr fontId="3" type="noConversion"/>
  </si>
  <si>
    <t>亦庄控股</t>
    <phoneticPr fontId="3" type="noConversion"/>
  </si>
  <si>
    <t>研发办公</t>
    <phoneticPr fontId="3" type="noConversion"/>
  </si>
  <si>
    <t xml:space="preserve">	地上:10 地下:1</t>
    <phoneticPr fontId="3" type="noConversion"/>
  </si>
  <si>
    <t>2014年</t>
    <phoneticPr fontId="3" type="noConversion"/>
  </si>
  <si>
    <t>地下占比</t>
    <phoneticPr fontId="134" type="noConversion"/>
  </si>
  <si>
    <t>中关村平谷农业科技园区(一期)土地一级开发 项目PG04-0102-6002工业研发用地</t>
  </si>
  <si>
    <t xml:space="preserve"> 平谷区 </t>
  </si>
  <si>
    <t xml:space="preserve"> 峪口 </t>
  </si>
  <si>
    <t xml:space="preserve"> 京规自挂(平)工业[2024]004号 </t>
  </si>
  <si>
    <t xml:space="preserve"> 平谷区峪口镇PG04-0102街区 </t>
  </si>
  <si>
    <t xml:space="preserve"> 工业用地 </t>
  </si>
  <si>
    <t xml:space="preserve"> 工业研发用地 </t>
  </si>
  <si>
    <t xml:space="preserve"> M工业用地 </t>
  </si>
  <si>
    <t xml:space="preserve"> 30年 </t>
  </si>
  <si>
    <t xml:space="preserve"> 北京市平谷区联扶实业管理有限公司  </t>
  </si>
  <si>
    <t xml:space="preserve"> 北京市平谷区联扶实业管理有限公司 </t>
  </si>
  <si>
    <t xml:space="preserve"> 570元/㎡(十一级工业用途2021-01-01) </t>
  </si>
  <si>
    <t>中关村平谷农业科技园区(一期)土地一级开发 项目PG04-0102-6004、6006地块工业研发用地</t>
  </si>
  <si>
    <t xml:space="preserve"> 京规自挂(平)工业[2024]005号 </t>
  </si>
  <si>
    <t xml:space="preserve"> 峪口镇PG04-0102街区 </t>
  </si>
  <si>
    <t>中关村平谷农业科技园区(一期)土地一级开发项目PG04-0102-6001地块工业研发用地</t>
  </si>
  <si>
    <t xml:space="preserve"> 京规自挂(平)工业[2024]003号 </t>
  </si>
  <si>
    <t>北京市海淀区中关村翠湖科技园A1地块HD00-0302-0175、6008地块F3其他类多功能用地、B23研发设计用地</t>
  </si>
  <si>
    <t xml:space="preserve"> 海淀区 </t>
  </si>
  <si>
    <t xml:space="preserve"> 西北旺镇北 </t>
  </si>
  <si>
    <t xml:space="preserve"> 京土储挂(海)[2024]008号 </t>
  </si>
  <si>
    <t xml:space="preserve"> 海淀区西北旺镇 </t>
  </si>
  <si>
    <t xml:space="preserve"> F3其他类多功能用地、B23研发设计用地 </t>
  </si>
  <si>
    <t xml:space="preserve"> 商业 40 年; 办公 50 年; 公服(科研) 20 年 </t>
  </si>
  <si>
    <t xml:space="preserve"> 0175:1、6008:1.6 </t>
  </si>
  <si>
    <t xml:space="preserve"> 0175:12、6008:18.8-28 </t>
  </si>
  <si>
    <t xml:space="preserve"> 北京翠湖智达科技服务有限责任公司  </t>
  </si>
  <si>
    <t xml:space="preserve"> 北京实创科技园 </t>
  </si>
  <si>
    <t xml:space="preserve"> 8580元/㎡(七级办公用途2021-01-01) </t>
  </si>
  <si>
    <t>北京市海淀区学院路北端A、B、C、J地块B4综合性商业金融服务业用地、 B23研发设计用地</t>
  </si>
  <si>
    <t xml:space="preserve"> 学院路 </t>
  </si>
  <si>
    <t xml:space="preserve"> 京土储挂(海)[2023]073号 </t>
  </si>
  <si>
    <t xml:space="preserve"> 海淀区学院路地区 </t>
  </si>
  <si>
    <t xml:space="preserve"> B4综合性商业金融服务业用地、B23研发设计用地 </t>
  </si>
  <si>
    <t xml:space="preserve"> B1商业设施用地、B21金融保险用地 </t>
  </si>
  <si>
    <t xml:space="preserve"> 商业 40 年; 办公 50 年; 公服(科研) 50 年 </t>
  </si>
  <si>
    <t xml:space="preserve"> 腾讯科技(北京)有限公司  </t>
  </si>
  <si>
    <t xml:space="preserve"> 腾讯科技（北京）有限公司 </t>
  </si>
  <si>
    <t xml:space="preserve"> 19290元/㎡(四级办公用途2021-01-01) </t>
  </si>
  <si>
    <t>北京市石景山区中关村科技园区石景山园北I区1605-650地块B23研发设计用地</t>
  </si>
  <si>
    <t xml:space="preserve"> 石景山区 </t>
  </si>
  <si>
    <t xml:space="preserve"> 西山八大处 </t>
  </si>
  <si>
    <t xml:space="preserve"> 京土储挂(石)[2023]072号 </t>
  </si>
  <si>
    <t xml:space="preserve"> 石景山区苹果园地区 </t>
  </si>
  <si>
    <t xml:space="preserve"> B23研发设计用地 </t>
  </si>
  <si>
    <t xml:space="preserve"> 北京保恒置业发展有限公司  </t>
  </si>
  <si>
    <t xml:space="preserve"> 石景山国资投资 </t>
  </si>
  <si>
    <t>北京市房山区燕房组团FS00-0226-0033地块M4工业研发用地</t>
  </si>
  <si>
    <t xml:space="preserve"> 房山区 </t>
  </si>
  <si>
    <t xml:space="preserve"> 城关 </t>
  </si>
  <si>
    <t xml:space="preserve"> 京土整储挂(房)工业〔2023〕002号 </t>
  </si>
  <si>
    <t xml:space="preserve"> 房山区城关街道 </t>
  </si>
  <si>
    <t xml:space="preserve"> M4工业研发用地 </t>
  </si>
  <si>
    <t xml:space="preserve"> 20年 </t>
  </si>
  <si>
    <t xml:space="preserve"> 北京中联云天数据科技有限公司  </t>
  </si>
  <si>
    <t xml:space="preserve"> 北京中联云天数据科技有限公司 </t>
  </si>
  <si>
    <t xml:space="preserve"> 950元/㎡(九级工业用途2021-01-01) </t>
  </si>
  <si>
    <t>北京市房山区韩村河镇FS17-0101-0003地块M4工业研发用地项目</t>
  </si>
  <si>
    <t xml:space="preserve"> 韩村河镇 </t>
  </si>
  <si>
    <t xml:space="preserve"> 京土整储挂(房)工业【2022】001号 </t>
  </si>
  <si>
    <t xml:space="preserve"> 北京乾景云海科技有限公司  </t>
  </si>
  <si>
    <t xml:space="preserve"> 乾景园林 </t>
  </si>
  <si>
    <t xml:space="preserve"> 730元/㎡(十级工业用途2021-01-01) </t>
  </si>
  <si>
    <t>北京市石景山区中关村科技园石景山园北Ⅱ区西井地块土地一级开发项目1606-605地块B23研发设计用地</t>
  </si>
  <si>
    <t xml:space="preserve"> 苹果园 </t>
  </si>
  <si>
    <t xml:space="preserve"> 京土储挂(石)[2022]070号 </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</si>
  <si>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</si>
  <si>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</si>
  <si>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</si>
  <si>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</si>
  <si>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</si>
  <si>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第一版</t>
    <phoneticPr fontId="8" type="noConversion"/>
  </si>
  <si>
    <t>总值</t>
    <phoneticPr fontId="8" type="noConversion"/>
  </si>
  <si>
    <t>单价</t>
    <phoneticPr fontId="8" type="noConversion"/>
  </si>
  <si>
    <t>第二版</t>
    <phoneticPr fontId="8" type="noConversion"/>
  </si>
  <si>
    <t>需求</t>
    <phoneticPr fontId="7" type="noConversion"/>
  </si>
  <si>
    <t>G-PARK龙湖云域（智谷大厦）1#楼</t>
    <phoneticPr fontId="3" type="noConversion"/>
  </si>
  <si>
    <t>地上</t>
    <phoneticPr fontId="7" type="noConversion"/>
  </si>
  <si>
    <t>吴薇</t>
  </si>
  <si>
    <t>通热</t>
  </si>
  <si>
    <t>燃气</t>
  </si>
  <si>
    <t>地下占比</t>
    <phoneticPr fontId="31" type="noConversion"/>
  </si>
  <si>
    <t>独栋</t>
  </si>
  <si>
    <t>独栋</t>
    <phoneticPr fontId="31" type="noConversion"/>
  </si>
  <si>
    <t>40-50</t>
    <phoneticPr fontId="31" type="noConversion"/>
  </si>
  <si>
    <t>30-40</t>
    <phoneticPr fontId="31" type="noConversion"/>
  </si>
  <si>
    <t>20-30</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</si>
  <si>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</si>
  <si>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</si>
  <si>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</si>
  <si>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</si>
  <si>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</si>
  <si>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</si>
  <si>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</si>
  <si>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专业物业</t>
  </si>
  <si>
    <t>专业物业</t>
    <phoneticPr fontId="31" type="noConversion"/>
  </si>
  <si>
    <t>正常</t>
  </si>
  <si>
    <t>研发</t>
    <phoneticPr fontId="31" type="noConversion"/>
  </si>
  <si>
    <t>办公</t>
    <phoneticPr fontId="31" type="noConversion"/>
  </si>
  <si>
    <t>工业</t>
    <phoneticPr fontId="31" type="noConversion"/>
  </si>
  <si>
    <t>40-50</t>
    <phoneticPr fontId="31" type="noConversion"/>
  </si>
  <si>
    <t>新华联北京民企总部基地35#+31#+10#</t>
    <phoneticPr fontId="3" type="noConversion"/>
  </si>
  <si>
    <t>首开万科云创天地（城市之光COMO）3#楼</t>
    <phoneticPr fontId="3" type="noConversion"/>
  </si>
  <si>
    <t>项目模式</t>
  </si>
  <si>
    <t>售价</t>
  </si>
  <si>
    <t>比较法-办公</t>
  </si>
  <si>
    <t>设备</t>
    <phoneticPr fontId="3" type="noConversion"/>
  </si>
  <si>
    <t>竣工</t>
    <phoneticPr fontId="3" type="noConversion"/>
  </si>
  <si>
    <t>收益比率</t>
  </si>
  <si>
    <t>情况3</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</si>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</sst>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1"/>
      <name val="宋体"/>
      <family val="2"/>
      <scheme val="minor"/>
    </font>
    <font>
      <sz val="10"/>
      <name val="Calibri"/>
      <family val="3"/>
      <charset val="161"/>
    </font>
    <font>
      <sz val="10"/>
      <color rgb="FF00B05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9" fontId="159" fillId="0" borderId="0" applyFont="0" applyFill="0" applyBorder="0" applyAlignment="0" applyProtection="0">
      <alignment vertical="center"/>
    </xf>
  </cellStyleXfs>
  <cellXfs count="38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0" fontId="77" fillId="7" borderId="0" xfId="0" applyFont="1" applyFill="1" applyProtection="1">
      <alignment vertical="center"/>
      <protection locked="0"/>
    </xf>
    <xf numFmtId="0" fontId="270" fillId="0" borderId="0" xfId="19" applyNumberFormat="1"/>
    <xf numFmtId="14" fontId="270" fillId="0" borderId="0" xfId="19" applyNumberFormat="1"/>
    <xf numFmtId="0" fontId="270" fillId="5" borderId="0" xfId="19" applyNumberFormat="1" applyFill="1"/>
    <xf numFmtId="14" fontId="270" fillId="5"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NumberFormat="1" applyFont="1" applyProtection="1">
      <alignment vertical="center"/>
      <protection locked="0"/>
    </xf>
    <xf numFmtId="0" fontId="0" fillId="0" borderId="0" xfId="0" applyNumberFormat="1" applyProtection="1">
      <alignment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7" fillId="12" borderId="0" xfId="0" applyNumberFormat="1" applyFont="1" applyFill="1" applyAlignment="1" applyProtection="1">
      <alignment horizontal="left" vertical="center"/>
      <protection locked="0"/>
    </xf>
    <xf numFmtId="181" fontId="99" fillId="22" borderId="1" xfId="0" applyNumberFormat="1" applyFont="1" applyFill="1" applyBorder="1" applyAlignment="1" applyProtection="1">
      <alignment horizontal="center" vertical="center"/>
      <protection locked="0"/>
    </xf>
    <xf numFmtId="0" fontId="47" fillId="7" borderId="54" xfId="0" applyFont="1" applyFill="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47" fillId="7" borderId="3" xfId="0" applyFont="1" applyFill="1" applyBorder="1" applyAlignment="1" applyProtection="1">
      <alignment horizontal="center" vertical="center"/>
      <protection locked="0"/>
    </xf>
    <xf numFmtId="0" fontId="79" fillId="7" borderId="60" xfId="0" applyFont="1" applyFill="1" applyBorder="1" applyAlignment="1" applyProtection="1">
      <alignment horizontal="center" vertical="center"/>
      <protection locked="0"/>
    </xf>
    <xf numFmtId="0" fontId="19" fillId="5" borderId="1" xfId="12" applyFont="1" applyFill="1" applyBorder="1" applyAlignment="1">
      <alignment horizontal="center" vertical="center" wrapText="1"/>
    </xf>
    <xf numFmtId="0" fontId="19" fillId="5" borderId="1" xfId="12" applyFont="1" applyFill="1" applyBorder="1" applyAlignment="1">
      <alignment horizontal="center" vertical="center"/>
    </xf>
    <xf numFmtId="176" fontId="19" fillId="5" borderId="1" xfId="12" applyNumberFormat="1" applyFont="1" applyFill="1" applyBorder="1" applyAlignment="1">
      <alignment horizontal="center" vertical="center"/>
    </xf>
    <xf numFmtId="1" fontId="19" fillId="5" borderId="1" xfId="12" applyNumberFormat="1" applyFont="1" applyFill="1" applyBorder="1" applyAlignment="1">
      <alignment horizontal="center" vertical="center"/>
    </xf>
    <xf numFmtId="9" fontId="19" fillId="5" borderId="1" xfId="20" applyFont="1" applyFill="1" applyBorder="1" applyAlignment="1">
      <alignment horizontal="center" vertical="center"/>
    </xf>
    <xf numFmtId="0" fontId="159" fillId="5" borderId="0" xfId="12" applyFill="1"/>
    <xf numFmtId="0" fontId="19" fillId="0" borderId="1" xfId="12" applyFont="1" applyFill="1" applyBorder="1" applyAlignment="1">
      <alignment horizontal="center" vertical="center" wrapText="1"/>
    </xf>
    <xf numFmtId="176" fontId="19" fillId="0" borderId="1" xfId="12" applyNumberFormat="1" applyFont="1" applyFill="1" applyBorder="1" applyAlignment="1">
      <alignment horizontal="center" vertical="center" wrapText="1"/>
    </xf>
    <xf numFmtId="183" fontId="19" fillId="0" borderId="1" xfId="12" applyNumberFormat="1" applyFont="1" applyFill="1" applyBorder="1" applyAlignment="1">
      <alignment horizontal="center" vertical="center" wrapText="1"/>
    </xf>
    <xf numFmtId="0" fontId="159" fillId="0" borderId="0" xfId="12" applyFill="1"/>
    <xf numFmtId="0" fontId="19" fillId="0" borderId="1" xfId="12" applyFont="1" applyFill="1" applyBorder="1" applyAlignment="1">
      <alignment horizontal="center" vertical="center"/>
    </xf>
    <xf numFmtId="176" fontId="19" fillId="0" borderId="1" xfId="12" applyNumberFormat="1" applyFont="1" applyFill="1" applyBorder="1" applyAlignment="1">
      <alignment horizontal="center" vertical="center"/>
    </xf>
    <xf numFmtId="1" fontId="19" fillId="0" borderId="1" xfId="12" applyNumberFormat="1" applyFont="1" applyFill="1" applyBorder="1" applyAlignment="1">
      <alignment horizontal="center" vertical="center"/>
    </xf>
    <xf numFmtId="189" fontId="19" fillId="0" borderId="1" xfId="12" applyNumberFormat="1" applyFont="1" applyFill="1" applyBorder="1" applyAlignment="1">
      <alignment horizontal="center" vertical="center"/>
    </xf>
    <xf numFmtId="0" fontId="19" fillId="0" borderId="1" xfId="12" applyFont="1" applyFill="1" applyBorder="1" applyAlignment="1">
      <alignment horizontal="left" vertical="center"/>
    </xf>
    <xf numFmtId="9" fontId="19" fillId="0" borderId="1" xfId="20" applyFont="1" applyFill="1" applyBorder="1" applyAlignment="1">
      <alignment horizontal="center" vertical="center"/>
    </xf>
    <xf numFmtId="183" fontId="19" fillId="0" borderId="1" xfId="12" applyNumberFormat="1" applyFont="1" applyFill="1" applyBorder="1" applyAlignment="1">
      <alignment horizontal="center" vertical="center"/>
    </xf>
    <xf numFmtId="0" fontId="19" fillId="0" borderId="1" xfId="12" applyFont="1" applyFill="1" applyBorder="1" applyAlignment="1">
      <alignment vertical="center" wrapText="1"/>
    </xf>
    <xf numFmtId="31" fontId="19" fillId="0" borderId="1" xfId="12" applyNumberFormat="1" applyFont="1" applyFill="1" applyBorder="1" applyAlignment="1">
      <alignment horizontal="center" vertical="center" wrapText="1"/>
    </xf>
    <xf numFmtId="0" fontId="19" fillId="0" borderId="1" xfId="12" applyFont="1" applyFill="1" applyBorder="1" applyAlignment="1">
      <alignment horizontal="left" vertical="center" wrapText="1"/>
    </xf>
    <xf numFmtId="1" fontId="19" fillId="0" borderId="1" xfId="12" applyNumberFormat="1" applyFont="1" applyFill="1" applyBorder="1" applyAlignment="1">
      <alignment horizontal="center" vertical="center" wrapText="1"/>
    </xf>
    <xf numFmtId="2" fontId="19" fillId="0" borderId="1" xfId="12" applyNumberFormat="1" applyFont="1" applyFill="1" applyBorder="1" applyAlignment="1">
      <alignment horizontal="center" vertical="center"/>
    </xf>
    <xf numFmtId="0" fontId="19" fillId="0" borderId="0" xfId="12" applyFont="1" applyFill="1" applyAlignment="1">
      <alignment horizontal="center" vertical="center"/>
    </xf>
    <xf numFmtId="0" fontId="19" fillId="0" borderId="13" xfId="12" applyFont="1" applyFill="1" applyBorder="1" applyAlignment="1">
      <alignment horizontal="center" vertical="center" wrapText="1"/>
    </xf>
    <xf numFmtId="189" fontId="19" fillId="0" borderId="13" xfId="12" applyNumberFormat="1" applyFont="1" applyFill="1" applyBorder="1" applyAlignment="1">
      <alignment horizontal="center" vertical="center" wrapText="1"/>
    </xf>
    <xf numFmtId="4" fontId="19" fillId="0" borderId="1" xfId="12" applyNumberFormat="1" applyFont="1" applyFill="1" applyBorder="1" applyAlignment="1">
      <alignment horizontal="center" vertical="center"/>
    </xf>
    <xf numFmtId="183" fontId="19" fillId="5" borderId="1" xfId="12" applyNumberFormat="1" applyFont="1" applyFill="1" applyBorder="1" applyAlignment="1">
      <alignment horizontal="center" vertical="center"/>
    </xf>
    <xf numFmtId="2" fontId="44" fillId="0" borderId="0" xfId="0" applyNumberFormat="1" applyFont="1" applyProtection="1">
      <alignment vertical="center"/>
      <protection locked="0"/>
    </xf>
    <xf numFmtId="10" fontId="19" fillId="9" borderId="1" xfId="12" applyNumberFormat="1" applyFont="1" applyFill="1" applyBorder="1" applyAlignment="1">
      <alignment horizontal="center" vertical="center" wrapText="1"/>
    </xf>
    <xf numFmtId="10" fontId="19" fillId="9" borderId="1" xfId="12" applyNumberFormat="1" applyFont="1" applyFill="1" applyBorder="1" applyAlignment="1">
      <alignment horizontal="center" vertical="center"/>
    </xf>
    <xf numFmtId="10" fontId="159" fillId="9" borderId="0" xfId="12" applyNumberFormat="1" applyFill="1"/>
    <xf numFmtId="0" fontId="80" fillId="5" borderId="1" xfId="12" applyFont="1" applyFill="1" applyBorder="1" applyAlignment="1">
      <alignment horizontal="center" vertical="center" wrapText="1"/>
    </xf>
    <xf numFmtId="0" fontId="80" fillId="5" borderId="13" xfId="12" applyFont="1" applyFill="1" applyBorder="1" applyAlignment="1">
      <alignment horizontal="center" vertical="center" wrapText="1"/>
    </xf>
    <xf numFmtId="0" fontId="96" fillId="5" borderId="0" xfId="12" applyFont="1" applyFill="1"/>
    <xf numFmtId="0" fontId="80" fillId="0" borderId="1" xfId="12" applyFont="1" applyFill="1" applyBorder="1" applyAlignment="1">
      <alignment horizontal="center" vertical="center" wrapText="1"/>
    </xf>
    <xf numFmtId="0" fontId="80" fillId="0" borderId="1" xfId="12" applyFont="1" applyFill="1" applyBorder="1" applyAlignment="1">
      <alignment horizontal="center" vertical="center"/>
    </xf>
    <xf numFmtId="0" fontId="80" fillId="0" borderId="13" xfId="12" applyFont="1" applyFill="1" applyBorder="1" applyAlignment="1">
      <alignment horizontal="center" vertical="center" wrapText="1"/>
    </xf>
    <xf numFmtId="0" fontId="96" fillId="0" borderId="0" xfId="12" applyFont="1" applyFill="1"/>
    <xf numFmtId="0" fontId="270" fillId="9" borderId="0" xfId="19" applyNumberFormat="1" applyFill="1"/>
    <xf numFmtId="14" fontId="270" fillId="9" borderId="0" xfId="19" applyNumberFormat="1" applyFill="1"/>
    <xf numFmtId="0" fontId="77" fillId="6" borderId="0" xfId="0" applyFont="1" applyFill="1" applyProtection="1">
      <alignment vertical="center"/>
      <protection locked="0"/>
    </xf>
    <xf numFmtId="0" fontId="77" fillId="6" borderId="0" xfId="0" applyFont="1" applyFill="1" applyAlignment="1" applyProtection="1">
      <alignment horizontal="left" vertical="center"/>
      <protection locked="0"/>
    </xf>
    <xf numFmtId="0" fontId="128" fillId="0" borderId="0" xfId="0" applyFont="1" applyProtection="1">
      <alignment vertical="center"/>
      <protection locked="0"/>
    </xf>
    <xf numFmtId="0" fontId="79" fillId="6" borderId="0" xfId="0" applyFont="1" applyFill="1" applyProtection="1">
      <alignment vertical="center"/>
      <protection locked="0"/>
    </xf>
    <xf numFmtId="0" fontId="79" fillId="6" borderId="0" xfId="0" applyFont="1" applyFill="1" applyAlignment="1" applyProtection="1">
      <alignment horizontal="left" vertical="center"/>
      <protection locked="0"/>
    </xf>
    <xf numFmtId="0" fontId="52" fillId="6" borderId="0" xfId="0" applyFont="1" applyFill="1" applyAlignment="1" applyProtection="1">
      <alignment horizontal="left" vertical="center"/>
      <protection locked="0"/>
    </xf>
    <xf numFmtId="0" fontId="46" fillId="0" borderId="0" xfId="0" applyFont="1" applyProtection="1">
      <alignment vertical="center"/>
      <protection locked="0"/>
    </xf>
    <xf numFmtId="0" fontId="19" fillId="23" borderId="1" xfId="12" applyFont="1" applyFill="1" applyBorder="1" applyAlignment="1">
      <alignment horizontal="center" vertical="center" wrapText="1"/>
    </xf>
    <xf numFmtId="0" fontId="80" fillId="23" borderId="1" xfId="12" applyFont="1" applyFill="1" applyBorder="1" applyAlignment="1">
      <alignment horizontal="center" vertical="center" wrapText="1"/>
    </xf>
    <xf numFmtId="0" fontId="19" fillId="23" borderId="1" xfId="12" applyFont="1" applyFill="1" applyBorder="1" applyAlignment="1">
      <alignment horizontal="center" vertical="center"/>
    </xf>
    <xf numFmtId="176" fontId="19" fillId="23" borderId="1" xfId="12" applyNumberFormat="1" applyFont="1" applyFill="1" applyBorder="1" applyAlignment="1">
      <alignment horizontal="center" vertical="center"/>
    </xf>
    <xf numFmtId="1" fontId="19" fillId="23" borderId="1" xfId="12" applyNumberFormat="1" applyFont="1" applyFill="1" applyBorder="1" applyAlignment="1">
      <alignment horizontal="center" vertical="center"/>
    </xf>
    <xf numFmtId="10" fontId="19" fillId="23" borderId="1" xfId="12" applyNumberFormat="1" applyFont="1" applyFill="1" applyBorder="1" applyAlignment="1">
      <alignment horizontal="center" vertical="center"/>
    </xf>
    <xf numFmtId="189" fontId="19" fillId="23" borderId="1" xfId="12" applyNumberFormat="1" applyFont="1" applyFill="1" applyBorder="1" applyAlignment="1">
      <alignment horizontal="center" vertical="center"/>
    </xf>
    <xf numFmtId="0" fontId="19" fillId="23" borderId="1" xfId="12" applyFont="1" applyFill="1" applyBorder="1" applyAlignment="1">
      <alignment horizontal="left" vertical="center"/>
    </xf>
    <xf numFmtId="9" fontId="19" fillId="23" borderId="1" xfId="20" applyFont="1" applyFill="1" applyBorder="1" applyAlignment="1">
      <alignment horizontal="center" vertical="center"/>
    </xf>
    <xf numFmtId="0" fontId="159" fillId="23" borderId="0" xfId="12" applyFill="1"/>
    <xf numFmtId="183" fontId="19" fillId="23" borderId="1" xfId="12" applyNumberFormat="1" applyFont="1" applyFill="1" applyBorder="1" applyAlignment="1">
      <alignment horizontal="center" vertical="center"/>
    </xf>
    <xf numFmtId="2" fontId="44" fillId="0" borderId="37" xfId="0" applyNumberFormat="1" applyFont="1" applyFill="1" applyBorder="1" applyAlignment="1" applyProtection="1">
      <alignment horizontal="center" vertical="center" wrapText="1"/>
      <protection locked="0"/>
    </xf>
    <xf numFmtId="10" fontId="44"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9" fontId="44" fillId="9" borderId="23" xfId="0" applyNumberFormat="1" applyFont="1" applyFill="1" applyBorder="1" applyAlignment="1" applyProtection="1">
      <alignment horizontal="center" vertical="center"/>
      <protection locked="0"/>
    </xf>
    <xf numFmtId="0" fontId="272" fillId="9" borderId="1"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49" fontId="166" fillId="0" borderId="23" xfId="0" applyNumberFormat="1" applyFont="1" applyFill="1" applyBorder="1" applyAlignment="1" applyProtection="1">
      <alignment horizontal="center" vertical="center" wrapText="1"/>
      <protection locked="0"/>
    </xf>
  </cellXfs>
  <cellStyles count="21">
    <cellStyle name="百分比" xfId="17" builtinId="5"/>
    <cellStyle name="百分比 2" xfId="14"/>
    <cellStyle name="百分比 3" xfId="20"/>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137949</xdr:rowOff>
    </xdr:from>
    <xdr:to>
      <xdr:col>4</xdr:col>
      <xdr:colOff>454601</xdr:colOff>
      <xdr:row>21</xdr:row>
      <xdr:rowOff>70847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1121"/>
          <a:ext cx="3187291" cy="2836381"/>
        </a:xfrm>
        <a:prstGeom prst="rect">
          <a:avLst/>
        </a:prstGeom>
      </xdr:spPr>
    </xdr:pic>
    <xdr:clientData/>
  </xdr:twoCellAnchor>
  <xdr:twoCellAnchor editAs="oneCell">
    <xdr:from>
      <xdr:col>5</xdr:col>
      <xdr:colOff>0</xdr:colOff>
      <xdr:row>5</xdr:row>
      <xdr:rowOff>0</xdr:rowOff>
    </xdr:from>
    <xdr:to>
      <xdr:col>9</xdr:col>
      <xdr:colOff>295881</xdr:colOff>
      <xdr:row>33</xdr:row>
      <xdr:rowOff>65413</xdr:rowOff>
    </xdr:to>
    <xdr:pic>
      <xdr:nvPicPr>
        <xdr:cNvPr id="3" name="图片 2"/>
        <xdr:cNvPicPr>
          <a:picLocks noChangeAspect="1"/>
        </xdr:cNvPicPr>
      </xdr:nvPicPr>
      <xdr:blipFill>
        <a:blip xmlns:r="http://schemas.openxmlformats.org/officeDocument/2006/relationships" r:embed="rId1"/>
        <a:stretch>
          <a:fillRect/>
        </a:stretch>
      </xdr:blipFill>
      <xdr:spPr>
        <a:xfrm>
          <a:off x="3415862" y="853966"/>
          <a:ext cx="3028571"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39</xdr:row>
      <xdr:rowOff>75355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6761905"/>
        </a:xfrm>
        <a:prstGeom prst="rect">
          <a:avLst/>
        </a:prstGeom>
      </xdr:spPr>
    </xdr:pic>
    <xdr:clientData/>
  </xdr:twoCellAnchor>
  <xdr:twoCellAnchor editAs="oneCell">
    <xdr:from>
      <xdr:col>6</xdr:col>
      <xdr:colOff>0</xdr:colOff>
      <xdr:row>0</xdr:row>
      <xdr:rowOff>0</xdr:rowOff>
    </xdr:from>
    <xdr:to>
      <xdr:col>11</xdr:col>
      <xdr:colOff>428143</xdr:colOff>
      <xdr:row>40</xdr:row>
      <xdr:rowOff>113428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4114800" y="0"/>
          <a:ext cx="3857143" cy="6971428"/>
        </a:xfrm>
        <a:prstGeom prst="rect">
          <a:avLst/>
        </a:prstGeom>
      </xdr:spPr>
    </xdr:pic>
    <xdr:clientData/>
  </xdr:twoCellAnchor>
  <xdr:twoCellAnchor editAs="oneCell">
    <xdr:from>
      <xdr:col>12</xdr:col>
      <xdr:colOff>0</xdr:colOff>
      <xdr:row>0</xdr:row>
      <xdr:rowOff>0</xdr:rowOff>
    </xdr:from>
    <xdr:to>
      <xdr:col>17</xdr:col>
      <xdr:colOff>47190</xdr:colOff>
      <xdr:row>37</xdr:row>
      <xdr:rowOff>65874</xdr:rowOff>
    </xdr:to>
    <xdr:pic>
      <xdr:nvPicPr>
        <xdr:cNvPr id="4" name="图片 3"/>
        <xdr:cNvPicPr>
          <a:picLocks noChangeAspect="1"/>
        </xdr:cNvPicPr>
      </xdr:nvPicPr>
      <xdr:blipFill>
        <a:blip xmlns:r="http://schemas.openxmlformats.org/officeDocument/2006/relationships" r:embed="rId1"/>
        <a:stretch>
          <a:fillRect/>
        </a:stretch>
      </xdr:blipFill>
      <xdr:spPr>
        <a:xfrm>
          <a:off x="8229600" y="0"/>
          <a:ext cx="3476190" cy="6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114300</xdr:rowOff>
    </xdr:from>
    <xdr:to>
      <xdr:col>7</xdr:col>
      <xdr:colOff>875533</xdr:colOff>
      <xdr:row>39</xdr:row>
      <xdr:rowOff>94755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05025"/>
          <a:ext cx="6133333" cy="3961905"/>
        </a:xfrm>
        <a:prstGeom prst="rect">
          <a:avLst/>
        </a:prstGeom>
      </xdr:spPr>
    </xdr:pic>
    <xdr:clientData/>
  </xdr:twoCellAnchor>
  <xdr:twoCellAnchor editAs="oneCell">
    <xdr:from>
      <xdr:col>15</xdr:col>
      <xdr:colOff>828675</xdr:colOff>
      <xdr:row>26</xdr:row>
      <xdr:rowOff>114300</xdr:rowOff>
    </xdr:from>
    <xdr:to>
      <xdr:col>32</xdr:col>
      <xdr:colOff>285363</xdr:colOff>
      <xdr:row>41</xdr:row>
      <xdr:rowOff>152056</xdr:rowOff>
    </xdr:to>
    <xdr:pic>
      <xdr:nvPicPr>
        <xdr:cNvPr id="3" name="图片 2"/>
        <xdr:cNvPicPr>
          <a:picLocks noChangeAspect="1"/>
        </xdr:cNvPicPr>
      </xdr:nvPicPr>
      <xdr:blipFill>
        <a:blip xmlns:r="http://schemas.openxmlformats.org/officeDocument/2006/relationships" r:embed="rId1"/>
        <a:stretch>
          <a:fillRect/>
        </a:stretch>
      </xdr:blipFill>
      <xdr:spPr>
        <a:xfrm>
          <a:off x="10277475" y="4819650"/>
          <a:ext cx="3095238" cy="2752381"/>
        </a:xfrm>
        <a:prstGeom prst="rect">
          <a:avLst/>
        </a:prstGeom>
      </xdr:spPr>
    </xdr:pic>
    <xdr:clientData/>
  </xdr:twoCellAnchor>
  <xdr:twoCellAnchor editAs="oneCell">
    <xdr:from>
      <xdr:col>32</xdr:col>
      <xdr:colOff>904875</xdr:colOff>
      <xdr:row>22</xdr:row>
      <xdr:rowOff>133350</xdr:rowOff>
    </xdr:from>
    <xdr:to>
      <xdr:col>46</xdr:col>
      <xdr:colOff>37887</xdr:colOff>
      <xdr:row>27</xdr:row>
      <xdr:rowOff>85618</xdr:rowOff>
    </xdr:to>
    <xdr:pic>
      <xdr:nvPicPr>
        <xdr:cNvPr id="4" name="图片 3"/>
        <xdr:cNvPicPr>
          <a:picLocks noChangeAspect="1"/>
        </xdr:cNvPicPr>
      </xdr:nvPicPr>
      <xdr:blipFill>
        <a:blip xmlns:r="http://schemas.openxmlformats.org/officeDocument/2006/relationships" r:embed="rId1"/>
        <a:stretch>
          <a:fillRect/>
        </a:stretch>
      </xdr:blipFill>
      <xdr:spPr>
        <a:xfrm>
          <a:off x="13992225" y="4114800"/>
          <a:ext cx="1704762" cy="857143"/>
        </a:xfrm>
        <a:prstGeom prst="rect">
          <a:avLst/>
        </a:prstGeom>
      </xdr:spPr>
    </xdr:pic>
    <xdr:clientData/>
  </xdr:twoCellAnchor>
  <xdr:twoCellAnchor editAs="oneCell">
    <xdr:from>
      <xdr:col>32</xdr:col>
      <xdr:colOff>923925</xdr:colOff>
      <xdr:row>27</xdr:row>
      <xdr:rowOff>85725</xdr:rowOff>
    </xdr:from>
    <xdr:to>
      <xdr:col>46</xdr:col>
      <xdr:colOff>542651</xdr:colOff>
      <xdr:row>36</xdr:row>
      <xdr:rowOff>85521</xdr:rowOff>
    </xdr:to>
    <xdr:pic>
      <xdr:nvPicPr>
        <xdr:cNvPr id="5" name="图片 4"/>
        <xdr:cNvPicPr>
          <a:picLocks noChangeAspect="1"/>
        </xdr:cNvPicPr>
      </xdr:nvPicPr>
      <xdr:blipFill>
        <a:blip xmlns:r="http://schemas.openxmlformats.org/officeDocument/2006/relationships" r:embed="rId1"/>
        <a:stretch>
          <a:fillRect/>
        </a:stretch>
      </xdr:blipFill>
      <xdr:spPr>
        <a:xfrm>
          <a:off x="14011275" y="4972050"/>
          <a:ext cx="2190476" cy="1628571"/>
        </a:xfrm>
        <a:prstGeom prst="rect">
          <a:avLst/>
        </a:prstGeom>
      </xdr:spPr>
    </xdr:pic>
    <xdr:clientData/>
  </xdr:twoCellAnchor>
  <xdr:twoCellAnchor editAs="oneCell">
    <xdr:from>
      <xdr:col>8</xdr:col>
      <xdr:colOff>0</xdr:colOff>
      <xdr:row>23</xdr:row>
      <xdr:rowOff>0</xdr:rowOff>
    </xdr:from>
    <xdr:to>
      <xdr:col>9</xdr:col>
      <xdr:colOff>847511</xdr:colOff>
      <xdr:row>26</xdr:row>
      <xdr:rowOff>142789</xdr:rowOff>
    </xdr:to>
    <xdr:pic>
      <xdr:nvPicPr>
        <xdr:cNvPr id="6" name="图片 5"/>
        <xdr:cNvPicPr>
          <a:picLocks noChangeAspect="1"/>
        </xdr:cNvPicPr>
      </xdr:nvPicPr>
      <xdr:blipFill>
        <a:blip xmlns:r="http://schemas.openxmlformats.org/officeDocument/2006/relationships" r:embed="rId1"/>
        <a:stretch>
          <a:fillRect/>
        </a:stretch>
      </xdr:blipFill>
      <xdr:spPr>
        <a:xfrm>
          <a:off x="6505575" y="4162425"/>
          <a:ext cx="1714286" cy="685714"/>
        </a:xfrm>
        <a:prstGeom prst="rect">
          <a:avLst/>
        </a:prstGeom>
      </xdr:spPr>
    </xdr:pic>
    <xdr:clientData/>
  </xdr:twoCellAnchor>
  <xdr:twoCellAnchor editAs="oneCell">
    <xdr:from>
      <xdr:col>7</xdr:col>
      <xdr:colOff>1219200</xdr:colOff>
      <xdr:row>26</xdr:row>
      <xdr:rowOff>161925</xdr:rowOff>
    </xdr:from>
    <xdr:to>
      <xdr:col>15</xdr:col>
      <xdr:colOff>380581</xdr:colOff>
      <xdr:row>42</xdr:row>
      <xdr:rowOff>47277</xdr:rowOff>
    </xdr:to>
    <xdr:pic>
      <xdr:nvPicPr>
        <xdr:cNvPr id="7" name="图片 6"/>
        <xdr:cNvPicPr>
          <a:picLocks noChangeAspect="1"/>
        </xdr:cNvPicPr>
      </xdr:nvPicPr>
      <xdr:blipFill>
        <a:blip xmlns:r="http://schemas.openxmlformats.org/officeDocument/2006/relationships" r:embed="rId1"/>
        <a:stretch>
          <a:fillRect/>
        </a:stretch>
      </xdr:blipFill>
      <xdr:spPr>
        <a:xfrm>
          <a:off x="6477000" y="4867275"/>
          <a:ext cx="3352381" cy="2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北京市顺义区汇海南路6号院25号楼-2至10层101房地产抵押价值预评估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受贵公司委托，我公司对北京市顺义区汇海南路6号院25号楼-2至10层101房地产抵押价值进行了预评估。</v>
      </c>
    </row>
    <row r="7" spans="1:2" s="1202" customFormat="1">
      <c r="A7" s="1200" t="s">
        <v>566</v>
      </c>
      <c r="B7" s="1201" t="str">
        <f>'预评函-1'!A7</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2024年11月12日（评估专业人员实地查勘之日）</v>
      </c>
    </row>
    <row r="13" spans="1:2" s="1202" customFormat="1">
      <c r="A13" s="1200" t="s">
        <v>529</v>
      </c>
      <c r="B13" s="120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31001</v>
      </c>
    </row>
    <row r="21" spans="1:2" s="1202" customFormat="1">
      <c r="A21" s="1200" t="s">
        <v>537</v>
      </c>
      <c r="B21" s="1201">
        <f ca="1">'预评函-2'!D7</f>
        <v>19025</v>
      </c>
    </row>
    <row r="22" spans="1:2" s="1202" customFormat="1">
      <c r="A22" s="1200" t="s">
        <v>538</v>
      </c>
      <c r="B22" s="1201" t="str">
        <f ca="1">'预评函-2'!D6</f>
        <v>叁亿壹仟零壹万元整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31001</v>
      </c>
    </row>
    <row r="31" spans="1:2" s="1202" customFormat="1">
      <c r="A31" s="1200" t="s">
        <v>576</v>
      </c>
      <c r="B31" s="1201">
        <f ca="1">'预评函-2'!D15</f>
        <v>19025</v>
      </c>
    </row>
    <row r="32" spans="1:2" s="1202" customFormat="1">
      <c r="A32" s="1200" t="s">
        <v>543</v>
      </c>
      <c r="B32" s="1201" t="str">
        <f ca="1">'预评函-2'!D14</f>
        <v>叁亿壹仟零壹万元整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27856</v>
      </c>
    </row>
    <row r="39" spans="1:2" s="1202" customFormat="1">
      <c r="A39" s="1200" t="s">
        <v>545</v>
      </c>
      <c r="B39" s="1201">
        <f ca="1">'预评函-2'!D21</f>
        <v>17094</v>
      </c>
    </row>
    <row r="40" spans="1:2" s="1202" customFormat="1">
      <c r="A40" s="1200" t="s">
        <v>546</v>
      </c>
      <c r="B40" s="1201" t="str">
        <f ca="1">'预评函-2'!D20</f>
        <v>贰亿柒仟捌佰伍拾陆万元整</v>
      </c>
    </row>
    <row r="41" spans="1:2" s="1202" customFormat="1">
      <c r="A41" s="1200" t="s">
        <v>592</v>
      </c>
      <c r="B41" s="1201" t="str">
        <f>'预评函-3'!A4</f>
        <v>北京市顺义区汇海南路6号院25号楼-2至10层101房地产</v>
      </c>
    </row>
    <row r="42" spans="1:2" s="1202" customFormat="1">
      <c r="A42" s="1200" t="s">
        <v>590</v>
      </c>
      <c r="B42" s="1201" t="str">
        <f>'预评函-3'!B2</f>
        <v>建筑面积</v>
      </c>
    </row>
    <row r="43" spans="1:2" s="1202" customFormat="1">
      <c r="A43" s="1200" t="s">
        <v>591</v>
      </c>
      <c r="B43" s="1201">
        <f>'预评函-3'!B4</f>
        <v>16295.3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4061</v>
      </c>
    </row>
    <row r="48" spans="1:2" s="1202" customFormat="1">
      <c r="A48" s="1200" t="s">
        <v>549</v>
      </c>
      <c r="B48" s="1201">
        <f ca="1">'预评函-3'!E4</f>
        <v>2493</v>
      </c>
    </row>
    <row r="49" spans="1:2" s="1202" customFormat="1">
      <c r="A49" s="1200" t="s">
        <v>550</v>
      </c>
      <c r="B49" s="1201" t="str">
        <f ca="1">'预评函-3'!D5</f>
        <v>肆仟零陆拾壹万元整</v>
      </c>
    </row>
    <row r="50" spans="1:2" s="1202" customFormat="1">
      <c r="A50" s="1200" t="s">
        <v>574</v>
      </c>
      <c r="B50" s="1201" t="str">
        <f>'预评函-3'!F2</f>
        <v>在建建筑物价值</v>
      </c>
    </row>
    <row r="51" spans="1:2" s="1202" customFormat="1">
      <c r="A51" s="1200" t="s">
        <v>551</v>
      </c>
      <c r="B51" s="1201">
        <f ca="1">'预评函-3'!F4</f>
        <v>26940</v>
      </c>
    </row>
    <row r="52" spans="1:2" s="1202" customFormat="1">
      <c r="A52" s="1200" t="s">
        <v>552</v>
      </c>
      <c r="B52" s="1201">
        <f ca="1">'预评函-3'!G4</f>
        <v>16532</v>
      </c>
    </row>
    <row r="53" spans="1:2" s="1202" customFormat="1">
      <c r="A53" s="1200" t="s">
        <v>580</v>
      </c>
      <c r="B53" s="1201" t="str">
        <f ca="1">'预评函-3'!F5</f>
        <v>贰亿陆仟玖佰肆拾万元整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2575</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2576</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2289</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7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1553" t="s">
        <v>385</v>
      </c>
      <c r="C54" s="1550" t="s">
        <v>583</v>
      </c>
    </row>
    <row r="55" spans="1:4">
      <c r="A55" s="3576"/>
      <c r="B55" s="1553" t="s">
        <v>386</v>
      </c>
      <c r="C55" s="1550" t="s">
        <v>584</v>
      </c>
    </row>
    <row r="56" spans="1:4">
      <c r="A56" s="3576"/>
      <c r="B56" s="1553" t="s">
        <v>387</v>
      </c>
      <c r="C56" s="1550" t="s">
        <v>588</v>
      </c>
    </row>
    <row r="57" spans="1:4">
      <c r="A57" s="357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77" t="s">
        <v>2578</v>
      </c>
      <c r="J2" s="3577"/>
      <c r="K2" s="3577"/>
      <c r="L2" s="3577"/>
      <c r="M2" s="3577"/>
      <c r="N2" s="3577"/>
      <c r="O2" s="3577"/>
      <c r="P2" s="3577"/>
      <c r="Q2" s="3577"/>
      <c r="R2" s="3577"/>
    </row>
    <row r="3" spans="1:18">
      <c r="A3" s="3016" t="s">
        <v>2499</v>
      </c>
      <c r="B3" s="3017">
        <f>项目基本情况!D3</f>
        <v>45608</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2.1</v>
      </c>
      <c r="D5" s="3021">
        <f>IF(ISERROR(ROUND(POWER(1+E5,A5-C5)*(POWER(1+E5,C5)-1)/(POWER(1+E5,A5)-1),3)),0,ROUND(POWER(1+E5,A5-C5)*(POWER(1+E5,C5)-1)/(POWER(1+E5,A5)-1),4))</f>
        <v>9.9900000000000003E-2</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12.1</v>
      </c>
      <c r="D6" s="3021">
        <f>IF(ISERROR(ROUND(POWER(1+E6,A6-C6)*(POWER(1+E6,C6)-1)/(POWER(1+E6,A6)-1),3)),0,ROUND(POWER(1+E6,A6-C6)*(POWER(1+E6,C6)-1)/(POWER(1+E6,A6)-1),4))</f>
        <v>0.43969999999999998</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32.119999999999997</v>
      </c>
      <c r="D7" s="3021">
        <f>IF(ISERROR(ROUND(POWER(1+E7,A7-C7)*(POWER(1+E7,C7)-1)/(POWER(1+E7,A7)-1),3)),0,ROUND(POWER(1+E7,A7-C7)*(POWER(1+E7,C7)-1)/(POWER(1+E7,A7)-1),4))</f>
        <v>0.76539999999999997</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E9" sqref="E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78" t="str">
        <f>IF(B10="北京市","北京市",C10)&amp;F10&amp;IF(结果表!G1="在建","出让国有建设用地使用权及在建建筑物",IF(结果表!G1="土地","出让国有建设用地使用权",))&amp;B9&amp;"预评估"</f>
        <v>北京市顺义区汇海南路6号院25号楼-2至10层101房地产抵押价值预评估</v>
      </c>
      <c r="C1" s="3579"/>
      <c r="D1" s="3579"/>
      <c r="E1" s="3579"/>
      <c r="F1" s="3579"/>
      <c r="G1" s="3579"/>
      <c r="H1" s="3579"/>
      <c r="I1" s="3580"/>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北京市顺义区汇海南路6号院25号楼-2至10层101房地产抵押价值</v>
      </c>
      <c r="T1" s="1744"/>
      <c r="U1" s="1744"/>
      <c r="V1" s="1744"/>
      <c r="W1" s="1744"/>
      <c r="X1" s="1744"/>
      <c r="Y1" s="1744"/>
      <c r="Z1" s="1744"/>
      <c r="AA1" s="1744"/>
      <c r="AB1" s="1744"/>
    </row>
    <row r="2" spans="1:30">
      <c r="A2" s="2366" t="s">
        <v>2169</v>
      </c>
      <c r="B2" s="2370"/>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北京市顺义区汇海南路6号院25号楼-2至10层101房地产</v>
      </c>
      <c r="T2" s="1744"/>
      <c r="U2" s="1744"/>
      <c r="V2" s="1744"/>
      <c r="W2" s="1744"/>
      <c r="X2" s="1744"/>
      <c r="Y2" s="1744"/>
      <c r="Z2" s="1744"/>
      <c r="AA2" s="1744"/>
      <c r="AB2" s="1744"/>
    </row>
    <row r="3" spans="1:30">
      <c r="A3" s="302" t="s">
        <v>2170</v>
      </c>
      <c r="B3" s="2372">
        <v>45608</v>
      </c>
      <c r="C3" s="2373" t="s">
        <v>2171</v>
      </c>
      <c r="D3" s="2372">
        <f>B3</f>
        <v>45608</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3996</v>
      </c>
      <c r="C4" s="2375">
        <f ca="1">SUMIF(注册房地产估价师,B4,估价师及机构信息!B3:B24)</f>
        <v>1419970001</v>
      </c>
      <c r="D4" s="2374" t="s">
        <v>3385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2175</v>
      </c>
      <c r="B7" s="2386"/>
      <c r="C7" s="2384"/>
      <c r="D7" s="2385"/>
      <c r="E7" s="2658"/>
      <c r="F7" s="2660"/>
      <c r="G7" s="2660"/>
      <c r="H7" s="2660"/>
      <c r="I7" s="2660"/>
      <c r="J7" s="2437"/>
      <c r="K7" s="2612"/>
      <c r="L7" s="2609"/>
      <c r="M7" s="2609"/>
      <c r="N7" s="2437"/>
      <c r="O7" s="2448"/>
      <c r="P7" s="2437"/>
      <c r="Q7" s="2437"/>
      <c r="R7" s="2437"/>
    </row>
    <row r="8" spans="1:30">
      <c r="A8" s="2387" t="s">
        <v>2176</v>
      </c>
      <c r="B8" s="2388" t="s">
        <v>3386</v>
      </c>
      <c r="C8" s="2389"/>
      <c r="D8" s="3581" t="s">
        <v>2177</v>
      </c>
      <c r="E8" s="2390" t="s">
        <v>3387</v>
      </c>
      <c r="F8" s="2391"/>
      <c r="G8" s="2659"/>
      <c r="H8" s="2659"/>
      <c r="I8" s="2659"/>
      <c r="J8" s="2437"/>
      <c r="K8" s="2610"/>
      <c r="L8" s="2609"/>
      <c r="M8" s="2609"/>
      <c r="N8" s="2437"/>
      <c r="O8" s="2448"/>
      <c r="P8" s="2437"/>
      <c r="Q8" s="2437"/>
      <c r="R8" s="2437"/>
    </row>
    <row r="9" spans="1:30" ht="13.5" thickBot="1">
      <c r="A9" s="2392" t="s">
        <v>2178</v>
      </c>
      <c r="B9" s="2393" t="s">
        <v>3387</v>
      </c>
      <c r="C9" s="2394"/>
      <c r="D9" s="3582"/>
      <c r="E9" s="2393" t="s">
        <v>587</v>
      </c>
      <c r="F9" s="2395"/>
      <c r="G9" s="2661"/>
      <c r="H9" s="2661"/>
      <c r="I9" s="2661"/>
      <c r="J9" s="2437"/>
      <c r="K9" s="2612"/>
      <c r="L9" s="2609"/>
      <c r="M9" s="2609"/>
      <c r="N9" s="2437"/>
      <c r="O9" s="2448"/>
      <c r="P9" s="2437"/>
      <c r="Q9" s="2437"/>
      <c r="R9" s="2437"/>
    </row>
    <row r="10" spans="1:30" ht="13.5" thickTop="1">
      <c r="A10" s="2396" t="s">
        <v>2179</v>
      </c>
      <c r="B10" s="2397" t="s">
        <v>3388</v>
      </c>
      <c r="C10" s="2398"/>
      <c r="D10" s="2381"/>
      <c r="E10" s="2399" t="s">
        <v>2180</v>
      </c>
      <c r="F10" s="2662" t="s">
        <v>3416</v>
      </c>
      <c r="G10" s="2663"/>
      <c r="H10" s="2664"/>
      <c r="I10" s="2665"/>
      <c r="J10" s="2437"/>
      <c r="K10" s="2612"/>
      <c r="L10" s="2609"/>
      <c r="M10" s="2609"/>
      <c r="N10" s="2437"/>
      <c r="O10" s="2448"/>
      <c r="P10" s="2437"/>
      <c r="Q10" s="2437"/>
      <c r="R10" s="2437"/>
    </row>
    <row r="11" spans="1:30" ht="36">
      <c r="A11" s="2400" t="s">
        <v>2181</v>
      </c>
      <c r="B11" s="2401" t="s">
        <v>3389</v>
      </c>
      <c r="C11" s="3445" t="s">
        <v>3390</v>
      </c>
      <c r="D11" s="2402"/>
      <c r="E11" s="2369"/>
      <c r="F11" s="2369"/>
      <c r="G11" s="2369"/>
      <c r="H11" s="2369"/>
      <c r="I11" s="2369"/>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2574</v>
      </c>
      <c r="J12" s="3058"/>
      <c r="K12" s="2609"/>
      <c r="L12" s="2609"/>
      <c r="M12" s="2437"/>
      <c r="N12" s="2448"/>
      <c r="O12" s="2437"/>
      <c r="P12" s="2437"/>
      <c r="Q12" s="2437"/>
      <c r="AD12" s="1744"/>
    </row>
    <row r="13" spans="1:30">
      <c r="A13" s="3419" t="s">
        <v>3329</v>
      </c>
      <c r="B13" s="2405" t="s">
        <v>2190</v>
      </c>
      <c r="C13" s="856"/>
      <c r="D13" s="856"/>
      <c r="E13" s="856"/>
      <c r="F13" s="856">
        <f>I13</f>
        <v>59779</v>
      </c>
      <c r="G13" s="856"/>
      <c r="H13" s="856"/>
      <c r="I13" s="856">
        <v>59779</v>
      </c>
      <c r="J13" s="3058"/>
      <c r="K13" s="2609"/>
      <c r="L13" s="2609"/>
      <c r="M13" s="2437"/>
      <c r="N13" s="2448"/>
      <c r="O13" s="2437"/>
      <c r="P13" s="2437"/>
      <c r="Q13" s="2437"/>
      <c r="AD13" s="1744"/>
    </row>
    <row r="14" spans="1:30">
      <c r="A14" s="1081"/>
      <c r="B14" s="2405" t="s">
        <v>2191</v>
      </c>
      <c r="C14" s="2406"/>
      <c r="D14" s="2406"/>
      <c r="E14" s="2406"/>
      <c r="F14" s="2406">
        <v>50</v>
      </c>
      <c r="G14" s="2406"/>
      <c r="H14" s="2406"/>
      <c r="I14" s="2406">
        <v>50</v>
      </c>
      <c r="J14" s="3059"/>
      <c r="K14" s="2609"/>
      <c r="L14" s="2609"/>
      <c r="M14" s="2437"/>
      <c r="N14" s="2448"/>
      <c r="O14" s="2437"/>
      <c r="P14" s="2437"/>
      <c r="Q14" s="2437"/>
      <c r="AD14" s="1744"/>
    </row>
    <row r="15" spans="1:30">
      <c r="A15" s="320"/>
      <c r="B15" s="2407" t="s">
        <v>2192</v>
      </c>
      <c r="C15" s="2408" t="str">
        <f>IF(A13="出让",IF(C13="","",ROUNDDOWN(MIN((C13-$D$3)/365,C14),2)),C14)</f>
        <v/>
      </c>
      <c r="D15" s="2408" t="str">
        <f>IF(A13="出让",IF(D13="","",ROUNDDOWN(MIN((D13-$D$3)/365,D14),2)),D14)</f>
        <v/>
      </c>
      <c r="E15" s="2408" t="str">
        <f>IF(A13="出让",IF(E13="","",ROUNDDOWN(MIN((E13-$D$3)/365,E14),2)),E14)</f>
        <v/>
      </c>
      <c r="F15" s="2408">
        <f>IF(A13="出让",IF(F13="","",ROUNDDOWN(MIN((F13-$D$3)/365,F14),2)),F14)</f>
        <v>38.82</v>
      </c>
      <c r="G15" s="2408" t="str">
        <f>IF(A13="出让",IF(G13="","",ROUNDDOWN(MIN((G13-$D$3)/365,G14),2)),G14)</f>
        <v/>
      </c>
      <c r="H15" s="2408" t="str">
        <f>IF(A13="出让",IF(H13="","",ROUNDDOWN(MIN((H13-$D$3)/365,H14),2)),H14)</f>
        <v/>
      </c>
      <c r="I15" s="2408">
        <f>IF(A13="出让",IF(I13="","",ROUNDDOWN(MIN((I13-$D$3)/365,I14),2)),I14)</f>
        <v>38.82</v>
      </c>
      <c r="J15" s="3060"/>
      <c r="K15" s="2449"/>
      <c r="L15" s="2449"/>
      <c r="M15" s="2505"/>
      <c r="N15" s="2449"/>
      <c r="O15" s="2505"/>
      <c r="P15" s="2437"/>
      <c r="Q15" s="2437"/>
      <c r="AD15" s="1744"/>
    </row>
    <row r="16" spans="1:30">
      <c r="A16" s="2399" t="s">
        <v>2193</v>
      </c>
      <c r="B16" s="3588"/>
      <c r="C16" s="3589"/>
      <c r="D16" s="3590"/>
      <c r="E16" s="2411" t="s">
        <v>2194</v>
      </c>
      <c r="F16" s="3591"/>
      <c r="G16" s="3592"/>
      <c r="H16" s="3592"/>
      <c r="I16" s="3593"/>
      <c r="J16" s="2437"/>
      <c r="K16" s="2613"/>
      <c r="L16" s="2449"/>
      <c r="M16" s="2449"/>
      <c r="N16" s="2505"/>
      <c r="O16" s="2449"/>
      <c r="P16" s="2505"/>
      <c r="Q16" s="2437"/>
      <c r="R16" s="2437"/>
    </row>
    <row r="17" spans="1:28">
      <c r="A17" s="313" t="s">
        <v>2195</v>
      </c>
      <c r="B17" s="302" t="s">
        <v>2196</v>
      </c>
      <c r="C17" s="8">
        <f>'数据-汇总表'!E3</f>
        <v>16295.3</v>
      </c>
      <c r="D17" s="2321" t="s">
        <v>2197</v>
      </c>
      <c r="E17" s="3594" t="s">
        <v>2198</v>
      </c>
      <c r="F17" s="3595"/>
      <c r="G17" s="3595"/>
      <c r="H17" s="3595"/>
      <c r="I17" s="3596"/>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97" t="s">
        <v>2202</v>
      </c>
      <c r="F18" s="3598"/>
      <c r="G18" s="3598"/>
      <c r="H18" s="3598"/>
      <c r="I18" s="3599"/>
      <c r="J18" s="2437"/>
      <c r="K18" s="2614"/>
      <c r="L18" s="2449"/>
      <c r="M18" s="2449"/>
      <c r="N18" s="2505"/>
      <c r="O18" s="2449"/>
      <c r="P18" s="2505"/>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2205</v>
      </c>
      <c r="B20" s="3584" t="s">
        <v>2206</v>
      </c>
      <c r="C20" s="3585"/>
      <c r="D20" s="3586" t="s">
        <v>2207</v>
      </c>
      <c r="E20" s="3587"/>
      <c r="F20" s="2643" t="s">
        <v>1056</v>
      </c>
      <c r="G20" s="2660"/>
      <c r="H20" s="2660"/>
      <c r="I20" s="2660"/>
      <c r="J20" s="2437"/>
      <c r="K20" s="358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7"/>
      <c r="K21" s="358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8"/>
      <c r="B22" s="2632" t="s">
        <v>2211</v>
      </c>
      <c r="C22" s="2630" t="s">
        <v>1058</v>
      </c>
      <c r="D22" s="2659"/>
      <c r="E22" s="2659"/>
      <c r="F22" s="2659"/>
      <c r="G22" s="2660"/>
      <c r="H22" s="2660"/>
      <c r="I22" s="2660"/>
      <c r="J22" s="2437"/>
      <c r="K22" s="358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601" t="s">
        <v>2214</v>
      </c>
      <c r="B27" s="320" t="s">
        <v>2215</v>
      </c>
      <c r="C27" s="2414" t="s">
        <v>3391</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601"/>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601"/>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602"/>
      <c r="B30" s="302" t="s">
        <v>2218</v>
      </c>
      <c r="C30" s="3603"/>
      <c r="D30" s="3604"/>
      <c r="E30" s="2660"/>
      <c r="F30" s="2660"/>
      <c r="G30" s="2660"/>
      <c r="H30" s="2660"/>
      <c r="I30" s="2660"/>
      <c r="J30" s="2437"/>
      <c r="K30" s="2612"/>
      <c r="L30" s="2609"/>
      <c r="M30" s="2609"/>
      <c r="N30" s="2437"/>
      <c r="O30" s="2448"/>
      <c r="P30" s="2437"/>
      <c r="Q30" s="2437"/>
      <c r="R30" s="2437"/>
      <c r="S30" s="2437"/>
      <c r="T30" s="2437"/>
      <c r="U30" s="2437"/>
      <c r="V30" s="2437"/>
    </row>
    <row r="31" spans="1:28">
      <c r="A31" s="3605" t="s">
        <v>2219</v>
      </c>
      <c r="B31" s="2420" t="s">
        <v>3392</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606"/>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606"/>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5" t="s">
        <v>3393</v>
      </c>
      <c r="C34" s="2025" t="s">
        <v>3394</v>
      </c>
      <c r="D34" s="2025" t="s">
        <v>3395</v>
      </c>
      <c r="E34" s="2025" t="s">
        <v>3396</v>
      </c>
      <c r="F34" s="2025" t="s">
        <v>3397</v>
      </c>
      <c r="G34" s="2025" t="s">
        <v>3997</v>
      </c>
      <c r="H34" s="2025" t="s">
        <v>3998</v>
      </c>
      <c r="I34" s="2660"/>
      <c r="J34" s="2437"/>
      <c r="K34" s="2425">
        <f>COUNTIF(B34:H34,"——")</f>
        <v>0</v>
      </c>
      <c r="L34" s="323" t="s">
        <v>2221</v>
      </c>
      <c r="M34" s="323" t="s">
        <v>2222</v>
      </c>
      <c r="N34" s="323" t="s">
        <v>2223</v>
      </c>
      <c r="O34" s="323" t="s">
        <v>2224</v>
      </c>
      <c r="P34" s="323" t="s">
        <v>2225</v>
      </c>
      <c r="Q34" s="323" t="s">
        <v>2226</v>
      </c>
      <c r="R34" s="323" t="s">
        <v>2227</v>
      </c>
      <c r="S34" s="3600" t="s">
        <v>2228</v>
      </c>
      <c r="T34" s="2426" t="str">
        <f>NUMBERSTRING(7-K34,1)&amp;"通"</f>
        <v>七通</v>
      </c>
      <c r="U34" s="2437"/>
      <c r="V34" s="2437"/>
    </row>
    <row r="35" spans="1:30">
      <c r="A35" s="2427"/>
      <c r="B35" s="3607" t="s">
        <v>2229</v>
      </c>
      <c r="C35" s="3607"/>
      <c r="D35" s="3607"/>
      <c r="E35" s="3607"/>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00"/>
      <c r="T35" s="329" t="str">
        <f>IF(T34="一通",L35,IF(T34="二通",M35,IF(T34="三通",N35,IF(T34="四通",O35,IF(T34="五通",P35,IF(T34="六通",Q35,R35))))))</f>
        <v>通路、通电、通讯、通上水、通下水、通热、燃气</v>
      </c>
      <c r="U35" s="2437"/>
      <c r="V35" s="2437"/>
    </row>
    <row r="36" spans="1:30">
      <c r="A36" s="2428"/>
      <c r="B36" s="664" t="s">
        <v>2185</v>
      </c>
      <c r="C36" s="664" t="s">
        <v>2186</v>
      </c>
      <c r="D36" s="664" t="s">
        <v>2184</v>
      </c>
      <c r="E36" s="664" t="s">
        <v>2189</v>
      </c>
      <c r="F36" s="3061" t="s">
        <v>2577</v>
      </c>
      <c r="G36" s="2660"/>
      <c r="H36" s="2660"/>
      <c r="I36" s="2660"/>
      <c r="J36" s="2437"/>
      <c r="K36" s="2612"/>
      <c r="L36" s="2609"/>
      <c r="M36" s="2609"/>
      <c r="N36" s="2437"/>
      <c r="O36" s="2448"/>
      <c r="P36" s="2437"/>
      <c r="Q36" s="2437"/>
      <c r="R36" s="2437"/>
      <c r="S36" s="2437"/>
      <c r="T36" s="2437"/>
      <c r="U36" s="2437"/>
      <c r="V36" s="2437"/>
    </row>
    <row r="37" spans="1:30">
      <c r="A37" s="2626" t="s">
        <v>2230</v>
      </c>
      <c r="B37" s="2429" t="s">
        <v>304</v>
      </c>
      <c r="C37" s="2429" t="s">
        <v>304</v>
      </c>
      <c r="D37" s="2429" t="s">
        <v>304</v>
      </c>
      <c r="E37" s="2429" t="s">
        <v>304</v>
      </c>
      <c r="F37" s="2429" t="s">
        <v>304</v>
      </c>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t="s">
        <v>264</v>
      </c>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2233</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16295.3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16295.3</v>
      </c>
      <c r="H5" s="13">
        <f t="shared" ref="H5:AT5" si="0">SUM(H13:H656)</f>
        <v>16295.3</v>
      </c>
      <c r="I5" s="13">
        <f t="shared" si="0"/>
        <v>13579.42</v>
      </c>
      <c r="J5" s="13">
        <f t="shared" si="0"/>
        <v>0</v>
      </c>
      <c r="K5" s="13">
        <f t="shared" si="0"/>
        <v>2715.88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16295.3</v>
      </c>
      <c r="BA5" s="15">
        <f t="shared" si="1"/>
        <v>16295.3</v>
      </c>
      <c r="BB5" s="15">
        <f t="shared" si="1"/>
        <v>13579.42</v>
      </c>
      <c r="BC5" s="15">
        <f t="shared" si="1"/>
        <v>2715.88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3399</v>
      </c>
      <c r="J9" s="809"/>
      <c r="K9" s="1602" t="s">
        <v>3401</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3400</v>
      </c>
      <c r="J10" s="809"/>
      <c r="K10" s="1608" t="s">
        <v>3330</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公共服务</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v>8153.25</v>
      </c>
      <c r="C13" s="1051"/>
      <c r="D13" s="1624" t="s">
        <v>3398</v>
      </c>
      <c r="E13" s="13">
        <f>IF($C$3="是",ROUND($A$3*G13/$B$3,2),ROUND($A$3*(G13-AT13)/$B$3,2))</f>
        <v>0</v>
      </c>
      <c r="F13" s="29"/>
      <c r="G13" s="30">
        <f>H13+AC13+AT13</f>
        <v>8153.25</v>
      </c>
      <c r="H13" s="17">
        <f>SUMIF(I$12:AB$12,"总值",I13:AB13)</f>
        <v>8153.25</v>
      </c>
      <c r="I13" s="1625">
        <f>ROUND(B13/12*10,2)</f>
        <v>6794.38</v>
      </c>
      <c r="J13" s="1625"/>
      <c r="K13" s="1625">
        <f>B13-I13</f>
        <v>1358.87</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8153.25</v>
      </c>
      <c r="AX13" s="8">
        <f t="shared" si="6"/>
        <v>0</v>
      </c>
      <c r="AY13" s="1348">
        <f>ROUND($AY$6*AZ13/$AZ$5,2)</f>
        <v>0</v>
      </c>
      <c r="AZ13" s="13">
        <f>BA13+BL13</f>
        <v>8153.25</v>
      </c>
      <c r="BA13" s="13">
        <f>SUM(BB13:BK13)</f>
        <v>8153.25</v>
      </c>
      <c r="BB13" s="13">
        <f>IF($D13="是",I13-J13,0)</f>
        <v>6794.38</v>
      </c>
      <c r="BC13" s="13">
        <f>IF($D13="是",K13-L13,0)</f>
        <v>1358.87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v>8142.05</v>
      </c>
      <c r="C14" s="1569"/>
      <c r="D14" s="1624" t="s">
        <v>3398</v>
      </c>
      <c r="E14" s="13">
        <f>IF($C$3="是",ROUND($A$3*G14/$B$3,2),ROUND($A$3*(G14-AT14)/$B$3,2))</f>
        <v>0</v>
      </c>
      <c r="F14" s="29"/>
      <c r="G14" s="30">
        <f>H14+AC14+AT14</f>
        <v>8142.05</v>
      </c>
      <c r="H14" s="17">
        <f>SUMIF(I$12:AB$12,"总值",I14:AB14)</f>
        <v>8142.05</v>
      </c>
      <c r="I14" s="1625">
        <f>ROUND(B14/12*10,2)</f>
        <v>6785.04</v>
      </c>
      <c r="J14" s="1625"/>
      <c r="K14" s="1625">
        <f>B14-I14</f>
        <v>1357.0100000000002</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8142.05</v>
      </c>
      <c r="AX14" s="8">
        <f t="shared" si="6"/>
        <v>0</v>
      </c>
      <c r="AY14" s="1348">
        <f>ROUND($AY$6*AZ14/$AZ$5,2)</f>
        <v>0</v>
      </c>
      <c r="AZ14" s="13">
        <f>BA14+BL14</f>
        <v>8142.05</v>
      </c>
      <c r="BA14" s="13">
        <f>SUM(BB14:BK14)</f>
        <v>8142.05</v>
      </c>
      <c r="BB14" s="13">
        <f>IF($D14="是",I14-J14,0)</f>
        <v>6785.04</v>
      </c>
      <c r="BC14" s="13">
        <f>IF($D14="是",K14-L14,0)</f>
        <v>1357.0100000000002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view="pageBreakPreview" zoomScale="90" zoomScaleNormal="100" zoomScaleSheetLayoutView="9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617" t="s">
        <v>1131</v>
      </c>
      <c r="B2" s="3617"/>
      <c r="C2" s="3617"/>
      <c r="D2" s="796" t="s">
        <v>1107</v>
      </c>
      <c r="E2" s="1638" t="s">
        <v>1108</v>
      </c>
      <c r="F2" s="2655"/>
      <c r="G2" s="2646"/>
      <c r="H2" s="2647"/>
      <c r="I2" s="2324" t="s">
        <v>1132</v>
      </c>
      <c r="J2" s="2655"/>
      <c r="K2" s="2655"/>
      <c r="L2" s="2655"/>
      <c r="M2" s="2655"/>
      <c r="N2" s="2657"/>
      <c r="O2" s="2655"/>
      <c r="P2" s="2655"/>
    </row>
    <row r="3" spans="1:16" ht="15.75" thickBot="1">
      <c r="A3" s="3618" t="s">
        <v>1105</v>
      </c>
      <c r="B3" s="3618"/>
      <c r="C3" s="3618"/>
      <c r="D3" s="43">
        <f>'数据-基础表'!AY6</f>
        <v>0</v>
      </c>
      <c r="E3" s="43">
        <f>'数据-基础表'!AZ5</f>
        <v>16295.3</v>
      </c>
      <c r="F3" s="2655"/>
      <c r="G3" s="1145"/>
      <c r="H3" s="1026" t="s">
        <v>1106</v>
      </c>
      <c r="I3" s="855" t="e">
        <f>ROUND('数据-基础表'!B3/'数据-基础表'!A3,2)</f>
        <v>#DIV/0!</v>
      </c>
      <c r="J3" s="2655"/>
      <c r="K3" s="2655"/>
      <c r="L3" s="2655"/>
      <c r="M3" s="2655"/>
      <c r="N3" s="2657"/>
      <c r="O3" s="2655"/>
      <c r="P3" s="2655"/>
    </row>
    <row r="4" spans="1:16" ht="15">
      <c r="A4" s="3619"/>
      <c r="B4" s="3620"/>
      <c r="C4" s="3621"/>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622" t="s">
        <v>1110</v>
      </c>
      <c r="C5" s="3622"/>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3"/>
      <c r="B6" s="3622" t="s">
        <v>1111</v>
      </c>
      <c r="C6" s="3622"/>
      <c r="D6" s="45">
        <f>ROUND($D$3*E6/$E$3,2)</f>
        <v>0</v>
      </c>
      <c r="E6" s="46">
        <f>E3-E5</f>
        <v>16295.3</v>
      </c>
      <c r="F6" s="2655"/>
      <c r="G6" s="2649" t="s">
        <v>1112</v>
      </c>
      <c r="H6" s="1146" t="s">
        <v>1113</v>
      </c>
      <c r="I6" s="2650" t="e">
        <f>ROUND(F31/D31,2)</f>
        <v>#DIV/0!</v>
      </c>
      <c r="J6" s="2655"/>
      <c r="K6" s="2655"/>
      <c r="L6" s="2655"/>
      <c r="M6" s="2655"/>
      <c r="N6" s="2655"/>
      <c r="O6" s="2655"/>
      <c r="P6" s="2655"/>
    </row>
    <row r="7" spans="1:16" ht="15.75" thickBot="1">
      <c r="A7" s="3614"/>
      <c r="B7" s="3615"/>
      <c r="C7" s="3616"/>
      <c r="D7" s="1640" t="s">
        <v>1107</v>
      </c>
      <c r="E7" s="1644" t="s">
        <v>1114</v>
      </c>
      <c r="F7" s="2655"/>
      <c r="G7" s="2651" t="s">
        <v>1115</v>
      </c>
      <c r="H7" s="2652"/>
      <c r="I7" s="2653">
        <v>2</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13579.42</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2715.88</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16295.3</v>
      </c>
      <c r="F16" s="2655"/>
      <c r="G16" s="2656"/>
      <c r="H16" s="1647" t="s">
        <v>1135</v>
      </c>
      <c r="I16" s="1648"/>
      <c r="J16" s="1139"/>
      <c r="K16" s="3611" t="s">
        <v>1135</v>
      </c>
      <c r="L16" s="3612"/>
      <c r="M16" s="3612"/>
      <c r="N16" s="3612"/>
      <c r="O16" s="3612"/>
      <c r="P16" s="3613"/>
    </row>
    <row r="17" spans="1:19" ht="15">
      <c r="A17" s="1649" t="s">
        <v>1136</v>
      </c>
      <c r="B17" s="1650" t="s">
        <v>1137</v>
      </c>
      <c r="C17" s="1651" t="s">
        <v>1138</v>
      </c>
      <c r="D17" s="1652" t="s">
        <v>1126</v>
      </c>
      <c r="E17" s="1653" t="s">
        <v>1127</v>
      </c>
      <c r="F17" s="1654"/>
      <c r="G17" s="1655"/>
      <c r="H17" s="1656" t="s">
        <v>1139</v>
      </c>
      <c r="I17" s="1657" t="s">
        <v>1124</v>
      </c>
      <c r="J17" s="1139"/>
      <c r="K17" s="3608" t="s">
        <v>1140</v>
      </c>
      <c r="L17" s="3609"/>
      <c r="M17" s="3610"/>
      <c r="N17" s="3608" t="s">
        <v>1141</v>
      </c>
      <c r="O17" s="3609"/>
      <c r="P17" s="361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3403</v>
      </c>
      <c r="D19" s="45">
        <f>ROUND($D$3*E19/$E$3,2)</f>
        <v>0</v>
      </c>
      <c r="E19" s="53">
        <f t="shared" ref="E19:E26" si="1">SUM(F19:G19)</f>
        <v>16295.3</v>
      </c>
      <c r="F19" s="2791">
        <f>'数据-基础表'!I5</f>
        <v>13579.42</v>
      </c>
      <c r="G19" s="2792">
        <f>'数据-基础表'!K5</f>
        <v>2715.88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16295.3</v>
      </c>
    </row>
    <row r="20" spans="1:19">
      <c r="A20" s="1669"/>
      <c r="B20" s="47" t="s">
        <v>1153</v>
      </c>
      <c r="C20" s="3414"/>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16295.3</v>
      </c>
      <c r="F27" s="1140">
        <f>IF(SUM(F19:F26)=E8,SUM(F19:F26),"地上面积有误")</f>
        <v>13579.42</v>
      </c>
      <c r="G27" s="1142">
        <f>SUM(G19:G26)</f>
        <v>2715.88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16295.3</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16295.3</v>
      </c>
      <c r="F31" s="677">
        <f>F27+F30</f>
        <v>13579.42</v>
      </c>
      <c r="G31" s="678">
        <f>G27+G30</f>
        <v>2715.88</v>
      </c>
      <c r="H31" s="2655"/>
      <c r="I31" s="2655"/>
      <c r="J31" s="2655"/>
      <c r="K31" s="2655"/>
      <c r="L31" s="2655"/>
      <c r="M31" s="2655"/>
      <c r="N31" s="2655"/>
      <c r="O31" s="2655"/>
      <c r="P31" s="2655"/>
    </row>
    <row r="32" spans="1:19">
      <c r="A32" s="1642"/>
      <c r="B32" s="1642" t="s">
        <v>1159</v>
      </c>
      <c r="C32" s="1642"/>
      <c r="D32" s="1642"/>
      <c r="E32" s="1053">
        <f>SUMIF(C19:C26,"*住宅*",E19:E26)</f>
        <v>0</v>
      </c>
      <c r="F32" s="1642"/>
      <c r="G32" s="1642"/>
      <c r="H32" s="2655"/>
      <c r="I32" s="2655"/>
      <c r="J32" s="2655"/>
      <c r="K32" s="2655"/>
      <c r="L32" s="2655"/>
      <c r="M32" s="2655"/>
      <c r="N32" s="2655"/>
      <c r="O32" s="2655"/>
      <c r="P32" s="2655"/>
    </row>
    <row r="33" spans="2:9">
      <c r="D33" s="1677"/>
      <c r="G33" s="3498">
        <f>ROUND(G27/E8,2)</f>
        <v>0.2</v>
      </c>
    </row>
    <row r="36" spans="2:9">
      <c r="G36" s="1637">
        <v>22315000</v>
      </c>
      <c r="H36" s="1637">
        <v>1940.38</v>
      </c>
      <c r="I36" s="1637">
        <f>G36/H36</f>
        <v>11500.324678671188</v>
      </c>
    </row>
    <row r="37" spans="2:9">
      <c r="C37" s="3512" t="s">
        <v>3990</v>
      </c>
      <c r="D37" s="3512" t="s">
        <v>3991</v>
      </c>
      <c r="E37" s="3513" t="s">
        <v>3995</v>
      </c>
    </row>
    <row r="38" spans="2:9">
      <c r="B38" s="3511" t="s">
        <v>3989</v>
      </c>
      <c r="C38" s="3512">
        <v>27000</v>
      </c>
      <c r="D38" s="2540">
        <f>ROUND(C38*10000/E31,0)</f>
        <v>16569</v>
      </c>
      <c r="E38" s="1637">
        <f>ROUND(C38*10000/F31,0)</f>
        <v>19883</v>
      </c>
    </row>
    <row r="39" spans="2:9" ht="15">
      <c r="B39" s="3514" t="s">
        <v>3992</v>
      </c>
      <c r="C39" s="3515">
        <f>ROUND(D39*E31/10000,0)</f>
        <v>30961</v>
      </c>
      <c r="D39" s="3516">
        <v>19000</v>
      </c>
      <c r="E39" s="3517">
        <f>ROUND(C39*10000/F31,0)</f>
        <v>22800</v>
      </c>
    </row>
    <row r="40" spans="2:9">
      <c r="B40" s="3511" t="s">
        <v>3993</v>
      </c>
      <c r="C40" s="3512">
        <f>ROUND(D40*E31/10000,0)</f>
        <v>32591</v>
      </c>
      <c r="D40" s="2540">
        <v>20000</v>
      </c>
      <c r="E40" s="1637">
        <f>ROUND(C40*10000/F31,0)</f>
        <v>24000</v>
      </c>
    </row>
    <row r="41" spans="2:9">
      <c r="D41" s="129"/>
    </row>
    <row r="42" spans="2:9">
      <c r="D42" s="129"/>
    </row>
    <row r="44" spans="2:9">
      <c r="G44" s="1637">
        <f>G19/E3</f>
        <v>0.1666664621087062</v>
      </c>
    </row>
    <row r="46" spans="2:9">
      <c r="F46" s="1637">
        <f>22000*F19/10000</f>
        <v>29874.723999999998</v>
      </c>
    </row>
    <row r="47" spans="2:9">
      <c r="F47" s="1637">
        <f>25000*F19/10000</f>
        <v>33948.550000000003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45608</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3404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研发设计</v>
      </c>
      <c r="B6" s="1712" t="str">
        <f>IF(A6=0,"","经营性")</f>
        <v>经营性</v>
      </c>
      <c r="C6" s="1713" t="s">
        <v>3400</v>
      </c>
      <c r="D6" s="858">
        <f>SUMIF(项目基本情况!C$12:I$12,C6,项目基本情况!C$14:I$14)</f>
        <v>50</v>
      </c>
      <c r="E6" s="857">
        <f>IF(B6="","",SUMIF(项目基本情况!C$12:I$12,C6,项目基本情况!C$13:I$13))</f>
        <v>59779</v>
      </c>
      <c r="F6" s="64">
        <f>SUMIF(项目基本情况!C$12:I$12,C6,项目基本情况!C$15:I$15)</f>
        <v>38.82</v>
      </c>
      <c r="G6" s="65">
        <f>IF(ISERROR(ROUND(POWER(1+H6,D6-F6)*(POWER(1+H6,F6)-1)/(POWER(1+H6,D6)-1),3)),0,ROUND(POWER(1+H6,D6-F6)*(POWER(1+H6,F6)-1)/(POWER(1+H6,D6)-1),3))</f>
        <v>0.92100000000000004</v>
      </c>
      <c r="H6" s="732">
        <v>4.4999999999999998E-2</v>
      </c>
      <c r="I6" s="3466">
        <v>0.05</v>
      </c>
      <c r="J6" s="66">
        <v>7.0000000000000007E-2</v>
      </c>
      <c r="K6" s="1030">
        <f>SUMIF('数据-汇总表'!C$19:C$33,A6,'数据-汇总表'!E$19:E$33)</f>
        <v>16295.3</v>
      </c>
      <c r="L6" s="733">
        <v>6500</v>
      </c>
      <c r="M6" s="67">
        <f t="shared" ref="M6:M14" si="0">ROUND(K6*L6/10000,0)</f>
        <v>10592</v>
      </c>
      <c r="N6" s="731">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534">
        <v>3</v>
      </c>
      <c r="V6" s="70">
        <v>0.02</v>
      </c>
      <c r="W6" s="70">
        <v>0.12</v>
      </c>
      <c r="X6" s="1040"/>
      <c r="Y6" s="71">
        <v>1</v>
      </c>
      <c r="Z6" s="72"/>
      <c r="AA6" s="66"/>
      <c r="AB6" s="66"/>
      <c r="AC6" s="1040"/>
      <c r="AD6" s="73"/>
      <c r="AE6" s="1041">
        <f ca="1">IF(AN6="",0,SUMIF(INDIRECT("'"&amp;AN6&amp;"'"&amp;"!E:E"),$AE$5,INDIRECT("'"&amp;AN6&amp;"'"&amp;"!F:F")))</f>
        <v>38.82</v>
      </c>
      <c r="AF6" s="1347"/>
      <c r="AG6" s="138">
        <f>IF(AF6="",0,AE6-AF6)</f>
        <v>0</v>
      </c>
      <c r="AH6" s="74"/>
      <c r="AI6" s="76">
        <v>365</v>
      </c>
      <c r="AJ6" s="77"/>
      <c r="AK6" s="78">
        <v>2E-3</v>
      </c>
      <c r="AL6" s="79">
        <v>1E-3</v>
      </c>
      <c r="AM6" s="80">
        <v>5.0000000000000001E-3</v>
      </c>
      <c r="AN6" s="1714" t="s">
        <v>3405</v>
      </c>
      <c r="AO6" s="52">
        <f ca="1">SUMIF(INDIRECT("'"&amp;AN6&amp;"'"&amp;"!A:A"),"总价",INDIRECT("'"&amp;AN6&amp;"'"&amp;"!B:B"))</f>
        <v>28610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0.92100000000000004</v>
      </c>
      <c r="H16" s="90">
        <f>ROUND(SUMPRODUCT(H6:H13,K6:K13)/SUMPRODUCT((H6:H13&gt;0)*(K6:K13)),3)</f>
        <v>4.4999999999999998E-2</v>
      </c>
      <c r="I16" s="91"/>
      <c r="J16" s="91"/>
      <c r="K16" s="92">
        <f>SUM(K6:K15)</f>
        <v>16295.3</v>
      </c>
      <c r="L16" s="93">
        <f>ROUND(M16*10000/SUM(K6:K14),0)</f>
        <v>6500</v>
      </c>
      <c r="M16" s="93">
        <f>SUM(M6:M14)</f>
        <v>10592</v>
      </c>
      <c r="N16" s="94">
        <f>ROUND(SUMPRODUCT(M6:M14,N6:N14)/M16,3)</f>
        <v>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9" t="s">
        <v>4025</v>
      </c>
      <c r="N17" s="2667">
        <v>2024</v>
      </c>
      <c r="O17" s="2667"/>
      <c r="P17" s="2667"/>
      <c r="Q17" s="2667"/>
      <c r="R17" s="2667"/>
      <c r="S17" s="2667"/>
      <c r="T17" s="2667"/>
      <c r="U17" s="2667">
        <f>U6*300*30</f>
        <v>27000</v>
      </c>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2299</v>
      </c>
      <c r="D19" s="2672"/>
      <c r="E19" s="2669"/>
      <c r="F19" s="2669"/>
      <c r="G19" s="2669"/>
      <c r="H19" s="2669"/>
      <c r="I19" s="2669"/>
      <c r="J19" s="2669"/>
      <c r="K19" s="2668"/>
      <c r="L19" s="2668"/>
      <c r="M19" s="2667"/>
      <c r="N19" s="2667"/>
      <c r="O19" s="2667"/>
      <c r="P19" s="2667"/>
      <c r="Q19" s="2667"/>
      <c r="R19" s="2667"/>
      <c r="S19" s="2667"/>
      <c r="T19" s="3449" t="s">
        <v>3429</v>
      </c>
      <c r="U19" s="2667">
        <v>3.5</v>
      </c>
      <c r="V19" s="2667">
        <f>'数据-汇总表'!F19</f>
        <v>13579.42</v>
      </c>
      <c r="W19" s="2667">
        <f>V19*U19</f>
        <v>47527.97</v>
      </c>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2297</v>
      </c>
      <c r="D20" s="2672"/>
      <c r="E20" s="2669"/>
      <c r="F20" s="2669"/>
      <c r="G20" s="2669"/>
      <c r="H20" s="2669"/>
      <c r="I20" s="2669"/>
      <c r="J20" s="2669"/>
      <c r="K20" s="2668"/>
      <c r="L20" s="2668"/>
      <c r="M20" s="2667"/>
      <c r="N20" s="2667"/>
      <c r="O20" s="2667"/>
      <c r="P20" s="2667"/>
      <c r="Q20" s="2667"/>
      <c r="R20" s="2667"/>
      <c r="S20" s="2667"/>
      <c r="T20" s="3449" t="s">
        <v>4024</v>
      </c>
      <c r="U20" s="2667">
        <v>0</v>
      </c>
      <c r="V20" s="2667">
        <f>'数据-汇总表'!G19/35</f>
        <v>77.596571428571437</v>
      </c>
      <c r="W20" s="2667">
        <f>V20*U20/30</f>
        <v>0</v>
      </c>
      <c r="X20" s="2667"/>
      <c r="Y20" s="2667"/>
      <c r="Z20" s="2667">
        <f ca="1">结果表!G20</f>
        <v>19025</v>
      </c>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f>W21/K16</f>
        <v>2.9166673826195284</v>
      </c>
      <c r="V21" s="2667"/>
      <c r="W21" s="2667">
        <f>W20+W19</f>
        <v>47527.97</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f ca="1">结果表!G20</f>
        <v>19025</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3459" t="s">
        <v>3609</v>
      </c>
      <c r="L26" s="3460"/>
      <c r="M26" s="3460"/>
      <c r="N26" s="3460"/>
      <c r="O26" s="2667"/>
      <c r="P26" s="2667"/>
      <c r="Q26" s="2667"/>
      <c r="R26" s="2667"/>
      <c r="S26" s="2667"/>
      <c r="T26" s="3449" t="s">
        <v>3434</v>
      </c>
      <c r="U26" s="2667">
        <f>'数据-基础表'!I13/10</f>
        <v>679.43799999999999</v>
      </c>
      <c r="V26" s="2667"/>
      <c r="W26" s="2667" t="s">
        <v>3435</v>
      </c>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2301</v>
      </c>
      <c r="D27" s="2675"/>
      <c r="E27" s="2657"/>
      <c r="F27" s="2657"/>
      <c r="G27" s="2669"/>
      <c r="H27" s="2669"/>
      <c r="I27" s="2669"/>
      <c r="J27" s="2669"/>
      <c r="K27" s="3461"/>
      <c r="L27" s="3462" t="s">
        <v>3610</v>
      </c>
      <c r="M27" s="3462" t="s">
        <v>3611</v>
      </c>
      <c r="N27" s="3462" t="s">
        <v>3612</v>
      </c>
      <c r="O27" s="2667"/>
      <c r="P27" s="2667"/>
      <c r="Q27" s="2667"/>
      <c r="R27" s="2667"/>
      <c r="S27" s="2667"/>
      <c r="T27" s="3449" t="s">
        <v>3436</v>
      </c>
      <c r="U27" s="2667">
        <f>U26/2</f>
        <v>339.71899999999999</v>
      </c>
      <c r="V27" s="2667"/>
      <c r="W27" s="2667">
        <f>1200/U27</f>
        <v>3.532331132494797</v>
      </c>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3463" t="s">
        <v>3613</v>
      </c>
      <c r="L28" s="3464">
        <f>L29</f>
        <v>16295.3</v>
      </c>
      <c r="M28" s="3464">
        <f>ROUND(N28*10000/L28,0)</f>
        <v>5834</v>
      </c>
      <c r="N28" s="3464">
        <f>N29+N32+N33+N34</f>
        <v>9506</v>
      </c>
      <c r="O28" s="2667"/>
      <c r="P28" s="2667"/>
      <c r="Q28" s="2667"/>
      <c r="R28" s="2667"/>
      <c r="S28" s="2667"/>
      <c r="T28" s="2667"/>
      <c r="U28" s="2667"/>
      <c r="V28" s="2667"/>
      <c r="W28" s="2667">
        <f>W27*0.4</f>
        <v>1.4129324529979188</v>
      </c>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326</v>
      </c>
      <c r="C29" s="2798" t="s">
        <v>2290</v>
      </c>
      <c r="D29" s="2675"/>
      <c r="E29" s="2657"/>
      <c r="F29" s="2657"/>
      <c r="G29" s="2669"/>
      <c r="H29" s="2669"/>
      <c r="I29" s="2669"/>
      <c r="J29" s="2669"/>
      <c r="K29" s="3463" t="s">
        <v>3614</v>
      </c>
      <c r="L29" s="3464">
        <f>L30+L31</f>
        <v>16295.3</v>
      </c>
      <c r="M29" s="3464">
        <f>ROUND(N29*10000/L29,0)</f>
        <v>2083</v>
      </c>
      <c r="N29" s="3464">
        <f>SUM(N30:N31)</f>
        <v>3395</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3462" t="s">
        <v>3399</v>
      </c>
      <c r="L30" s="3461">
        <f>'数据-汇总表'!F31</f>
        <v>13579.42</v>
      </c>
      <c r="M30" s="3461">
        <v>1500</v>
      </c>
      <c r="N30" s="3461">
        <f t="shared" ref="N30:N35" si="12">ROUND(M30*L30/10000,0)</f>
        <v>2037</v>
      </c>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3462" t="s">
        <v>3401</v>
      </c>
      <c r="L31" s="3461">
        <f>'数据-汇总表'!G27</f>
        <v>2715.88</v>
      </c>
      <c r="M31" s="3461">
        <v>5000</v>
      </c>
      <c r="N31" s="3461">
        <f t="shared" si="12"/>
        <v>1358</v>
      </c>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3463" t="s">
        <v>3615</v>
      </c>
      <c r="L32" s="3464">
        <f>L30</f>
        <v>13579.42</v>
      </c>
      <c r="M32" s="3464">
        <v>2000</v>
      </c>
      <c r="N32" s="3461">
        <f t="shared" si="12"/>
        <v>2716</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799" t="s">
        <v>3373</v>
      </c>
      <c r="D33" s="2672"/>
      <c r="E33" s="2669"/>
      <c r="F33" s="2669"/>
      <c r="G33" s="2669"/>
      <c r="H33" s="2669"/>
      <c r="I33" s="2669"/>
      <c r="J33" s="2669"/>
      <c r="K33" s="3463" t="s">
        <v>3616</v>
      </c>
      <c r="L33" s="3464">
        <f>L31</f>
        <v>2715.88</v>
      </c>
      <c r="M33" s="3464">
        <v>500</v>
      </c>
      <c r="N33" s="3461">
        <f t="shared" si="12"/>
        <v>136</v>
      </c>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799" t="s">
        <v>2291</v>
      </c>
      <c r="D34" s="2680" t="s">
        <v>2298</v>
      </c>
      <c r="E34" s="2678"/>
      <c r="F34" s="2669"/>
      <c r="G34" s="2669"/>
      <c r="H34" s="2669"/>
      <c r="I34" s="2669"/>
      <c r="J34" s="2669"/>
      <c r="K34" s="3463" t="s">
        <v>3617</v>
      </c>
      <c r="L34" s="3464">
        <f>L29</f>
        <v>16295.3</v>
      </c>
      <c r="M34" s="3464">
        <v>2000</v>
      </c>
      <c r="N34" s="3461">
        <f t="shared" si="12"/>
        <v>3259</v>
      </c>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f>B30</f>
        <v>200</v>
      </c>
      <c r="C35" s="2799" t="s">
        <v>2292</v>
      </c>
      <c r="D35" s="2675"/>
      <c r="E35" s="2657"/>
      <c r="F35" s="2657"/>
      <c r="G35" s="2669"/>
      <c r="H35" s="2669"/>
      <c r="I35" s="2669"/>
      <c r="J35" s="2669"/>
      <c r="K35" s="3463" t="s">
        <v>3618</v>
      </c>
      <c r="L35" s="3464">
        <f>L31/3</f>
        <v>905.29333333333341</v>
      </c>
      <c r="M35" s="3464">
        <f>M31</f>
        <v>5000</v>
      </c>
      <c r="N35" s="3461">
        <f t="shared" si="12"/>
        <v>453</v>
      </c>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799" t="s">
        <v>3374</v>
      </c>
      <c r="D36" s="2672"/>
      <c r="E36" s="2669"/>
      <c r="F36" s="2669"/>
      <c r="G36" s="2669"/>
      <c r="H36" s="2669"/>
      <c r="I36" s="2669"/>
      <c r="J36" s="2669"/>
      <c r="K36" s="3463"/>
      <c r="L36" s="3465"/>
      <c r="M36" s="3461"/>
      <c r="N36" s="3461"/>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0.03</v>
      </c>
      <c r="C37" s="2799" t="s">
        <v>2293</v>
      </c>
      <c r="D37" s="2672"/>
      <c r="E37" s="2669"/>
      <c r="F37" s="2669"/>
      <c r="G37" s="2669"/>
      <c r="H37" s="2669"/>
      <c r="I37" s="2669"/>
      <c r="J37" s="2669"/>
      <c r="K37" s="3462" t="s">
        <v>3619</v>
      </c>
      <c r="L37" s="3461">
        <f>L29</f>
        <v>16295.3</v>
      </c>
      <c r="M37" s="3464">
        <f>ROUND(N37*10000/L37,0)</f>
        <v>6112</v>
      </c>
      <c r="N37" s="3461">
        <f>SUM(N28+N35)</f>
        <v>9959</v>
      </c>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0.03</v>
      </c>
      <c r="C38" s="2799" t="s">
        <v>2293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2308</v>
      </c>
      <c r="B40" s="1078">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2294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2295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v>0</v>
      </c>
      <c r="C47" s="2801" t="s">
        <v>2303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2294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2296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5" customFormat="1" ht="18.75" thickBot="1">
      <c r="A1" s="3623" t="s">
        <v>2282</v>
      </c>
      <c r="B1" s="3624"/>
      <c r="C1" s="3624"/>
      <c r="D1" s="3624"/>
      <c r="E1" s="3624"/>
      <c r="F1" s="3624"/>
      <c r="G1" s="362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46" t="s">
        <v>3407</v>
      </c>
      <c r="D3" s="2462"/>
      <c r="E3" s="2440" t="s">
        <v>2280</v>
      </c>
      <c r="F3" s="2463" t="s">
        <v>2253</v>
      </c>
      <c r="G3" s="2464" t="s">
        <v>2281</v>
      </c>
      <c r="H3" s="799"/>
      <c r="I3" s="799"/>
      <c r="J3" s="799"/>
      <c r="K3" s="799"/>
      <c r="L3" s="799"/>
      <c r="M3" s="799"/>
      <c r="N3" s="799"/>
      <c r="O3" s="799"/>
      <c r="P3" s="799"/>
      <c r="Q3" s="799"/>
      <c r="R3" s="799"/>
    </row>
    <row r="4" spans="1:29" ht="36">
      <c r="A4" s="2440"/>
      <c r="B4" s="323" t="s">
        <v>2254</v>
      </c>
      <c r="C4" s="3447" t="s">
        <v>3408</v>
      </c>
      <c r="D4" s="2462"/>
      <c r="E4" s="2465"/>
      <c r="F4" s="1372" t="s">
        <v>2255</v>
      </c>
      <c r="G4" s="2466" t="s">
        <v>2256</v>
      </c>
      <c r="H4" s="799"/>
      <c r="I4" s="799"/>
      <c r="J4" s="799"/>
      <c r="K4" s="799"/>
      <c r="L4" s="799"/>
      <c r="M4" s="799"/>
      <c r="N4" s="799"/>
      <c r="O4" s="799"/>
      <c r="P4" s="799"/>
      <c r="Q4" s="799"/>
      <c r="R4" s="799"/>
    </row>
    <row r="5" spans="1:29" ht="24">
      <c r="A5" s="2440"/>
      <c r="B5" s="323" t="s">
        <v>2257</v>
      </c>
      <c r="C5" s="3447" t="s">
        <v>3409</v>
      </c>
      <c r="D5" s="2462"/>
      <c r="E5" s="2465"/>
      <c r="F5" s="323" t="s">
        <v>2258</v>
      </c>
      <c r="G5" s="2466" t="s">
        <v>2259</v>
      </c>
      <c r="H5" s="799"/>
      <c r="I5" s="799"/>
      <c r="J5" s="799"/>
      <c r="K5" s="799"/>
      <c r="L5" s="799"/>
      <c r="M5" s="799"/>
      <c r="N5" s="799"/>
      <c r="O5" s="799"/>
      <c r="P5" s="799"/>
      <c r="Q5" s="799"/>
      <c r="R5" s="799"/>
    </row>
    <row r="6" spans="1:29">
      <c r="A6" s="2440"/>
      <c r="B6" s="323" t="s">
        <v>2260</v>
      </c>
      <c r="C6" s="3448" t="s">
        <v>3410</v>
      </c>
      <c r="D6" s="2462"/>
      <c r="E6" s="2465"/>
      <c r="F6" s="323" t="s">
        <v>2261</v>
      </c>
      <c r="G6" s="2466" t="s">
        <v>2262</v>
      </c>
      <c r="H6" s="799"/>
      <c r="I6" s="799"/>
      <c r="J6" s="799"/>
      <c r="K6" s="799"/>
      <c r="L6" s="799"/>
      <c r="M6" s="799"/>
      <c r="N6" s="799"/>
      <c r="O6" s="799"/>
      <c r="P6" s="799"/>
      <c r="Q6" s="799"/>
      <c r="R6" s="799"/>
    </row>
    <row r="7" spans="1:29" ht="24.75" thickBot="1">
      <c r="A7" s="2440"/>
      <c r="B7" s="323" t="s">
        <v>2258</v>
      </c>
      <c r="C7" s="3448" t="s">
        <v>3411</v>
      </c>
      <c r="D7" s="2467"/>
      <c r="E7" s="2468"/>
      <c r="F7" s="2469" t="s">
        <v>2263</v>
      </c>
      <c r="G7" s="2470" t="s">
        <v>2264</v>
      </c>
      <c r="H7" s="799"/>
      <c r="I7" s="799"/>
      <c r="J7" s="799"/>
      <c r="K7" s="799"/>
      <c r="L7" s="799"/>
      <c r="M7" s="799"/>
      <c r="N7" s="799"/>
      <c r="O7" s="799"/>
      <c r="P7" s="799"/>
      <c r="Q7" s="799"/>
      <c r="R7" s="799"/>
    </row>
    <row r="8" spans="1:29">
      <c r="A8" s="2440"/>
      <c r="B8" s="323" t="s">
        <v>2261</v>
      </c>
      <c r="C8" s="3448" t="s">
        <v>3412</v>
      </c>
      <c r="D8" s="2467"/>
      <c r="E8" s="2467"/>
      <c r="F8" s="2471"/>
      <c r="G8" s="2471"/>
      <c r="H8" s="799"/>
      <c r="I8" s="799"/>
      <c r="J8" s="799"/>
      <c r="K8" s="799"/>
      <c r="L8" s="799"/>
      <c r="M8" s="799"/>
      <c r="N8" s="799"/>
      <c r="O8" s="799"/>
      <c r="P8" s="799"/>
      <c r="Q8" s="799"/>
      <c r="R8" s="799"/>
    </row>
    <row r="9" spans="1:29">
      <c r="A9" s="2440"/>
      <c r="B9" s="323" t="s">
        <v>2265</v>
      </c>
      <c r="C9" s="3447" t="s">
        <v>3414</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一般</v>
      </c>
      <c r="D15" s="2462"/>
      <c r="E15" s="2443" t="s">
        <v>2270</v>
      </c>
      <c r="F15" s="2493" t="s">
        <v>2271</v>
      </c>
      <c r="G15" s="2495" t="str">
        <f>G3</f>
        <v>估价对象位于XX开发区，园区建设成熟度XX，产业集聚程度XX</v>
      </c>
    </row>
    <row r="16" spans="1:29" ht="38.25">
      <c r="A16" s="2444"/>
      <c r="B16" s="2496" t="s">
        <v>2254</v>
      </c>
      <c r="C16" s="2497" t="str">
        <f>C4</f>
        <v>一般</v>
      </c>
      <c r="D16" s="2462"/>
      <c r="E16" s="2445"/>
      <c r="F16" s="2498" t="s">
        <v>2255</v>
      </c>
      <c r="G16" s="2499" t="str">
        <f>G4</f>
        <v>估价对象周边道路状况、公共交通通达情况、停车便捷程度，综合评价交通便捷度较好</v>
      </c>
    </row>
    <row r="17" spans="1:18">
      <c r="A17" s="2444"/>
      <c r="B17" s="2496" t="s">
        <v>2257</v>
      </c>
      <c r="C17" s="2497" t="str">
        <f>C5</f>
        <v>一般</v>
      </c>
      <c r="D17" s="2467"/>
      <c r="E17" s="2445"/>
      <c r="F17" s="2498" t="s">
        <v>2272</v>
      </c>
      <c r="G17" s="2500"/>
    </row>
    <row r="18" spans="1:18" ht="25.5">
      <c r="A18" s="2444"/>
      <c r="B18" s="2498" t="s">
        <v>2260</v>
      </c>
      <c r="C18" s="2499" t="str">
        <f>C6</f>
        <v>一般</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一般</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0"/>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0"/>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16295.3</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45608</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31001</v>
      </c>
      <c r="C5" s="2508">
        <f ca="1">IF(B5=D14,结果表!H102,ROUND(B5*10000/$B$1,0))</f>
        <v>19025</v>
      </c>
      <c r="D5" s="2508" t="e">
        <f ca="1">ROUND(B5*10000/$B$2,0)</f>
        <v>#DIV/0!</v>
      </c>
      <c r="E5" s="2682"/>
      <c r="F5" s="2683"/>
      <c r="G5" s="2683"/>
      <c r="H5" s="2684"/>
      <c r="I5" s="2684"/>
      <c r="J5" s="2684"/>
      <c r="K5" s="2684"/>
    </row>
    <row r="6" spans="1:11" ht="16.5">
      <c r="A6" s="2508" t="s">
        <v>656</v>
      </c>
      <c r="B6" s="2508">
        <f ca="1">SUM(G14:G23)</f>
        <v>31001</v>
      </c>
      <c r="C6" s="2508">
        <f ca="1">IF(B6=G14,结果表!H108,ROUND(B6*10000/$B$1,0))</f>
        <v>19025</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 ca="1">SUM(I14:I23)</f>
        <v>27856</v>
      </c>
      <c r="C8" s="2508">
        <f ca="1">IF(B8=I14,结果表!H112,ROUND(B8*10000/$B$1,0))</f>
        <v>17094</v>
      </c>
      <c r="D8" s="2508" t="e">
        <f ca="1">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3353</v>
      </c>
      <c r="D10" s="2508" t="s">
        <v>3354</v>
      </c>
      <c r="E10" s="3437"/>
      <c r="F10" s="3441" t="s">
        <v>3355</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16295.3</v>
      </c>
      <c r="C14" s="2514"/>
      <c r="D14" s="2514">
        <f ca="1">结果表!H101</f>
        <v>31001</v>
      </c>
      <c r="E14" s="2514">
        <f ca="1">ROUND(D14*10000/B14,0)</f>
        <v>19025</v>
      </c>
      <c r="F14" s="2514" t="e">
        <f ca="1">ROUND(D14*10000/C14,0)</f>
        <v>#DIV/0!</v>
      </c>
      <c r="G14" s="2514">
        <f ca="1">D14</f>
        <v>31001</v>
      </c>
      <c r="H14" s="2514"/>
      <c r="I14" s="2514">
        <f ca="1">结果表!D126</f>
        <v>27856</v>
      </c>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SheetLayoutView="100" zoomScalePageLayoutView="80" workbookViewId="0">
      <selection activeCell="D127" sqref="D127:I1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3402</v>
      </c>
      <c r="D1" s="1746"/>
      <c r="E1" s="1746"/>
      <c r="F1" s="1748" t="s">
        <v>1263</v>
      </c>
      <c r="G1" s="1560" t="s">
        <v>3392</v>
      </c>
      <c r="H1" s="1749" t="str">
        <f>IF(G1="现房","——","估价对象范围")</f>
        <v>——</v>
      </c>
      <c r="I1" s="1750" t="s">
        <v>3432</v>
      </c>
    </row>
    <row r="2" spans="1:12" ht="21.75" customHeight="1" thickBot="1">
      <c r="A2" s="3692" t="str">
        <f>项目基本情况!S2</f>
        <v>北京市顺义区汇海南路6号院25号楼-2至10层101房地产</v>
      </c>
      <c r="B2" s="3693"/>
      <c r="C2" s="3693"/>
      <c r="D2" s="3693"/>
      <c r="E2" s="3693"/>
      <c r="F2" s="3693"/>
      <c r="G2" s="3693"/>
      <c r="H2" s="3693"/>
      <c r="I2" s="3694"/>
    </row>
    <row r="3" spans="1:12" ht="12.75">
      <c r="A3" s="3696" t="s">
        <v>1264</v>
      </c>
      <c r="B3" s="3697"/>
      <c r="C3" s="3697"/>
      <c r="D3" s="3697"/>
      <c r="E3" s="3697"/>
      <c r="F3" s="3697"/>
      <c r="G3" s="3697"/>
      <c r="H3" s="3697"/>
      <c r="I3" s="3697"/>
    </row>
    <row r="4" spans="1:12" ht="14.25">
      <c r="A4" s="1753" t="s">
        <v>1265</v>
      </c>
      <c r="B4" s="1754" t="s">
        <v>1266</v>
      </c>
      <c r="C4" s="1755" t="s">
        <v>4023</v>
      </c>
      <c r="D4" s="1755" t="s">
        <v>3405</v>
      </c>
      <c r="E4" s="3701" t="s">
        <v>1267</v>
      </c>
      <c r="F4" s="3702"/>
      <c r="G4" s="3702"/>
      <c r="H4" s="3702"/>
      <c r="I4" s="370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0" t="s">
        <v>1268</v>
      </c>
      <c r="B5" s="3695">
        <v>25</v>
      </c>
      <c r="C5" s="3698"/>
      <c r="D5" s="3686"/>
      <c r="E5" s="131" t="s">
        <v>1269</v>
      </c>
      <c r="F5" s="1756"/>
      <c r="G5" s="1756"/>
      <c r="H5" s="1756"/>
      <c r="I5" s="1372"/>
    </row>
    <row r="6" spans="1:12" ht="12.75">
      <c r="A6" s="3640"/>
      <c r="B6" s="3695"/>
      <c r="C6" s="3700"/>
      <c r="D6" s="3686"/>
      <c r="E6" s="131" t="s">
        <v>1270</v>
      </c>
      <c r="F6" s="1756"/>
      <c r="G6" s="1756"/>
      <c r="H6" s="1756"/>
      <c r="I6" s="1372"/>
    </row>
    <row r="7" spans="1:12" ht="12.75">
      <c r="A7" s="3640"/>
      <c r="B7" s="3695"/>
      <c r="C7" s="3699"/>
      <c r="D7" s="3686"/>
      <c r="E7" s="131" t="s">
        <v>1271</v>
      </c>
      <c r="F7" s="1756"/>
      <c r="G7" s="1756"/>
      <c r="H7" s="1756"/>
      <c r="I7" s="1372"/>
    </row>
    <row r="8" spans="1:12" ht="12.75">
      <c r="A8" s="3640" t="s">
        <v>1272</v>
      </c>
      <c r="B8" s="3695">
        <v>15</v>
      </c>
      <c r="C8" s="3698"/>
      <c r="D8" s="3686"/>
      <c r="E8" s="131" t="s">
        <v>1273</v>
      </c>
      <c r="F8" s="1756"/>
      <c r="G8" s="1756"/>
      <c r="H8" s="1756"/>
      <c r="I8" s="1372"/>
    </row>
    <row r="9" spans="1:12" ht="12.75">
      <c r="A9" s="3640"/>
      <c r="B9" s="3695"/>
      <c r="C9" s="3699"/>
      <c r="D9" s="3686"/>
      <c r="E9" s="131" t="s">
        <v>1274</v>
      </c>
      <c r="F9" s="1756"/>
      <c r="G9" s="1756"/>
      <c r="H9" s="1756"/>
      <c r="I9" s="1372"/>
    </row>
    <row r="10" spans="1:12" ht="12.75">
      <c r="A10" s="3640" t="s">
        <v>1275</v>
      </c>
      <c r="B10" s="3695">
        <v>15</v>
      </c>
      <c r="C10" s="3698"/>
      <c r="D10" s="3686"/>
      <c r="E10" s="131" t="s">
        <v>1276</v>
      </c>
      <c r="F10" s="1756"/>
      <c r="G10" s="1756"/>
      <c r="H10" s="1756"/>
      <c r="I10" s="1372"/>
    </row>
    <row r="11" spans="1:12" ht="12.75">
      <c r="A11" s="3640"/>
      <c r="B11" s="3695"/>
      <c r="C11" s="3699"/>
      <c r="D11" s="3686"/>
      <c r="E11" s="131" t="s">
        <v>1277</v>
      </c>
      <c r="F11" s="1756"/>
      <c r="G11" s="1756"/>
      <c r="H11" s="1756"/>
      <c r="I11" s="1372"/>
    </row>
    <row r="12" spans="1:12" ht="12.75">
      <c r="A12" s="3640" t="s">
        <v>1278</v>
      </c>
      <c r="B12" s="3695">
        <v>15</v>
      </c>
      <c r="C12" s="3698"/>
      <c r="D12" s="3686"/>
      <c r="E12" s="131" t="s">
        <v>1279</v>
      </c>
      <c r="F12" s="1756"/>
      <c r="G12" s="1756"/>
      <c r="H12" s="1756"/>
      <c r="I12" s="1372"/>
    </row>
    <row r="13" spans="1:12" ht="12.75">
      <c r="A13" s="3640"/>
      <c r="B13" s="3695"/>
      <c r="C13" s="3699"/>
      <c r="D13" s="3686"/>
      <c r="E13" s="131" t="s">
        <v>1280</v>
      </c>
      <c r="F13" s="1756"/>
      <c r="G13" s="1756"/>
      <c r="H13" s="1756"/>
      <c r="I13" s="1372"/>
    </row>
    <row r="14" spans="1:12" ht="12.75">
      <c r="A14" s="3640" t="s">
        <v>1281</v>
      </c>
      <c r="B14" s="3695">
        <v>30</v>
      </c>
      <c r="C14" s="3698">
        <v>5</v>
      </c>
      <c r="D14" s="3686">
        <f>10-C14</f>
        <v>5</v>
      </c>
      <c r="E14" s="131" t="s">
        <v>1282</v>
      </c>
      <c r="F14" s="1756"/>
      <c r="G14" s="1756"/>
      <c r="H14" s="1756"/>
      <c r="I14" s="1372"/>
    </row>
    <row r="15" spans="1:12" ht="12.75">
      <c r="A15" s="3640"/>
      <c r="B15" s="3695"/>
      <c r="C15" s="3700"/>
      <c r="D15" s="3686"/>
      <c r="E15" s="131" t="s">
        <v>1283</v>
      </c>
      <c r="F15" s="1756"/>
      <c r="G15" s="1756"/>
      <c r="H15" s="1756"/>
      <c r="I15" s="1372"/>
    </row>
    <row r="16" spans="1:12" ht="12.75">
      <c r="A16" s="3640"/>
      <c r="B16" s="3695"/>
      <c r="C16" s="3699"/>
      <c r="D16" s="368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717" t="s">
        <v>2131</v>
      </c>
      <c r="F18" s="3718"/>
      <c r="G18" s="3718"/>
      <c r="H18" s="3718"/>
      <c r="I18" s="3718"/>
      <c r="K18" s="302" t="s">
        <v>1289</v>
      </c>
      <c r="L18" s="302">
        <f>IF(C1="",'数据-汇总表'!E3,SUMIF(项目类型,C1,'数据-汇总表'!E17:E26)+SUMIF(项目类型,C1,'数据-汇总表'!I17:I26))</f>
        <v>16295.3</v>
      </c>
      <c r="M18" s="302">
        <f>IF(C1="",'数据-汇总表'!E3,SUMIF(项目类型,C1,'数据-汇总表'!E17:E26))</f>
        <v>16295.3</v>
      </c>
    </row>
    <row r="19" spans="1:36" ht="15">
      <c r="A19" s="1760" t="s">
        <v>1290</v>
      </c>
      <c r="B19" s="1761" t="s">
        <v>1291</v>
      </c>
      <c r="C19" s="134">
        <f ca="1">SUMIF(INDIRECT("'"&amp;C4&amp;"'"&amp;"!A:A"),结果表!B19,INDIRECT("'"&amp;C4&amp;"'"&amp;"!B:B"))</f>
        <v>33392</v>
      </c>
      <c r="D19" s="135">
        <f ca="1">SUMIF(INDIRECT("'"&amp;D4&amp;"'"&amp;"!A:A"),结果表!B19,INDIRECT("'"&amp;D4&amp;"'"&amp;"!B:B"))</f>
        <v>28610</v>
      </c>
      <c r="E19" s="1760" t="s">
        <v>1292</v>
      </c>
      <c r="F19" s="1761" t="s">
        <v>1291</v>
      </c>
      <c r="G19" s="136">
        <f ca="1">ROUND(C19*$C$18+D19*$D$18,0)</f>
        <v>31001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20492</v>
      </c>
      <c r="D20" s="138">
        <f ca="1">SUMIF(INDIRECT("'"&amp;D4&amp;"'"&amp;"!A:A"),结果表!B20,INDIRECT("'"&amp;D4&amp;"'"&amp;"!B:B"))</f>
        <v>17557</v>
      </c>
      <c r="E20" s="1763"/>
      <c r="F20" s="1026" t="s">
        <v>1295</v>
      </c>
      <c r="G20" s="139">
        <f ca="1">ROUND(C20*$C$18+D20*$D$18,0)</f>
        <v>19025</v>
      </c>
      <c r="H20" s="808" t="s">
        <v>1296</v>
      </c>
      <c r="I20" s="129"/>
      <c r="M20" s="3470" t="s">
        <v>3622</v>
      </c>
      <c r="N20" s="3470" t="s">
        <v>3623</v>
      </c>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c r="J21" s="725" t="s">
        <v>3620</v>
      </c>
      <c r="K21" s="3451" t="s">
        <v>3621</v>
      </c>
      <c r="M21" s="3468">
        <v>19000</v>
      </c>
      <c r="N21" s="1844">
        <f>ROUND(M21*L18/10000,0)</f>
        <v>30961</v>
      </c>
    </row>
    <row r="22" spans="1:36" ht="15" thickBot="1">
      <c r="A22" s="1687" t="s">
        <v>1298</v>
      </c>
      <c r="B22" s="1766"/>
      <c r="C22" s="1767"/>
      <c r="D22" s="721">
        <f ca="1">IF(C19&lt;D19,D19/C19-1,C19/D19-1)</f>
        <v>0.16714435512058712</v>
      </c>
      <c r="E22" s="129"/>
      <c r="F22" s="129"/>
      <c r="G22" s="129"/>
      <c r="H22" s="129"/>
      <c r="I22" s="129"/>
      <c r="M22" s="3469">
        <v>20000</v>
      </c>
      <c r="N22" s="3467">
        <f>ROUND(M22*L18/10000,0)</f>
        <v>32591</v>
      </c>
    </row>
    <row r="23" spans="1:36" ht="13.5" thickBot="1">
      <c r="A23" s="1746"/>
      <c r="B23" s="1746"/>
      <c r="C23" s="1746"/>
      <c r="D23" s="1746"/>
      <c r="E23" s="3511"/>
      <c r="F23" s="3511"/>
      <c r="G23" s="129"/>
      <c r="H23" s="129"/>
      <c r="I23" s="129"/>
      <c r="M23" s="3469">
        <f>ROUND(N23*10000/M18,0)</f>
        <v>19638</v>
      </c>
      <c r="N23" s="3467">
        <v>32000</v>
      </c>
    </row>
    <row r="24" spans="1:36" ht="14.25">
      <c r="A24" s="3710" t="s">
        <v>1299</v>
      </c>
      <c r="B24" s="1761" t="s">
        <v>1291</v>
      </c>
      <c r="C24" s="136">
        <f>IF(B30=0,0,D30)</f>
        <v>0</v>
      </c>
      <c r="D24" s="1768"/>
      <c r="E24" s="129"/>
      <c r="F24" s="3511"/>
      <c r="G24" s="129"/>
      <c r="H24" s="129"/>
      <c r="I24" s="129"/>
      <c r="J24" s="3451" t="s">
        <v>3433</v>
      </c>
      <c r="K24" s="725">
        <f ca="1">G19*10000/'数据-汇总表'!F19</f>
        <v>22829.399193779998</v>
      </c>
    </row>
    <row r="25" spans="1:36" ht="14.25">
      <c r="A25" s="3711"/>
      <c r="B25" s="1026" t="s">
        <v>1295</v>
      </c>
      <c r="C25" s="141">
        <f>IF(B30=0,0,C30)</f>
        <v>0</v>
      </c>
      <c r="D25" s="1769"/>
      <c r="E25" s="3511"/>
      <c r="F25" s="3511"/>
      <c r="G25" s="129"/>
      <c r="H25" s="129"/>
      <c r="I25" s="129"/>
    </row>
    <row r="26" spans="1:36" ht="13.5" customHeight="1">
      <c r="A26" s="1770" t="s">
        <v>1300</v>
      </c>
      <c r="B26" s="142" t="s">
        <v>1301</v>
      </c>
      <c r="C26" s="142" t="s">
        <v>1302</v>
      </c>
      <c r="D26" s="143" t="s">
        <v>1303</v>
      </c>
      <c r="E26" s="129"/>
      <c r="F26" s="3511"/>
      <c r="G26" s="129"/>
      <c r="H26" s="129"/>
      <c r="I26" s="129"/>
    </row>
    <row r="27" spans="1:36" ht="14.25">
      <c r="A27" s="1770"/>
      <c r="B27" s="142">
        <v>0</v>
      </c>
      <c r="C27" s="142">
        <v>0</v>
      </c>
      <c r="D27" s="143">
        <f>30000/'数据-汇总表'!E3</f>
        <v>1.841021644277798</v>
      </c>
      <c r="E27" s="3511"/>
      <c r="F27" s="3511"/>
      <c r="G27" s="129"/>
      <c r="H27" s="129"/>
      <c r="I27" s="129"/>
    </row>
    <row r="28" spans="1:36" ht="14.25">
      <c r="A28" s="1770"/>
      <c r="B28" s="142"/>
      <c r="C28" s="142"/>
      <c r="D28" s="143">
        <f ca="1">G19/'数据-汇总表'!F31</f>
        <v>2.2829399193779998</v>
      </c>
      <c r="E28" s="129"/>
      <c r="F28" s="3511"/>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31001</v>
      </c>
      <c r="D32" s="1774" t="s">
        <v>3428</v>
      </c>
      <c r="E32" s="129"/>
      <c r="F32" s="129"/>
      <c r="G32" s="129"/>
      <c r="H32" s="129"/>
      <c r="I32" s="129"/>
    </row>
    <row r="33" spans="1:15" ht="15">
      <c r="A33" s="786" t="s">
        <v>1306</v>
      </c>
      <c r="B33" s="1775"/>
      <c r="C33" s="1776" t="s">
        <v>4026</v>
      </c>
      <c r="D33" s="1777" t="s">
        <v>3405</v>
      </c>
      <c r="E33" s="1778" t="s">
        <v>1307</v>
      </c>
      <c r="F33" s="1779" t="str">
        <f>IF(D32="楼面单价","取值（单价）","取值（总价）")</f>
        <v>取值（总价）</v>
      </c>
      <c r="G33" s="129"/>
      <c r="H33" s="129"/>
      <c r="I33" s="129"/>
    </row>
    <row r="34" spans="1:15" ht="15">
      <c r="A34" s="1780"/>
      <c r="B34" s="1781" t="s">
        <v>1308</v>
      </c>
      <c r="C34" s="148">
        <f ca="1">IF(C33="自定义",F34,C32-C35)</f>
        <v>4061</v>
      </c>
      <c r="D34" s="861">
        <f ca="1">IF(C33="自定义",ROUND(C34/C32,3),IF(C33="收益比率",SUMIF(INDIRECT("'"&amp;D33&amp;"'"&amp;"!b:b"),"土地收益比率",INDIRECT("'"&amp;D33&amp;"'"&amp;"!c:c")),SUMIF(INDIRECT("'"&amp;D33&amp;"'"&amp;"!b:b"),"土地成本比率",INDIRECT("'"&amp;D33&amp;"'"&amp;"!c:c"))))</f>
        <v>0.13100000000000001</v>
      </c>
      <c r="E34" s="1782" t="s">
        <v>1309</v>
      </c>
      <c r="F34" s="1329"/>
      <c r="G34" s="129"/>
      <c r="H34" s="129"/>
      <c r="I34" s="129"/>
    </row>
    <row r="35" spans="1:15" ht="15.75" thickBot="1">
      <c r="A35" s="1783"/>
      <c r="B35" s="1784" t="s">
        <v>1310</v>
      </c>
      <c r="C35" s="1170">
        <f ca="1">IF(C33="自定义",F35,ROUND(C32*D35,0))</f>
        <v>26940</v>
      </c>
      <c r="D35" s="1171">
        <f ca="1">IF(C33="自定义",ROUND(C35/C32,3),IF(C33="收益比率",SUMIF(INDIRECT("'"&amp;D33&amp;"'"&amp;"!b:b"),"建筑物收益比率",INDIRECT("'"&amp;D33&amp;"'"&amp;"!c:c")),SUMIF(INDIRECT("'"&amp;D33&amp;"'"&amp;"!b:b"),"建筑物成本比率",INDIRECT("'"&amp;D33&amp;"'"&amp;"!c:c"))))</f>
        <v>0.86899999999999999</v>
      </c>
      <c r="E35" s="1785" t="s">
        <v>1311</v>
      </c>
      <c r="F35" s="154"/>
      <c r="G35" s="129"/>
      <c r="H35" s="129"/>
      <c r="I35" s="129"/>
    </row>
    <row r="36" spans="1:15" ht="15.75" thickBot="1">
      <c r="A36" s="3687" t="s">
        <v>1312</v>
      </c>
      <c r="B36" s="1786" t="s">
        <v>1313</v>
      </c>
      <c r="C36" s="145"/>
      <c r="D36" s="1787"/>
      <c r="E36" s="1788"/>
      <c r="F36" s="1789"/>
      <c r="G36" s="129"/>
      <c r="H36" s="129"/>
      <c r="I36" s="129"/>
    </row>
    <row r="37" spans="1:15" ht="15.75" thickBot="1">
      <c r="A37" s="3688"/>
      <c r="B37" s="1673" t="s">
        <v>1314</v>
      </c>
      <c r="C37" s="147"/>
      <c r="D37" s="1139"/>
      <c r="E37" s="1139"/>
      <c r="F37" s="1789"/>
      <c r="G37" s="129"/>
      <c r="H37" s="129"/>
      <c r="I37" s="129"/>
    </row>
    <row r="38" spans="1:15" ht="15.75" thickBot="1">
      <c r="A38" s="368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07" t="s">
        <v>1326</v>
      </c>
      <c r="B45" s="3708"/>
      <c r="C45" s="3709"/>
      <c r="D45" s="155">
        <f ca="1">ROUND(H101*F45,0)</f>
        <v>31001</v>
      </c>
      <c r="E45" s="156" t="s">
        <v>1327</v>
      </c>
      <c r="F45" s="157">
        <v>1</v>
      </c>
      <c r="G45" s="158" t="s">
        <v>1328</v>
      </c>
      <c r="H45" s="129"/>
      <c r="I45" s="129"/>
      <c r="J45" s="3627" t="s">
        <v>1329</v>
      </c>
      <c r="K45" s="3627"/>
      <c r="L45" s="3627"/>
      <c r="M45" s="3627"/>
      <c r="N45" s="3627"/>
      <c r="O45" s="3627"/>
    </row>
    <row r="46" spans="1:15" ht="14.25" customHeight="1">
      <c r="A46" s="3704" t="s">
        <v>1330</v>
      </c>
      <c r="B46" s="3705"/>
      <c r="C46" s="3705"/>
      <c r="D46" s="3705"/>
      <c r="E46" s="3705"/>
      <c r="F46" s="3705"/>
      <c r="G46" s="3706"/>
      <c r="H46" s="1805"/>
      <c r="I46" s="159"/>
      <c r="J46" s="2519">
        <v>1</v>
      </c>
      <c r="K46" s="3628" t="s">
        <v>1331</v>
      </c>
      <c r="L46" s="3628"/>
      <c r="M46" s="3629"/>
      <c r="N46" s="3629"/>
      <c r="O46" s="3629"/>
    </row>
    <row r="47" spans="1:15" ht="12" customHeight="1">
      <c r="A47" s="160" t="s">
        <v>1332</v>
      </c>
      <c r="B47" s="161"/>
      <c r="C47" s="162"/>
      <c r="D47" s="1087" t="s">
        <v>1333</v>
      </c>
      <c r="E47" s="302" t="s">
        <v>1334</v>
      </c>
      <c r="F47" s="163" t="s">
        <v>1335</v>
      </c>
      <c r="G47" s="2542" t="s">
        <v>1336</v>
      </c>
      <c r="H47" s="2543"/>
      <c r="I47" s="159"/>
      <c r="J47" s="2519">
        <v>2</v>
      </c>
      <c r="K47" s="3628" t="s">
        <v>1337</v>
      </c>
      <c r="L47" s="3628"/>
      <c r="M47" s="3630">
        <f>'数据-取费表'!B2</f>
        <v>45608</v>
      </c>
      <c r="N47" s="3630"/>
      <c r="O47" s="3630"/>
    </row>
    <row r="48" spans="1:15" ht="25.5">
      <c r="A48" s="3690" t="s">
        <v>1338</v>
      </c>
      <c r="B48" s="3691"/>
      <c r="C48" s="3691"/>
      <c r="D48" s="2323">
        <f ca="1">IF(H48="情况1",0,IF(H48="情况2",D52,IF(H48="情况3",D53,IF(H48="情况4",D54))))</f>
        <v>1653</v>
      </c>
      <c r="E48" s="2333" t="str">
        <f>IF(H48="情况4","(销售额-原购置价)×税（费）率","销售额×税（费）率")</f>
        <v>销售额×税（费）率</v>
      </c>
      <c r="F48" s="2544">
        <f>IF(H48="情况1","免征",'数据-取费表'!B41)</f>
        <v>5.6000000000000001E-2</v>
      </c>
      <c r="G48" s="2545" t="s">
        <v>1339</v>
      </c>
      <c r="H48" s="2546" t="s">
        <v>4027</v>
      </c>
      <c r="I48" s="1805"/>
      <c r="J48" s="2519">
        <v>3</v>
      </c>
      <c r="K48" s="3628" t="s">
        <v>1340</v>
      </c>
      <c r="L48" s="3628"/>
      <c r="M48" s="3631">
        <f ca="1">H101</f>
        <v>31001</v>
      </c>
      <c r="N48" s="3631"/>
      <c r="O48" s="3631"/>
    </row>
    <row r="49" spans="1:35" ht="25.5" customHeight="1">
      <c r="A49" s="2332" t="s">
        <v>1341</v>
      </c>
      <c r="B49" s="3676" t="s">
        <v>1342</v>
      </c>
      <c r="C49" s="3676"/>
      <c r="D49" s="1589">
        <v>0</v>
      </c>
      <c r="E49" s="324" t="s">
        <v>1343</v>
      </c>
      <c r="F49" s="2422" t="s">
        <v>28</v>
      </c>
      <c r="G49" s="3659"/>
      <c r="H49" s="2309" t="s">
        <v>2134</v>
      </c>
      <c r="I49" s="2310"/>
      <c r="J49" s="2519">
        <v>4</v>
      </c>
      <c r="K49" s="3628" t="str">
        <f>IF(项目基本情况!E8="房地产抵押价值","房地产抵押价值","抵押担保权已注销时的房地产抵押价值")</f>
        <v>房地产抵押价值</v>
      </c>
      <c r="L49" s="3628"/>
      <c r="M49" s="3631">
        <f ca="1">IF(项目基本情况!E8="房地产抵押价值",H107,H109)</f>
        <v>31001</v>
      </c>
      <c r="N49" s="3631"/>
      <c r="O49" s="3631"/>
    </row>
    <row r="50" spans="1:35" ht="25.5" customHeight="1">
      <c r="A50" s="2547"/>
      <c r="B50" s="3676" t="s">
        <v>1344</v>
      </c>
      <c r="C50" s="3676"/>
      <c r="D50" s="2548"/>
      <c r="E50" s="332"/>
      <c r="F50" s="2422"/>
      <c r="G50" s="3660"/>
      <c r="H50" s="2311" t="s">
        <v>2135</v>
      </c>
      <c r="I50" s="2310"/>
      <c r="J50" s="3627" t="s">
        <v>1345</v>
      </c>
      <c r="K50" s="3627"/>
      <c r="L50" s="3627"/>
      <c r="M50" s="3627"/>
      <c r="N50" s="3627"/>
      <c r="O50" s="3627"/>
    </row>
    <row r="51" spans="1:35" ht="20.45" customHeight="1">
      <c r="A51" s="2549"/>
      <c r="B51" s="3676" t="s">
        <v>1346</v>
      </c>
      <c r="C51" s="3676"/>
      <c r="D51" s="1087"/>
      <c r="E51" s="327"/>
      <c r="F51" s="2422"/>
      <c r="G51" s="3661"/>
      <c r="H51" s="2311" t="s">
        <v>2136</v>
      </c>
      <c r="I51" s="2310"/>
      <c r="J51" s="2520" t="s">
        <v>1347</v>
      </c>
      <c r="K51" s="3628" t="s">
        <v>1348</v>
      </c>
      <c r="L51" s="3628"/>
      <c r="M51" s="2520" t="s">
        <v>1349</v>
      </c>
      <c r="N51" s="2520" t="s">
        <v>1350</v>
      </c>
      <c r="O51" s="2520" t="s">
        <v>1351</v>
      </c>
    </row>
    <row r="52" spans="1:35" ht="24" customHeight="1">
      <c r="A52" s="2334" t="s">
        <v>1352</v>
      </c>
      <c r="B52" s="3676" t="s">
        <v>1353</v>
      </c>
      <c r="C52" s="3676"/>
      <c r="D52" s="1087">
        <f ca="1">ROUND(D45*'数据-取费表'!B41/(1+'数据-取费表'!C42),0)</f>
        <v>1653</v>
      </c>
      <c r="E52" s="2333" t="s">
        <v>1354</v>
      </c>
      <c r="F52" s="2550">
        <f>'数据-取费表'!B41</f>
        <v>5.6000000000000001E-2</v>
      </c>
      <c r="G52" s="2551"/>
      <c r="H52" s="2540"/>
      <c r="I52" s="1806"/>
      <c r="J52" s="2519">
        <v>1</v>
      </c>
      <c r="K52" s="3653" t="s">
        <v>1355</v>
      </c>
      <c r="L52" s="3653"/>
      <c r="M52" s="2521">
        <f ca="1">D48</f>
        <v>1653</v>
      </c>
      <c r="N52" s="2519" t="str">
        <f>E48</f>
        <v>销售额×税（费）率</v>
      </c>
      <c r="O52" s="2522">
        <f>F48</f>
        <v>5.6000000000000001E-2</v>
      </c>
    </row>
    <row r="53" spans="1:35" ht="12" customHeight="1">
      <c r="A53" s="2334" t="s">
        <v>1356</v>
      </c>
      <c r="B53" s="3677" t="s">
        <v>2287</v>
      </c>
      <c r="C53" s="3678"/>
      <c r="D53" s="1087">
        <f ca="1">ROUND(D45*'数据-取费表'!B41/(1+'数据-取费表'!C42),0)</f>
        <v>1653</v>
      </c>
      <c r="E53" s="2333" t="s">
        <v>1354</v>
      </c>
      <c r="F53" s="2550">
        <f>'数据-取费表'!B41</f>
        <v>5.6000000000000001E-2</v>
      </c>
      <c r="G53" s="2551"/>
      <c r="H53" s="2540"/>
      <c r="I53" s="1806"/>
      <c r="J53" s="2519">
        <v>2</v>
      </c>
      <c r="K53" s="3653" t="s">
        <v>1357</v>
      </c>
      <c r="L53" s="3653"/>
      <c r="M53" s="2521">
        <f t="shared" ref="M53:O54" ca="1" si="0">D55</f>
        <v>16</v>
      </c>
      <c r="N53" s="2519" t="str">
        <f t="shared" si="0"/>
        <v>销售额×税（费）率</v>
      </c>
      <c r="O53" s="2522">
        <f t="shared" si="0"/>
        <v>5.0000000000000001E-4</v>
      </c>
    </row>
    <row r="54" spans="1:35" ht="12" customHeight="1">
      <c r="A54" s="2334" t="s">
        <v>1358</v>
      </c>
      <c r="B54" s="3677" t="s">
        <v>2288</v>
      </c>
      <c r="C54" s="3678"/>
      <c r="D54" s="1087">
        <f ca="1">C68</f>
        <v>1653</v>
      </c>
      <c r="E54" s="327" t="s">
        <v>1359</v>
      </c>
      <c r="F54" s="2550">
        <f>'数据-取费表'!B41</f>
        <v>5.6000000000000001E-2</v>
      </c>
      <c r="G54" s="2551"/>
      <c r="H54" s="2552"/>
      <c r="I54" s="1806"/>
      <c r="J54" s="2519">
        <v>3</v>
      </c>
      <c r="K54" s="3653" t="s">
        <v>1360</v>
      </c>
      <c r="L54" s="3653"/>
      <c r="M54" s="3535">
        <f ca="1">ROUND(M48/1.05*5%,0)</f>
        <v>1476</v>
      </c>
      <c r="N54" s="2519" t="str">
        <f t="shared" si="0"/>
        <v>增值额×税（费）率</v>
      </c>
      <c r="O54" s="2523" t="str">
        <f t="shared" si="0"/>
        <v>——</v>
      </c>
    </row>
    <row r="55" spans="1:35" ht="24" customHeight="1">
      <c r="A55" s="3713" t="s">
        <v>1361</v>
      </c>
      <c r="B55" s="3691"/>
      <c r="C55" s="3691"/>
      <c r="D55" s="2323">
        <f ca="1">IF(H55="个人住宅",0,ROUND(D45*I55,0))</f>
        <v>16</v>
      </c>
      <c r="E55" s="2333" t="s">
        <v>1362</v>
      </c>
      <c r="F55" s="2550">
        <f>IF(H55="正常",I55,"免征")</f>
        <v>5.0000000000000001E-4</v>
      </c>
      <c r="G55" s="2551"/>
      <c r="H55" s="2546" t="s">
        <v>4014</v>
      </c>
      <c r="I55" s="165">
        <f>'数据-取费表'!B49</f>
        <v>5.0000000000000001E-4</v>
      </c>
      <c r="J55" s="2519" t="str">
        <f>IF(H59="非个人房产","",4)</f>
        <v/>
      </c>
      <c r="K55" s="3653" t="str">
        <f>IF(H59="非个人房产","——","个人所得税")</f>
        <v>——</v>
      </c>
      <c r="L55" s="3653"/>
      <c r="M55" s="2524" t="str">
        <f>D59</f>
        <v>——</v>
      </c>
      <c r="N55" s="2039" t="str">
        <f>E59</f>
        <v>——</v>
      </c>
      <c r="O55" s="2525" t="str">
        <f>F59</f>
        <v>——</v>
      </c>
    </row>
    <row r="56" spans="1:35" ht="24.75">
      <c r="A56" s="3713" t="s">
        <v>1363</v>
      </c>
      <c r="B56" s="3691"/>
      <c r="C56" s="3691"/>
      <c r="D56" s="2323">
        <f ca="1">IF(H56="个人住宅",D57,D58)</f>
        <v>17547</v>
      </c>
      <c r="E56" s="2333" t="s">
        <v>1364</v>
      </c>
      <c r="F56" s="2550" t="str">
        <f>IF(H56="正常",F58,"免征")</f>
        <v>——</v>
      </c>
      <c r="G56" s="2553" t="s">
        <v>1365</v>
      </c>
      <c r="H56" s="2554" t="s">
        <v>4014</v>
      </c>
      <c r="I56" s="1807"/>
      <c r="J56" s="2519" t="str">
        <f>IF(项目基本情况!K6="上海银行",IF(J55="",4,J55+1),"")</f>
        <v/>
      </c>
      <c r="K56" s="3634" t="str">
        <f>IF(项目基本情况!K6="上海银行","其他处置费用","")</f>
        <v/>
      </c>
      <c r="L56" s="3635"/>
      <c r="M56" s="2521" t="str">
        <f>IF(项目基本情况!K6="上海银行",M69,"")</f>
        <v/>
      </c>
      <c r="N56" s="3634" t="str">
        <f>IF(项目基本情况!K6="上海银行","包含处置中涉及的律师、诉讼、拍卖、评估等费用","")</f>
        <v/>
      </c>
      <c r="O56" s="3637"/>
    </row>
    <row r="57" spans="1:35" ht="12.75">
      <c r="A57" s="2334" t="s">
        <v>1341</v>
      </c>
      <c r="B57" s="3677" t="s">
        <v>1366</v>
      </c>
      <c r="C57" s="3678"/>
      <c r="D57" s="1589">
        <v>0</v>
      </c>
      <c r="E57" s="324" t="s">
        <v>1343</v>
      </c>
      <c r="F57" s="302"/>
      <c r="G57" s="2551"/>
      <c r="H57" s="2555"/>
      <c r="I57" s="1807"/>
      <c r="J57" s="3653">
        <f>IF(AND(J55="",J56=""),4,IF(项目基本情况!K6="上海银行",结果表!J56+1,结果表!J55+1))</f>
        <v>4</v>
      </c>
      <c r="K57" s="3653" t="s">
        <v>1367</v>
      </c>
      <c r="L57" s="2526" t="s">
        <v>1368</v>
      </c>
      <c r="M57" s="2527"/>
      <c r="N57" s="2528">
        <f ca="1">SUMIF(M52:M56,"&lt;9e307")</f>
        <v>3145</v>
      </c>
      <c r="O57" s="2529"/>
      <c r="P57" s="2686">
        <f ca="1">N57/M49</f>
        <v>0.1014483403761169</v>
      </c>
    </row>
    <row r="58" spans="1:35" ht="24.75">
      <c r="A58" s="2334" t="s">
        <v>1352</v>
      </c>
      <c r="B58" s="3677" t="s">
        <v>1369</v>
      </c>
      <c r="C58" s="3676"/>
      <c r="D58" s="2323">
        <f ca="1">IF(H58="转让取得",C81,C97)</f>
        <v>17547</v>
      </c>
      <c r="E58" s="2333" t="s">
        <v>1364</v>
      </c>
      <c r="F58" s="302" t="s">
        <v>28</v>
      </c>
      <c r="G58" s="2551"/>
      <c r="H58" s="2554" t="s">
        <v>4028</v>
      </c>
      <c r="I58" s="1807"/>
      <c r="J58" s="3653"/>
      <c r="K58" s="3653"/>
      <c r="L58" s="2526" t="s">
        <v>1370</v>
      </c>
      <c r="M58" s="2530"/>
      <c r="N58" s="2531" t="str">
        <f ca="1">NUMBERSTRING(INT(N57*10000),2)&amp;"元整"</f>
        <v>叁仟壹佰肆拾伍万元整</v>
      </c>
      <c r="O58" s="2532"/>
    </row>
    <row r="59" spans="1:35" ht="24.75" thickBot="1">
      <c r="A59" s="3657" t="s">
        <v>1371</v>
      </c>
      <c r="B59" s="3658"/>
      <c r="C59" s="3658"/>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3" t="s">
        <v>4029</v>
      </c>
      <c r="I59" s="2312" t="s">
        <v>2137</v>
      </c>
      <c r="J59" s="3655">
        <f>J57+1</f>
        <v>5</v>
      </c>
      <c r="K59" s="3653" t="s">
        <v>1372</v>
      </c>
      <c r="L59" s="2519" t="s">
        <v>1368</v>
      </c>
      <c r="M59" s="2533"/>
      <c r="N59" s="2534">
        <f ca="1">M49-N57</f>
        <v>27856</v>
      </c>
      <c r="O59" s="2535"/>
    </row>
    <row r="60" spans="1:35" ht="12" customHeight="1">
      <c r="A60" s="1808"/>
      <c r="B60" s="1746"/>
      <c r="C60" s="1746"/>
      <c r="D60" s="1746"/>
      <c r="E60" s="1577"/>
      <c r="F60" s="1807"/>
      <c r="G60" s="1807"/>
      <c r="H60" s="1809"/>
      <c r="I60" s="129"/>
      <c r="J60" s="3656"/>
      <c r="K60" s="3653"/>
      <c r="L60" s="2526" t="s">
        <v>1370</v>
      </c>
      <c r="M60" s="2530"/>
      <c r="N60" s="2531" t="str">
        <f ca="1">NUMBERSTRING(INT(N59*10000),2)&amp;"元整"</f>
        <v>贰亿柒仟捌佰伍拾陆万元整</v>
      </c>
      <c r="O60" s="2532"/>
    </row>
    <row r="61" spans="1:35" ht="13.5" thickBot="1">
      <c r="A61" s="3712" t="s">
        <v>1373</v>
      </c>
      <c r="B61" s="3712"/>
      <c r="C61" s="3712"/>
      <c r="D61" s="3712"/>
      <c r="E61" s="3712"/>
      <c r="F61" s="1807"/>
      <c r="G61" s="1807"/>
      <c r="H61" s="1809"/>
      <c r="I61" s="129"/>
      <c r="J61" s="2519">
        <f>J59+1</f>
        <v>6</v>
      </c>
      <c r="K61" s="3653" t="s">
        <v>1374</v>
      </c>
      <c r="L61" s="3653"/>
      <c r="M61" s="2536"/>
      <c r="N61" s="2537">
        <f ca="1">ROUND(N59*10000/'数据-汇总表'!E3,0)</f>
        <v>17094</v>
      </c>
      <c r="O61" s="2538"/>
    </row>
    <row r="62" spans="1:35" ht="12.75">
      <c r="A62" s="3672" t="s">
        <v>1375</v>
      </c>
      <c r="B62" s="3673"/>
      <c r="C62" s="2020"/>
      <c r="D62" s="2020" t="s">
        <v>1376</v>
      </c>
      <c r="E62" s="166" t="s">
        <v>1377</v>
      </c>
      <c r="F62" s="1807"/>
      <c r="G62" s="1807"/>
      <c r="H62" s="1809"/>
      <c r="I62" s="129"/>
    </row>
    <row r="63" spans="1:35" ht="12.75">
      <c r="A63" s="173" t="s">
        <v>330</v>
      </c>
      <c r="B63" s="167" t="s">
        <v>1378</v>
      </c>
      <c r="C63" s="2560">
        <f ca="1">ROUND((C64+C65)/(1+'数据-取费表'!C42),0)</f>
        <v>29525</v>
      </c>
      <c r="D63" s="167"/>
      <c r="E63" s="168"/>
      <c r="F63" s="1807"/>
      <c r="G63" s="1807"/>
      <c r="H63" s="1809"/>
      <c r="I63" s="129"/>
      <c r="J63" s="3636" t="s">
        <v>1379</v>
      </c>
      <c r="K63" s="1331" t="s">
        <v>1380</v>
      </c>
      <c r="L63" s="1331">
        <f ca="1">IF(M49&gt;10000,M49*0.5%,IF(AND(M49&gt;1000,M49&lt;=10000),M49*1%,IF(AND(M49&gt;100,M49&lt;=1000),M49*3%,IF(AND(M49&gt;10,M49&lt;=100),M49*5%,M49*8%))))</f>
        <v>155.005</v>
      </c>
      <c r="M63" s="302">
        <f ca="1">ROUND(L63,1)</f>
        <v>155</v>
      </c>
      <c r="N63" s="2539"/>
      <c r="Z63" s="1751"/>
      <c r="AI63" s="1752"/>
    </row>
    <row r="64" spans="1:35" ht="14.25" customHeight="1">
      <c r="A64" s="169" t="s">
        <v>325</v>
      </c>
      <c r="B64" s="170" t="s">
        <v>1381</v>
      </c>
      <c r="C64" s="2561">
        <f ca="1">D45</f>
        <v>31001</v>
      </c>
      <c r="D64" s="170" t="s">
        <v>26</v>
      </c>
      <c r="E64" s="172"/>
      <c r="F64" s="1807"/>
      <c r="G64" s="1807"/>
      <c r="H64" s="1809"/>
      <c r="I64" s="129"/>
      <c r="J64" s="3636"/>
      <c r="K64" s="1331" t="s">
        <v>1382</v>
      </c>
      <c r="L64" s="1331">
        <f ca="1">IF(M49&gt;2000,M49*0.5%,IF(AND(M49&gt;1000,M49&lt;=2000),M49*0.6%,IF(AND(M49&gt;500,M49&lt;=1000),M49*0.7%,IF(AND(M49&gt;200,M49&lt;=500),M49*0.8%,IF(AND(M49&gt;100,M49&lt;=200),M49*0.9%,IF(AND(M49&gt;50,M49&lt;=100),M49*1%,IF(AND(M49&gt;20,M49&lt;=50),M49*1.5%,IF(AND(M49&gt;10,M49&lt;=20),M49*2%,IF(AND(M49&gt;1,M49&lt;=10),M49*2.5%)))))))))</f>
        <v>155.005</v>
      </c>
      <c r="M64" s="302">
        <f t="shared" ref="M64:M65" ca="1" si="1">ROUND(L64,1)</f>
        <v>155</v>
      </c>
      <c r="N64" s="2540" t="s">
        <v>1383</v>
      </c>
      <c r="Z64" s="1751"/>
      <c r="AI64" s="1752"/>
    </row>
    <row r="65" spans="1:35" ht="14.25" customHeight="1">
      <c r="A65" s="169" t="s">
        <v>326</v>
      </c>
      <c r="B65" s="170" t="s">
        <v>1384</v>
      </c>
      <c r="C65" s="2562"/>
      <c r="D65" s="170"/>
      <c r="E65" s="172"/>
      <c r="F65" s="1807"/>
      <c r="G65" s="1807"/>
      <c r="H65" s="1809"/>
      <c r="I65" s="129"/>
      <c r="J65" s="3636"/>
      <c r="K65" s="1331" t="s">
        <v>1385</v>
      </c>
      <c r="L65" s="1331">
        <f ca="1">IF(M49&gt;1000,M49*0.1%,IF(AND(M49&gt;500,M49&lt;=1000),M49*0.5%,IF(AND(M49&gt;50,M49&lt;=500),M49*1%,IF(AND(M49&gt;1,M49&lt;=50),M49*1.5%))))</f>
        <v>31.001000000000001</v>
      </c>
      <c r="M65" s="302">
        <f t="shared" ca="1" si="1"/>
        <v>31</v>
      </c>
      <c r="N65" s="2540" t="s">
        <v>1383</v>
      </c>
      <c r="Z65" s="1751"/>
      <c r="AI65" s="1752"/>
    </row>
    <row r="66" spans="1:35" ht="14.25" customHeight="1">
      <c r="A66" s="173" t="s">
        <v>327</v>
      </c>
      <c r="B66" s="174" t="s">
        <v>1386</v>
      </c>
      <c r="C66" s="2563"/>
      <c r="D66" s="174" t="s">
        <v>26</v>
      </c>
      <c r="E66" s="1337" t="s">
        <v>671</v>
      </c>
      <c r="F66" s="1807"/>
      <c r="G66" s="1807"/>
      <c r="H66" s="1809"/>
      <c r="I66" s="129"/>
      <c r="J66" s="3636"/>
      <c r="K66" s="1331" t="s">
        <v>1387</v>
      </c>
      <c r="L66" s="1331">
        <f ca="1">M49*0.5%</f>
        <v>155.005</v>
      </c>
      <c r="M66" s="302">
        <f ca="1">IF(L66&gt;0.5,0.5,ROUND(L66,0))</f>
        <v>0.5</v>
      </c>
      <c r="N66" s="2540" t="s">
        <v>1388</v>
      </c>
      <c r="Z66" s="1751"/>
      <c r="AI66" s="1752"/>
    </row>
    <row r="67" spans="1:35" ht="14.25" customHeight="1">
      <c r="A67" s="173" t="s">
        <v>328</v>
      </c>
      <c r="B67" s="174" t="s">
        <v>1389</v>
      </c>
      <c r="C67" s="2564">
        <f ca="1">C63-C66</f>
        <v>29525</v>
      </c>
      <c r="D67" s="170" t="s">
        <v>26</v>
      </c>
      <c r="E67" s="172"/>
      <c r="F67" s="1807"/>
      <c r="G67" s="1807"/>
      <c r="H67" s="1809"/>
      <c r="I67" s="129"/>
      <c r="J67" s="3636"/>
      <c r="K67" s="1331" t="s">
        <v>1390</v>
      </c>
      <c r="L67" s="1331">
        <f ca="1">IF(M49&gt;=10000,(8.25+(M49-10000)*0.01%),IF(AND(M49&gt;=8000,M49&lt;10000),(7.85+(M49-8000)*0.02%),IF(AND(M49&gt;=5000,M49&lt;8000),(6.65+(M49-5000)*0.04%),IF(AND(M49&gt;=2000,M49&lt;5000),(4.25+(PM49-2000)*0.08%),IF(AND(M49&gt;=1000,M49&lt;2000),(2.75+(M49-1000)*0.15%),IF(AND(M49&gt;=100,M49&lt;1000),(0.5+(M49-100)*0.25%),IF(AND(M49&gt;0,M49&lt;100),M49*0.5%)))))))</f>
        <v>10.350100000000001</v>
      </c>
      <c r="M67" s="302">
        <f ca="1">ROUND(L67*0.9,1)</f>
        <v>9.3000000000000007</v>
      </c>
      <c r="N67" s="2539"/>
      <c r="Z67" s="1751"/>
      <c r="AI67" s="1752"/>
    </row>
    <row r="68" spans="1:35" ht="14.25" customHeight="1" thickBot="1">
      <c r="A68" s="176" t="s">
        <v>329</v>
      </c>
      <c r="B68" s="177" t="s">
        <v>1391</v>
      </c>
      <c r="C68" s="2565">
        <f ca="1">IF(C67&lt;=0,0,ROUND(C67*D68,0))</f>
        <v>1653</v>
      </c>
      <c r="D68" s="2566">
        <f>'数据-取费表'!B41</f>
        <v>5.6000000000000001E-2</v>
      </c>
      <c r="E68" s="178"/>
      <c r="F68" s="1807"/>
      <c r="G68" s="1807"/>
      <c r="H68" s="1809"/>
      <c r="I68" s="129"/>
      <c r="J68" s="3636"/>
      <c r="K68" s="1331" t="s">
        <v>1392</v>
      </c>
      <c r="L68" s="1331">
        <f ca="1">IF(M49&gt;10000,M49*0.5%,IF(AND(M49&gt;5000,M49&lt;=10000),M49*1%,IF(AND(M49&gt;1000,M49&lt;=5000),M49*2%,IF(AND(M49&gt;200,M49&lt;=1000),M49*3%,M49*5%))))</f>
        <v>155.005</v>
      </c>
      <c r="M68" s="302">
        <f ca="1">ROUND(L68,1)</f>
        <v>155</v>
      </c>
      <c r="N68" s="2539"/>
      <c r="Z68" s="1751"/>
      <c r="AI68" s="1752"/>
    </row>
    <row r="69" spans="1:35" s="1771" customFormat="1" ht="16.5" customHeight="1">
      <c r="A69" s="1810"/>
      <c r="B69" s="1811"/>
      <c r="C69" s="1812"/>
      <c r="D69" s="1813"/>
      <c r="E69" s="1814"/>
      <c r="F69" s="1577"/>
      <c r="G69" s="1577"/>
      <c r="H69" s="1576"/>
      <c r="I69" s="1746"/>
      <c r="J69" s="3636"/>
      <c r="K69" s="1331" t="s">
        <v>1393</v>
      </c>
      <c r="L69" s="1331"/>
      <c r="M69" s="302">
        <f ca="1">ROUND(SUM(M63:M68),0)</f>
        <v>506</v>
      </c>
      <c r="N69" s="2541">
        <f ca="1">M69/M49</f>
        <v>1.6322054127286215E-2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80" t="s">
        <v>1394</v>
      </c>
      <c r="B70" s="3681"/>
      <c r="C70" s="3681"/>
      <c r="D70" s="3681"/>
      <c r="E70" s="3681"/>
      <c r="F70" s="3681"/>
      <c r="G70" s="3681"/>
      <c r="H70" s="368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72" t="s">
        <v>1375</v>
      </c>
      <c r="B71" s="3673"/>
      <c r="C71" s="2020"/>
      <c r="D71" s="2020"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4">
        <f ca="1">ROUND(D45/(1+'数据-取费表'!C42),0)</f>
        <v>29525</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4">
        <f ca="1">C74+C78</f>
        <v>177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70">
        <v>0.05</v>
      </c>
      <c r="E76" s="3677" t="s">
        <v>1402</v>
      </c>
      <c r="F76" s="3676"/>
      <c r="G76" s="3676"/>
      <c r="H76" s="367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72">
        <f ca="1">ROUND(D45*D78/(1+'数据-取费表'!C42),0)</f>
        <v>177</v>
      </c>
      <c r="D78" s="2573">
        <f>'数据-取费表'!B43</f>
        <v>6.000000000000001E-3</v>
      </c>
      <c r="E78" s="3669" t="s">
        <v>1406</v>
      </c>
      <c r="F78" s="3670"/>
      <c r="G78" s="3670"/>
      <c r="H78" s="367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4">
        <f ca="1">C72-C73</f>
        <v>29348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4">
        <f ca="1">IF(C79&lt;=0,0,C79/C73)</f>
        <v>165.80790960451978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5">
        <f ca="1">ROUND(IF(C79&lt;=0,0,IF(C80&gt;=200%,C79*60%-C73*35%,IF(C80&gt;=100%,C79*50%-C73*15%,IF(C80&gt;=50%,C79*40%-C73*5%,IF(C80&lt;50%,C79*30%,0))))),0)</f>
        <v>17547</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80" t="s">
        <v>1410</v>
      </c>
      <c r="B83" s="3681"/>
      <c r="C83" s="3681"/>
      <c r="D83" s="3681"/>
      <c r="E83" s="3681"/>
      <c r="F83" s="3681"/>
      <c r="G83" s="3681"/>
      <c r="H83" s="368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72" t="s">
        <v>1375</v>
      </c>
      <c r="B84" s="367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29525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177</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6"/>
      <c r="G88" s="194" t="s">
        <v>1414</v>
      </c>
      <c r="H88" s="1823"/>
      <c r="I88" s="1820"/>
      <c r="J88" s="2517"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6"/>
      <c r="G90" s="3638" t="s">
        <v>2129</v>
      </c>
      <c r="H90" s="3639"/>
      <c r="I90" s="1820"/>
      <c r="J90" s="2517"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669" t="s">
        <v>1419</v>
      </c>
      <c r="F91" s="3670"/>
      <c r="G91" s="367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669" t="s">
        <v>1422</v>
      </c>
      <c r="F92" s="3670"/>
      <c r="G92" s="3670"/>
      <c r="H92" s="3671"/>
      <c r="I92" s="1820"/>
      <c r="J92" s="2518"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177</v>
      </c>
      <c r="D93" s="2573">
        <f>'数据-取费表'!B43</f>
        <v>6.000000000000001E-3</v>
      </c>
      <c r="E93" s="3669" t="s">
        <v>1406</v>
      </c>
      <c r="F93" s="3670"/>
      <c r="G93" s="3670"/>
      <c r="H93" s="367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714" t="s">
        <v>1426</v>
      </c>
      <c r="F94" s="3715"/>
      <c r="G94" s="3715"/>
      <c r="H94" s="371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29348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165.80790960451978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17547</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19" t="s">
        <v>1428</v>
      </c>
      <c r="B100" s="3620"/>
      <c r="C100" s="3620"/>
      <c r="D100" s="3654"/>
      <c r="E100" s="3620" t="s">
        <v>1429</v>
      </c>
      <c r="F100" s="3620"/>
      <c r="G100" s="3620"/>
      <c r="H100" s="3654"/>
      <c r="I100" s="129"/>
    </row>
    <row r="101" spans="1:35" ht="18.75" customHeight="1">
      <c r="A101" s="3662" t="s">
        <v>1430</v>
      </c>
      <c r="B101" s="3663"/>
      <c r="C101" s="2581" t="str">
        <f>C4</f>
        <v>比较法-办公</v>
      </c>
      <c r="D101" s="2582" t="str">
        <f>D4</f>
        <v>收益法</v>
      </c>
      <c r="E101" s="3632" t="s">
        <v>1431</v>
      </c>
      <c r="F101" s="3633"/>
      <c r="G101" s="1826" t="s">
        <v>1432</v>
      </c>
      <c r="H101" s="2591">
        <f ca="1">H118</f>
        <v>31001</v>
      </c>
      <c r="I101" s="129"/>
    </row>
    <row r="102" spans="1:35" ht="18.75" customHeight="1">
      <c r="A102" s="3664" t="s">
        <v>1433</v>
      </c>
      <c r="B102" s="2580" t="s">
        <v>1432</v>
      </c>
      <c r="C102" s="2581">
        <f ca="1">IF(D32="楼面单价",ROUND(C19,0),C19)</f>
        <v>33392</v>
      </c>
      <c r="D102" s="2582">
        <f ca="1">IF(D32="楼面单价",ROUND(D19,0),D19)</f>
        <v>28610</v>
      </c>
      <c r="E102" s="3632"/>
      <c r="F102" s="3633"/>
      <c r="G102" s="1826" t="s">
        <v>1434</v>
      </c>
      <c r="H102" s="2551">
        <f ca="1">I118</f>
        <v>19025</v>
      </c>
      <c r="I102" s="129"/>
    </row>
    <row r="103" spans="1:35" ht="42.75" customHeight="1">
      <c r="A103" s="3664"/>
      <c r="B103" s="2580" t="s">
        <v>1434</v>
      </c>
      <c r="C103" s="2583">
        <f ca="1">C20</f>
        <v>20492</v>
      </c>
      <c r="D103" s="2584">
        <f ca="1">D20</f>
        <v>17557</v>
      </c>
      <c r="E103" s="3625" t="s">
        <v>1435</v>
      </c>
      <c r="F103" s="3626"/>
      <c r="G103" s="1827" t="s">
        <v>1436</v>
      </c>
      <c r="H103" s="2591">
        <f>IF(D36="正常操作",H104+H105+H106,H105+H106)</f>
        <v>0</v>
      </c>
      <c r="I103" s="129"/>
    </row>
    <row r="104" spans="1:35" ht="18.75" customHeight="1">
      <c r="A104" s="3664" t="s">
        <v>1437</v>
      </c>
      <c r="B104" s="2585" t="s">
        <v>1432</v>
      </c>
      <c r="C104" s="2586">
        <f ca="1">H118</f>
        <v>31001</v>
      </c>
      <c r="D104" s="2587"/>
      <c r="E104" s="1673" t="s">
        <v>1438</v>
      </c>
      <c r="F104" s="1665"/>
      <c r="G104" s="1827" t="s">
        <v>1436</v>
      </c>
      <c r="H104" s="2592">
        <f>IF(D36="同一抵押权人同一抵押物续贷",C36&amp;"（续贷，未扣减，详见特别提示）",C36)</f>
        <v>0</v>
      </c>
      <c r="I104" s="129"/>
    </row>
    <row r="105" spans="1:35" ht="18.75" customHeight="1" thickBot="1">
      <c r="A105" s="3674"/>
      <c r="B105" s="2588" t="s">
        <v>1434</v>
      </c>
      <c r="C105" s="2589">
        <f ca="1">I118</f>
        <v>19025</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65" t="str">
        <f>IF(项目基本情况!E8="已注销","——","3.房地产抵押价值")</f>
        <v>3.房地产抵押价值</v>
      </c>
      <c r="F107" s="3633"/>
      <c r="G107" s="1826" t="s">
        <v>1432</v>
      </c>
      <c r="H107" s="2591">
        <f ca="1">IF(E107="——","——",H101-H103)</f>
        <v>31001</v>
      </c>
      <c r="I107" s="129"/>
    </row>
    <row r="108" spans="1:35" ht="18.75" customHeight="1">
      <c r="A108" s="129"/>
      <c r="B108" s="129"/>
      <c r="C108" s="129"/>
      <c r="D108" s="129"/>
      <c r="E108" s="3665"/>
      <c r="F108" s="3633"/>
      <c r="G108" s="1826" t="s">
        <v>1434</v>
      </c>
      <c r="H108" s="2551">
        <f ca="1">IF(H107=H101,H102,ROUND(H107*10000/'数据-汇总表'!E3,0))</f>
        <v>19025</v>
      </c>
      <c r="I108" s="129"/>
    </row>
    <row r="109" spans="1:35" ht="18.75" customHeight="1">
      <c r="A109" s="129"/>
      <c r="B109" s="129"/>
      <c r="C109" s="129"/>
      <c r="D109" s="129"/>
      <c r="E109" s="3665" t="str">
        <f>IF(项目基本情况!E8="已注销及未注销","4.抵押担保权已注销时的房地产抵押价值",IF(项目基本情况!E8="已注销","3.抵押担保权已注销时的房地产抵押价值","——"))</f>
        <v>——</v>
      </c>
      <c r="F109" s="3633"/>
      <c r="G109" s="1826" t="s">
        <v>1432</v>
      </c>
      <c r="H109" s="2594" t="str">
        <f>IF(E109="——","——",H101-H105-H106)</f>
        <v>——</v>
      </c>
      <c r="I109" s="129"/>
    </row>
    <row r="110" spans="1:35" ht="18.75" customHeight="1">
      <c r="A110" s="129"/>
      <c r="B110" s="129"/>
      <c r="C110" s="129"/>
      <c r="D110" s="129"/>
      <c r="E110" s="3665"/>
      <c r="F110" s="3633"/>
      <c r="G110" s="1826" t="s">
        <v>1434</v>
      </c>
      <c r="H110" s="2551" t="str">
        <f>IF(H109="——","——",ROUND(H109*10000/'数据-汇总表'!E3,0))</f>
        <v>——</v>
      </c>
      <c r="I110" s="129"/>
    </row>
    <row r="111" spans="1:35" ht="18.75" customHeight="1">
      <c r="A111" s="129"/>
      <c r="B111" s="129"/>
      <c r="C111" s="129"/>
      <c r="D111" s="129"/>
      <c r="E111" s="3666" t="str">
        <f>IF(项目基本情况!E9="抵押净值",IF(OR(项目基本情况!E8="已注销",项目基本情况!E8="房地产抵押价值"),"4.抵押净值","5.抵押净值"),"——")</f>
        <v>4.抵押净值</v>
      </c>
      <c r="F111" s="3652"/>
      <c r="G111" s="1826" t="s">
        <v>1432</v>
      </c>
      <c r="H111" s="2591">
        <f ca="1">IF(E111="——","——",N59)</f>
        <v>27856</v>
      </c>
      <c r="I111" s="129"/>
    </row>
    <row r="112" spans="1:35" ht="18.75" customHeight="1" thickBot="1">
      <c r="A112" s="129"/>
      <c r="B112" s="129"/>
      <c r="C112" s="129"/>
      <c r="D112" s="129"/>
      <c r="E112" s="3667"/>
      <c r="F112" s="3668"/>
      <c r="G112" s="1829" t="s">
        <v>1434</v>
      </c>
      <c r="H112" s="2595">
        <f ca="1">IF(E111="——","——",N61)</f>
        <v>17094</v>
      </c>
      <c r="I112" s="129"/>
    </row>
    <row r="113" spans="1:27" ht="18.75" customHeight="1">
      <c r="A113" s="129"/>
      <c r="B113" s="129"/>
      <c r="C113" s="129"/>
      <c r="D113" s="129"/>
      <c r="E113" s="3675" t="s">
        <v>1440</v>
      </c>
      <c r="F113" s="3675"/>
      <c r="G113" s="3675"/>
      <c r="H113" s="3675"/>
      <c r="I113" s="129"/>
    </row>
    <row r="114" spans="1:27" ht="3.75" customHeight="1">
      <c r="A114" s="1746"/>
      <c r="B114" s="1746"/>
      <c r="C114" s="1746"/>
      <c r="D114" s="1746"/>
      <c r="E114" s="1808"/>
      <c r="F114" s="1808"/>
      <c r="G114" s="1808"/>
      <c r="H114" s="1808"/>
      <c r="I114" s="1746"/>
    </row>
    <row r="115" spans="1:27" ht="18.75" customHeight="1">
      <c r="A115" s="3683" t="s">
        <v>1442</v>
      </c>
      <c r="B115" s="3684"/>
      <c r="C115" s="3684"/>
      <c r="D115" s="3684"/>
      <c r="E115" s="3684"/>
      <c r="F115" s="3684"/>
      <c r="G115" s="3684"/>
      <c r="H115" s="3684"/>
      <c r="I115" s="3685"/>
    </row>
    <row r="116" spans="1:27" ht="27" customHeight="1">
      <c r="A116" s="3640" t="s">
        <v>1443</v>
      </c>
      <c r="B116" s="3644" t="s">
        <v>1444</v>
      </c>
      <c r="C116" s="3644" t="s">
        <v>1445</v>
      </c>
      <c r="D116" s="3650" t="s">
        <v>1446</v>
      </c>
      <c r="E116" s="3651"/>
      <c r="F116" s="3682" t="s">
        <v>1447</v>
      </c>
      <c r="G116" s="3682"/>
      <c r="H116" s="3640" t="s">
        <v>1448</v>
      </c>
      <c r="I116" s="3640"/>
    </row>
    <row r="117" spans="1:27" ht="18.75" customHeight="1">
      <c r="A117" s="3640"/>
      <c r="B117" s="3645"/>
      <c r="C117" s="3645"/>
      <c r="D117" s="2328" t="s">
        <v>1449</v>
      </c>
      <c r="E117" s="2328" t="s">
        <v>1450</v>
      </c>
      <c r="F117" s="2328" t="s">
        <v>1449</v>
      </c>
      <c r="G117" s="2328" t="s">
        <v>1451</v>
      </c>
      <c r="H117" s="2328" t="s">
        <v>1449</v>
      </c>
      <c r="I117" s="2328" t="s">
        <v>1451</v>
      </c>
    </row>
    <row r="118" spans="1:27" ht="24.75" customHeight="1">
      <c r="A118" s="2596" t="str">
        <f>项目基本情况!S2</f>
        <v>北京市顺义区汇海南路6号院25号楼-2至10层101房地产</v>
      </c>
      <c r="B118" s="2328">
        <f>M18</f>
        <v>16295.3</v>
      </c>
      <c r="C118" s="2328">
        <f>M19</f>
        <v>0</v>
      </c>
      <c r="D118" s="2328">
        <f ca="1">ROUND(IF(D32="总价",C34,E118*B118/10000),0)</f>
        <v>4061</v>
      </c>
      <c r="E118" s="2328">
        <f ca="1">ROUND(IF(C33="自定义",IF(D32="楼面单价",C34,D118*10000/B118),I118-G118),0)</f>
        <v>2493</v>
      </c>
      <c r="F118" s="2328">
        <f ca="1">ROUND(IF(D32="总价",C35,G118*B118/10000),0)</f>
        <v>26940</v>
      </c>
      <c r="G118" s="2328">
        <f ca="1">ROUND(IF(D32="楼面单价",C35,F118*10000/B118),0)</f>
        <v>16532</v>
      </c>
      <c r="H118" s="2328">
        <f ca="1">ROUND(IF(D32="总价",C32,I118*B118/10000),0)</f>
        <v>31001</v>
      </c>
      <c r="I118" s="2328">
        <f ca="1">ROUND(IF(D32="楼面单价",C32,H118*10000/B118),0)</f>
        <v>19025</v>
      </c>
    </row>
    <row r="119" spans="1:27" ht="18.75" customHeight="1">
      <c r="A119" s="3640" t="s">
        <v>1452</v>
      </c>
      <c r="B119" s="3640"/>
      <c r="C119" s="3640"/>
      <c r="D119" s="3646" t="str">
        <f ca="1">NUMBERSTRING(INT(D118*10000),2)&amp;"元整"</f>
        <v>肆仟零陆拾壹万元整</v>
      </c>
      <c r="E119" s="3647"/>
      <c r="F119" s="3646" t="str">
        <f ca="1">NUMBERSTRING(INT(F118*10000),2)&amp;"元整"</f>
        <v>贰亿陆仟玖佰肆拾万元整</v>
      </c>
      <c r="G119" s="3647"/>
      <c r="H119" s="3646" t="str">
        <f ca="1">NUMBERSTRING(INT(H118*10000),2)&amp;"元整"</f>
        <v>叁亿壹仟零壹万元整</v>
      </c>
      <c r="I119" s="3647"/>
    </row>
    <row r="120" spans="1:27" ht="18.75" customHeight="1">
      <c r="A120" s="3641" t="str">
        <f>IF(项目基本情况!B9="房地产市场价值","",MID(E103,3,LEN(E103)-2))</f>
        <v>估价师知悉的法定优先受偿款</v>
      </c>
      <c r="B120" s="3642"/>
      <c r="C120" s="3643"/>
      <c r="D120" s="3641">
        <f>H103</f>
        <v>0</v>
      </c>
      <c r="E120" s="3642"/>
      <c r="F120" s="3642"/>
      <c r="G120" s="3642"/>
      <c r="H120" s="3642"/>
      <c r="I120" s="364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6" t="s">
        <v>1452</v>
      </c>
      <c r="B121" s="3648"/>
      <c r="C121" s="3647"/>
      <c r="D121" s="3646" t="str">
        <f>IF(D120=0,"零元整",NUMBERSTRING(INT(D120*10000),2)&amp;"元整")</f>
        <v>零元整</v>
      </c>
      <c r="E121" s="3648"/>
      <c r="F121" s="3648"/>
      <c r="G121" s="3648"/>
      <c r="H121" s="3648"/>
      <c r="I121" s="3647"/>
      <c r="AA121" s="725"/>
    </row>
    <row r="122" spans="1:27" ht="18.75" customHeight="1">
      <c r="A122" s="3652" t="str">
        <f>IF(项目基本情况!B9="房地产市场价值","",MID(E107,3,LEN(E107)-2))</f>
        <v>房地产抵押价值</v>
      </c>
      <c r="B122" s="3652"/>
      <c r="C122" s="3652"/>
      <c r="D122" s="3641">
        <f ca="1">H107</f>
        <v>31001</v>
      </c>
      <c r="E122" s="3642"/>
      <c r="F122" s="3642"/>
      <c r="G122" s="3642"/>
      <c r="H122" s="3642"/>
      <c r="I122" s="3643"/>
      <c r="AA122" s="725"/>
    </row>
    <row r="123" spans="1:27" ht="18.75" customHeight="1">
      <c r="A123" s="3640" t="s">
        <v>1452</v>
      </c>
      <c r="B123" s="3640"/>
      <c r="C123" s="3640"/>
      <c r="D123" s="3646" t="str">
        <f ca="1">NUMBERSTRING(INT(D122*10000),2)&amp;"元整"</f>
        <v>叁亿壹仟零壹万元整</v>
      </c>
      <c r="E123" s="3648"/>
      <c r="F123" s="3648"/>
      <c r="G123" s="3648"/>
      <c r="H123" s="3648"/>
      <c r="I123" s="3647"/>
      <c r="AA123" s="725"/>
    </row>
    <row r="124" spans="1:27" ht="18.75" customHeight="1">
      <c r="A124" s="3652" t="str">
        <f>IF(项目基本情况!B9="房地产市场价值","",MID(E109,3,LEN(E109)-2))</f>
        <v/>
      </c>
      <c r="B124" s="3652"/>
      <c r="C124" s="3652"/>
      <c r="D124" s="3641" t="str">
        <f>H109</f>
        <v>——</v>
      </c>
      <c r="E124" s="3642"/>
      <c r="F124" s="3642"/>
      <c r="G124" s="3642"/>
      <c r="H124" s="3642"/>
      <c r="I124" s="3643"/>
      <c r="AA124" s="725"/>
    </row>
    <row r="125" spans="1:27" ht="18.75" customHeight="1">
      <c r="A125" s="3640" t="s">
        <v>1452</v>
      </c>
      <c r="B125" s="3640"/>
      <c r="C125" s="3640"/>
      <c r="D125" s="3646" t="e">
        <f>NUMBERSTRING(INT(D124*10000),2)&amp;"元整"</f>
        <v>#VALUE!</v>
      </c>
      <c r="E125" s="3648"/>
      <c r="F125" s="3648"/>
      <c r="G125" s="3648"/>
      <c r="H125" s="3648"/>
      <c r="I125" s="3647"/>
      <c r="AA125" s="725"/>
    </row>
    <row r="126" spans="1:27" ht="18.75" customHeight="1">
      <c r="A126" s="3652" t="str">
        <f>IF(项目基本情况!B9="房地产市场价值","",MID(E111,3,LEN(E111)-2))</f>
        <v>抵押净值</v>
      </c>
      <c r="B126" s="3652"/>
      <c r="C126" s="3652"/>
      <c r="D126" s="3641">
        <f ca="1">H111</f>
        <v>27856</v>
      </c>
      <c r="E126" s="3642"/>
      <c r="F126" s="3642"/>
      <c r="G126" s="3642"/>
      <c r="H126" s="3642"/>
      <c r="I126" s="3643"/>
      <c r="AA126" s="725"/>
    </row>
    <row r="127" spans="1:27" ht="18.75" customHeight="1">
      <c r="A127" s="3640" t="s">
        <v>1452</v>
      </c>
      <c r="B127" s="3640"/>
      <c r="C127" s="3640"/>
      <c r="D127" s="3646" t="str">
        <f ca="1">NUMBERSTRING(INT(D126*10000),2)&amp;"元整"</f>
        <v>贰亿柒仟捌佰伍拾陆万元整</v>
      </c>
      <c r="E127" s="3648"/>
      <c r="F127" s="3648"/>
      <c r="G127" s="3648"/>
      <c r="H127" s="3648"/>
      <c r="I127" s="3647"/>
      <c r="AA127" s="725"/>
    </row>
    <row r="128" spans="1:27" ht="21.75" customHeight="1">
      <c r="A128" s="3649" t="s">
        <v>1453</v>
      </c>
      <c r="B128" s="3649"/>
      <c r="C128" s="3649"/>
      <c r="D128" s="3649"/>
      <c r="E128" s="3649"/>
      <c r="F128" s="3649"/>
      <c r="G128" s="3649"/>
      <c r="H128" s="3649"/>
      <c r="I128" s="364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M132"/>
  <sheetViews>
    <sheetView view="pageBreakPreview" topLeftCell="A4" zoomScale="90" zoomScaleNormal="70" zoomScaleSheetLayoutView="90" workbookViewId="0">
      <selection activeCell="K43" sqref="K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3402</v>
      </c>
      <c r="E1" s="3429" t="s">
        <v>4021</v>
      </c>
      <c r="F1" s="1878" t="s">
        <v>4022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33392</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20492</v>
      </c>
      <c r="C3" s="354" t="s">
        <v>1768</v>
      </c>
      <c r="D3" s="353">
        <f>IF(D1="",'数据-汇总表'!E3,SUMIF('数据-汇总表'!$C19:$C33,D1,'数据-汇总表'!$E19:$E33))</f>
        <v>16295.3</v>
      </c>
      <c r="E3" s="1953"/>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40" t="s">
        <v>1770</v>
      </c>
      <c r="D4" s="3741"/>
      <c r="E4" s="3742" t="s">
        <v>1771</v>
      </c>
      <c r="F4" s="3743"/>
      <c r="G4" s="3740" t="s">
        <v>1772</v>
      </c>
      <c r="H4" s="3741"/>
      <c r="I4" s="3740" t="s">
        <v>1773</v>
      </c>
      <c r="J4" s="3741"/>
      <c r="K4" s="559" t="s">
        <v>1774</v>
      </c>
      <c r="L4" s="2711"/>
      <c r="M4" s="2712"/>
      <c r="N4" s="2712"/>
      <c r="O4" s="2712"/>
      <c r="P4" s="3744" t="s">
        <v>1775</v>
      </c>
      <c r="Q4" s="3745"/>
      <c r="R4" s="3724" t="s">
        <v>1771</v>
      </c>
      <c r="S4" s="3725"/>
      <c r="T4" s="3724" t="s">
        <v>1772</v>
      </c>
      <c r="U4" s="3725"/>
      <c r="V4" s="3752" t="s">
        <v>1773</v>
      </c>
      <c r="W4" s="3752"/>
      <c r="X4" s="1957"/>
      <c r="Y4" s="3724" t="s">
        <v>1775</v>
      </c>
      <c r="Z4" s="3725"/>
      <c r="AA4" s="3719" t="s">
        <v>1771</v>
      </c>
      <c r="AB4" s="3719" t="s">
        <v>1772</v>
      </c>
      <c r="AC4" s="3737" t="s">
        <v>1773</v>
      </c>
    </row>
    <row r="5" spans="1:29" ht="15">
      <c r="A5" s="358"/>
      <c r="B5" s="359"/>
      <c r="C5" s="3730" t="s">
        <v>1673</v>
      </c>
      <c r="D5" s="3731"/>
      <c r="E5" s="3728" t="str">
        <f>研发案例!B2</f>
        <v>新华联北京民企总部基地35#+31#+10#</v>
      </c>
      <c r="F5" s="3729"/>
      <c r="G5" s="3730" t="str">
        <f>研发案例!B5</f>
        <v>新华联北京民企总部基地10#</v>
      </c>
      <c r="H5" s="3731"/>
      <c r="I5" s="3730" t="str">
        <f>研发案例!B11</f>
        <v>首开万科云创天地（城市之光COMO）3#楼</v>
      </c>
      <c r="J5" s="3731"/>
      <c r="K5" s="559"/>
      <c r="L5" s="2711"/>
      <c r="M5" s="2712"/>
      <c r="N5" s="2712"/>
      <c r="O5" s="2712"/>
      <c r="P5" s="3746"/>
      <c r="Q5" s="3747"/>
      <c r="R5" s="3726"/>
      <c r="S5" s="3727"/>
      <c r="T5" s="3726"/>
      <c r="U5" s="3727"/>
      <c r="V5" s="3753"/>
      <c r="W5" s="3753"/>
      <c r="X5" s="1354"/>
      <c r="Y5" s="3726"/>
      <c r="Z5" s="3727"/>
      <c r="AA5" s="3720"/>
      <c r="AB5" s="3720"/>
      <c r="AC5" s="3738"/>
    </row>
    <row r="6" spans="1:29" ht="15.75" thickBot="1">
      <c r="A6" s="360"/>
      <c r="B6" s="361"/>
      <c r="C6" s="3732" t="s">
        <v>1677</v>
      </c>
      <c r="D6" s="3733"/>
      <c r="E6" s="3734" t="s">
        <v>1677</v>
      </c>
      <c r="F6" s="3735"/>
      <c r="G6" s="3732" t="s">
        <v>1677</v>
      </c>
      <c r="H6" s="3733"/>
      <c r="I6" s="3732" t="s">
        <v>1677</v>
      </c>
      <c r="J6" s="3733"/>
      <c r="K6" s="559" t="s">
        <v>1678</v>
      </c>
      <c r="L6" s="2711"/>
      <c r="M6" s="2712"/>
      <c r="N6" s="2712"/>
      <c r="O6" s="2712"/>
      <c r="P6" s="3748"/>
      <c r="Q6" s="3749"/>
      <c r="R6" s="3726"/>
      <c r="S6" s="3727"/>
      <c r="T6" s="3750"/>
      <c r="U6" s="3751"/>
      <c r="V6" s="3753"/>
      <c r="W6" s="3753"/>
      <c r="X6" s="1354"/>
      <c r="Y6" s="3750"/>
      <c r="Z6" s="3751"/>
      <c r="AA6" s="3721"/>
      <c r="AB6" s="3721"/>
      <c r="AC6" s="3739"/>
    </row>
    <row r="7" spans="1:29" s="108" customFormat="1" ht="15.75" thickBot="1">
      <c r="A7" s="362" t="s">
        <v>1679</v>
      </c>
      <c r="B7" s="363"/>
      <c r="C7" s="364">
        <f>'数据-取费表'!B2</f>
        <v>45608</v>
      </c>
      <c r="D7" s="365">
        <v>100</v>
      </c>
      <c r="E7" s="366">
        <f>研发案例!Q2</f>
        <v>44562</v>
      </c>
      <c r="F7" s="367">
        <f>SUMIF(59:59,YEAR(E7)&amp;"-"&amp;MONTH(E7),60:60)</f>
        <v>100</v>
      </c>
      <c r="G7" s="366">
        <f>研发案例!Q5</f>
        <v>44580</v>
      </c>
      <c r="H7" s="365">
        <f>SUMIF(59:59,YEAR(G7)&amp;"-"&amp;MONTH(G7),60:60)</f>
        <v>100</v>
      </c>
      <c r="I7" s="366">
        <f>研发案例!Q11</f>
        <v>44740</v>
      </c>
      <c r="J7" s="365">
        <f>SUMIF(59:59,YEAR(I7)&amp;"-"&amp;MONTH(I7),60:60)</f>
        <v>100</v>
      </c>
      <c r="K7" s="560"/>
      <c r="L7" s="2713"/>
      <c r="M7" s="2714"/>
      <c r="N7" s="2714"/>
      <c r="O7" s="2714"/>
      <c r="P7" s="3754" t="s">
        <v>1680</v>
      </c>
      <c r="Q7" s="3755"/>
      <c r="R7" s="701" t="s">
        <v>14</v>
      </c>
      <c r="S7" s="702">
        <f t="shared" ref="S7:S15" si="0">F7</f>
        <v>100</v>
      </c>
      <c r="T7" s="701" t="s">
        <v>14</v>
      </c>
      <c r="U7" s="702">
        <f t="shared" ref="U7:U15" si="1">H7</f>
        <v>100</v>
      </c>
      <c r="V7" s="701" t="s">
        <v>14</v>
      </c>
      <c r="W7" s="702">
        <f t="shared" ref="W7:W15" si="2">J7</f>
        <v>100</v>
      </c>
      <c r="X7" s="703"/>
      <c r="Y7" s="3722" t="s">
        <v>1680</v>
      </c>
      <c r="Z7" s="3723"/>
      <c r="AA7" s="704">
        <f>D7/F7</f>
        <v>1</v>
      </c>
      <c r="AB7" s="704">
        <f>D7/H7</f>
        <v>1</v>
      </c>
      <c r="AC7" s="1958">
        <f>D7/J7</f>
        <v>1</v>
      </c>
    </row>
    <row r="8" spans="1:29" s="108" customFormat="1" ht="15.75" thickBot="1">
      <c r="A8" s="362" t="s">
        <v>1681</v>
      </c>
      <c r="B8" s="363"/>
      <c r="C8" s="368" t="s">
        <v>4014</v>
      </c>
      <c r="D8" s="365">
        <v>100</v>
      </c>
      <c r="E8" s="368" t="s">
        <v>4014</v>
      </c>
      <c r="F8" s="367">
        <f>SUMIF(62:62,E8,63:63)-SUMIF(62:62,C8,63:63)+100</f>
        <v>100</v>
      </c>
      <c r="G8" s="368" t="s">
        <v>4014</v>
      </c>
      <c r="H8" s="365">
        <f>SUMIF(62:62,G8,63:63)-SUMIF(62:62,C8,63:63)+100</f>
        <v>100</v>
      </c>
      <c r="I8" s="368" t="s">
        <v>4014</v>
      </c>
      <c r="J8" s="365">
        <f>SUMIF(62:62,I8,63:63)-SUMIF(62:62,C8,63:63)+100</f>
        <v>100</v>
      </c>
      <c r="K8" s="560"/>
      <c r="L8" s="2713"/>
      <c r="M8" s="2714"/>
      <c r="N8" s="2714"/>
      <c r="O8" s="2714"/>
      <c r="P8" s="3754"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8">
        <f t="shared" ref="AC8:AC47" si="5">D8/J8</f>
        <v>1</v>
      </c>
    </row>
    <row r="9" spans="1:29" s="108" customFormat="1" ht="15">
      <c r="A9" s="369" t="s">
        <v>1684</v>
      </c>
      <c r="B9" s="63" t="s">
        <v>1685</v>
      </c>
      <c r="C9" s="3533" t="s">
        <v>4015</v>
      </c>
      <c r="D9" s="126">
        <v>100</v>
      </c>
      <c r="E9" s="373" t="s">
        <v>3</v>
      </c>
      <c r="F9" s="126">
        <f>SUMIF(64:64,E9,65:65)-SUMIF(64:64,C9,65:65)+100</f>
        <v>95</v>
      </c>
      <c r="G9" s="373" t="s">
        <v>3</v>
      </c>
      <c r="H9" s="126">
        <f>SUMIF(64:64,G9,65:65)-SUMIF(64:64,C9,65:65)+100</f>
        <v>95</v>
      </c>
      <c r="I9" s="371" t="s">
        <v>21</v>
      </c>
      <c r="J9" s="126">
        <f>SUMIF(64:64,I9,65:65)-SUMIF(64:64,C9,65:65)+100</f>
        <v>110</v>
      </c>
      <c r="K9" s="560"/>
      <c r="L9" s="2713"/>
      <c r="M9" s="2714"/>
      <c r="N9" s="2714"/>
      <c r="O9" s="2714"/>
      <c r="P9" s="3736" t="s">
        <v>1686</v>
      </c>
      <c r="Q9" s="1342" t="str">
        <f t="shared" ref="Q9:Q15" si="6">B9</f>
        <v>用途</v>
      </c>
      <c r="R9" s="701" t="s">
        <v>14</v>
      </c>
      <c r="S9" s="702">
        <f t="shared" si="0"/>
        <v>95</v>
      </c>
      <c r="T9" s="701" t="s">
        <v>14</v>
      </c>
      <c r="U9" s="702">
        <f t="shared" si="1"/>
        <v>95</v>
      </c>
      <c r="V9" s="701" t="s">
        <v>14</v>
      </c>
      <c r="W9" s="702">
        <f t="shared" si="2"/>
        <v>110</v>
      </c>
      <c r="X9" s="703"/>
      <c r="Y9" s="3695" t="s">
        <v>1687</v>
      </c>
      <c r="Z9" s="52" t="str">
        <f t="shared" ref="Z9:Z15" si="7">Q9</f>
        <v>用途</v>
      </c>
      <c r="AA9" s="704">
        <f t="shared" si="3"/>
        <v>1.0526315789473684</v>
      </c>
      <c r="AB9" s="704">
        <f t="shared" si="4"/>
        <v>1.0526315789473684</v>
      </c>
      <c r="AC9" s="1958">
        <f t="shared" si="5"/>
        <v>0.90909090909090906</v>
      </c>
    </row>
    <row r="10" spans="1:29" s="378" customFormat="1" ht="27">
      <c r="A10" s="374"/>
      <c r="B10" s="375" t="s">
        <v>1688</v>
      </c>
      <c r="C10" s="3430" t="s">
        <v>4003</v>
      </c>
      <c r="D10" s="127">
        <v>100</v>
      </c>
      <c r="E10" s="3430" t="s">
        <v>4003</v>
      </c>
      <c r="F10" s="127">
        <f>SUMIF(66:66,E10,67:67)-SUMIF(66:66,C10,67:67)+100</f>
        <v>100</v>
      </c>
      <c r="G10" s="3430" t="s">
        <v>4003</v>
      </c>
      <c r="H10" s="127">
        <f>SUMIF(66:66,G10,67:67)-SUMIF(66:66,C10,67:67)+100</f>
        <v>100</v>
      </c>
      <c r="I10" s="3430" t="s">
        <v>4018</v>
      </c>
      <c r="J10" s="127">
        <f>SUMIF(66:66,I10,67:67)-SUMIF(66:66,C10,67:67)+100</f>
        <v>102</v>
      </c>
      <c r="K10" s="560"/>
      <c r="L10" s="2715"/>
      <c r="M10" s="2716"/>
      <c r="N10" s="2716"/>
      <c r="O10" s="2716"/>
      <c r="P10" s="3736"/>
      <c r="Q10" s="1342" t="str">
        <f t="shared" si="6"/>
        <v>土地使用年限（年）</v>
      </c>
      <c r="R10" s="701" t="s">
        <v>14</v>
      </c>
      <c r="S10" s="702">
        <f t="shared" si="0"/>
        <v>100</v>
      </c>
      <c r="T10" s="701" t="s">
        <v>14</v>
      </c>
      <c r="U10" s="702">
        <f t="shared" si="1"/>
        <v>100</v>
      </c>
      <c r="V10" s="701" t="s">
        <v>14</v>
      </c>
      <c r="W10" s="702">
        <f t="shared" si="2"/>
        <v>102</v>
      </c>
      <c r="X10" s="703"/>
      <c r="Y10" s="3695"/>
      <c r="Z10" s="52" t="str">
        <f t="shared" si="7"/>
        <v>土地使用年限（年）</v>
      </c>
      <c r="AA10" s="704">
        <f t="shared" si="3"/>
        <v>1</v>
      </c>
      <c r="AB10" s="704">
        <f t="shared" si="4"/>
        <v>1</v>
      </c>
      <c r="AC10" s="1958">
        <f t="shared" si="5"/>
        <v>0.98039215686274506</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36"/>
      <c r="Q11" s="1342" t="str">
        <f t="shared" si="6"/>
        <v>容积率</v>
      </c>
      <c r="R11" s="701" t="s">
        <v>14</v>
      </c>
      <c r="S11" s="702">
        <f t="shared" si="0"/>
        <v>100</v>
      </c>
      <c r="T11" s="701" t="s">
        <v>14</v>
      </c>
      <c r="U11" s="702">
        <f t="shared" si="1"/>
        <v>100</v>
      </c>
      <c r="V11" s="701" t="s">
        <v>14</v>
      </c>
      <c r="W11" s="702">
        <f t="shared" si="2"/>
        <v>100</v>
      </c>
      <c r="X11" s="703"/>
      <c r="Y11" s="3695"/>
      <c r="Z11" s="52" t="str">
        <f t="shared" si="7"/>
        <v>容积率</v>
      </c>
      <c r="AA11" s="704">
        <f t="shared" si="3"/>
        <v>1</v>
      </c>
      <c r="AB11" s="704">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736"/>
      <c r="Q12" s="1342">
        <f t="shared" si="6"/>
        <v>111</v>
      </c>
      <c r="R12" s="701" t="s">
        <v>14</v>
      </c>
      <c r="S12" s="702">
        <f t="shared" si="0"/>
        <v>100</v>
      </c>
      <c r="T12" s="701" t="s">
        <v>14</v>
      </c>
      <c r="U12" s="702">
        <f t="shared" si="1"/>
        <v>100</v>
      </c>
      <c r="V12" s="701" t="s">
        <v>14</v>
      </c>
      <c r="W12" s="702">
        <f t="shared" si="2"/>
        <v>100</v>
      </c>
      <c r="X12" s="703"/>
      <c r="Y12" s="3695"/>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736"/>
      <c r="Q13" s="1342">
        <f t="shared" si="6"/>
        <v>111</v>
      </c>
      <c r="R13" s="701" t="s">
        <v>14</v>
      </c>
      <c r="S13" s="702">
        <f t="shared" si="0"/>
        <v>100</v>
      </c>
      <c r="T13" s="701" t="s">
        <v>14</v>
      </c>
      <c r="U13" s="702">
        <f t="shared" si="1"/>
        <v>100</v>
      </c>
      <c r="V13" s="701" t="s">
        <v>14</v>
      </c>
      <c r="W13" s="702">
        <f t="shared" si="2"/>
        <v>100</v>
      </c>
      <c r="X13" s="703"/>
      <c r="Y13" s="3695"/>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736"/>
      <c r="Q14" s="1342">
        <f t="shared" si="6"/>
        <v>111</v>
      </c>
      <c r="R14" s="701" t="s">
        <v>14</v>
      </c>
      <c r="S14" s="702">
        <f t="shared" si="0"/>
        <v>100</v>
      </c>
      <c r="T14" s="701" t="s">
        <v>14</v>
      </c>
      <c r="U14" s="702">
        <f t="shared" si="1"/>
        <v>100</v>
      </c>
      <c r="V14" s="701" t="s">
        <v>14</v>
      </c>
      <c r="W14" s="702">
        <f t="shared" si="2"/>
        <v>100</v>
      </c>
      <c r="X14" s="703"/>
      <c r="Y14" s="3695"/>
      <c r="Z14" s="52">
        <f t="shared" si="7"/>
        <v>111</v>
      </c>
      <c r="AA14" s="704">
        <f t="shared" si="3"/>
        <v>1</v>
      </c>
      <c r="AB14" s="704">
        <f t="shared" si="4"/>
        <v>1</v>
      </c>
      <c r="AC14" s="1958">
        <f t="shared" si="5"/>
        <v>1</v>
      </c>
    </row>
    <row r="15" spans="1:29" ht="15">
      <c r="A15" s="391" t="s">
        <v>1690</v>
      </c>
      <c r="B15" s="577" t="s">
        <v>1811</v>
      </c>
      <c r="C15" s="1960" t="str">
        <f>估价对象房地状况!C5</f>
        <v>一般</v>
      </c>
      <c r="D15" s="392">
        <v>100</v>
      </c>
      <c r="E15" s="395" t="s">
        <v>3406</v>
      </c>
      <c r="F15" s="392">
        <f>SUMIF(77:77,E16,78:78)-SUMIF(77:77,C16,78:78)+100</f>
        <v>100</v>
      </c>
      <c r="G15" s="395" t="s">
        <v>3406</v>
      </c>
      <c r="H15" s="392">
        <f>SUMIF(77:77,G16,78:78)-SUMIF(77:77,C16,78:78)+100</f>
        <v>100</v>
      </c>
      <c r="I15" s="395" t="s">
        <v>3406</v>
      </c>
      <c r="J15" s="392">
        <f>SUMIF(77:77,I16,78:78)-SUMIF(77:77,C16,78:78)+100</f>
        <v>100</v>
      </c>
      <c r="K15" s="563">
        <v>2</v>
      </c>
      <c r="L15" s="2718"/>
      <c r="M15" s="2712"/>
      <c r="N15" s="2712"/>
      <c r="O15" s="2712"/>
      <c r="P15" s="3756" t="s">
        <v>1691</v>
      </c>
      <c r="Q15" s="1351" t="str">
        <f t="shared" si="6"/>
        <v>办公集聚程度</v>
      </c>
      <c r="R15" s="705" t="s">
        <v>14</v>
      </c>
      <c r="S15" s="706">
        <f t="shared" si="0"/>
        <v>100</v>
      </c>
      <c r="T15" s="705" t="s">
        <v>14</v>
      </c>
      <c r="U15" s="706">
        <f t="shared" si="1"/>
        <v>100</v>
      </c>
      <c r="V15" s="705" t="s">
        <v>14</v>
      </c>
      <c r="W15" s="706">
        <f t="shared" si="2"/>
        <v>100</v>
      </c>
      <c r="X15" s="1354"/>
      <c r="Y15" s="3758" t="s">
        <v>1691</v>
      </c>
      <c r="Z15" s="1355" t="str">
        <f t="shared" si="7"/>
        <v>办公集聚程度</v>
      </c>
      <c r="AA15" s="1352">
        <f t="shared" si="3"/>
        <v>1</v>
      </c>
      <c r="AB15" s="1352">
        <f t="shared" si="4"/>
        <v>1</v>
      </c>
      <c r="AC15" s="1961">
        <f t="shared" si="5"/>
        <v>1</v>
      </c>
    </row>
    <row r="16" spans="1:29" ht="15">
      <c r="A16" s="379"/>
      <c r="B16" s="578"/>
      <c r="C16" s="1903" t="s">
        <v>3406</v>
      </c>
      <c r="D16" s="399"/>
      <c r="E16" s="398" t="s">
        <v>3406</v>
      </c>
      <c r="F16" s="399"/>
      <c r="G16" s="398" t="s">
        <v>3406</v>
      </c>
      <c r="H16" s="401"/>
      <c r="I16" s="398" t="s">
        <v>3406</v>
      </c>
      <c r="J16" s="399"/>
      <c r="K16" s="564"/>
      <c r="L16" s="2718"/>
      <c r="M16" s="2712"/>
      <c r="N16" s="2712"/>
      <c r="O16" s="2712"/>
      <c r="P16" s="3757"/>
      <c r="Q16" s="1351"/>
      <c r="R16" s="705"/>
      <c r="S16" s="706"/>
      <c r="T16" s="705"/>
      <c r="U16" s="706"/>
      <c r="V16" s="705"/>
      <c r="W16" s="706"/>
      <c r="X16" s="1354"/>
      <c r="Y16" s="3759"/>
      <c r="Z16" s="1355"/>
      <c r="AA16" s="1352">
        <v>1</v>
      </c>
      <c r="AB16" s="1352">
        <v>1</v>
      </c>
      <c r="AC16" s="1961">
        <v>1</v>
      </c>
    </row>
    <row r="17" spans="1:29" ht="15">
      <c r="A17" s="379"/>
      <c r="B17" s="579" t="s">
        <v>1259</v>
      </c>
      <c r="C17" s="1962" t="str">
        <f>估价对象房地状况!C6</f>
        <v>一般</v>
      </c>
      <c r="D17" s="401">
        <v>100</v>
      </c>
      <c r="E17" s="405" t="s">
        <v>3406</v>
      </c>
      <c r="F17" s="401">
        <f>SUMIF(79:79,E18,80:80)-SUMIF(79:79,C18,80:80)+100</f>
        <v>100</v>
      </c>
      <c r="G17" s="405" t="s">
        <v>3406</v>
      </c>
      <c r="H17" s="406">
        <f>SUMIF(79:79,G18,80:80)-SUMIF(79:79,C18,80:80)+100</f>
        <v>100</v>
      </c>
      <c r="I17" s="405" t="s">
        <v>3406</v>
      </c>
      <c r="J17" s="406">
        <f>SUMIF(79:79,I18,80:80)-SUMIF(79:79,C18,80:80)+100</f>
        <v>100</v>
      </c>
      <c r="K17" s="563">
        <v>2</v>
      </c>
      <c r="L17" s="2718"/>
      <c r="M17" s="2712"/>
      <c r="N17" s="2712"/>
      <c r="O17" s="2712"/>
      <c r="P17" s="3757"/>
      <c r="Q17" s="1351" t="str">
        <f>B17</f>
        <v>交通便捷度</v>
      </c>
      <c r="R17" s="705" t="s">
        <v>14</v>
      </c>
      <c r="S17" s="706">
        <f>F17</f>
        <v>100</v>
      </c>
      <c r="T17" s="705" t="s">
        <v>14</v>
      </c>
      <c r="U17" s="706">
        <f>H17</f>
        <v>100</v>
      </c>
      <c r="V17" s="705" t="s">
        <v>14</v>
      </c>
      <c r="W17" s="706">
        <f>J17</f>
        <v>100</v>
      </c>
      <c r="X17" s="1354"/>
      <c r="Y17" s="3759"/>
      <c r="Z17" s="1355" t="str">
        <f>Q17</f>
        <v>交通便捷度</v>
      </c>
      <c r="AA17" s="1352">
        <f t="shared" si="3"/>
        <v>1</v>
      </c>
      <c r="AB17" s="1352">
        <f t="shared" si="4"/>
        <v>1</v>
      </c>
      <c r="AC17" s="1961">
        <f t="shared" si="5"/>
        <v>1</v>
      </c>
    </row>
    <row r="18" spans="1:29" ht="15">
      <c r="A18" s="379"/>
      <c r="B18" s="580"/>
      <c r="C18" s="1963" t="s">
        <v>3406</v>
      </c>
      <c r="D18" s="401"/>
      <c r="E18" s="1901" t="s">
        <v>3406</v>
      </c>
      <c r="F18" s="401"/>
      <c r="G18" s="1901" t="s">
        <v>3406</v>
      </c>
      <c r="H18" s="399"/>
      <c r="I18" s="1901" t="s">
        <v>3406</v>
      </c>
      <c r="J18" s="399"/>
      <c r="K18" s="564"/>
      <c r="L18" s="2718"/>
      <c r="M18" s="2712"/>
      <c r="N18" s="2712"/>
      <c r="O18" s="2712"/>
      <c r="P18" s="3757"/>
      <c r="Q18" s="1351"/>
      <c r="R18" s="705"/>
      <c r="S18" s="706"/>
      <c r="T18" s="705"/>
      <c r="U18" s="706"/>
      <c r="V18" s="705"/>
      <c r="W18" s="706"/>
      <c r="X18" s="1354"/>
      <c r="Y18" s="3759"/>
      <c r="Z18" s="1355"/>
      <c r="AA18" s="1352">
        <v>1</v>
      </c>
      <c r="AB18" s="1352">
        <v>1</v>
      </c>
      <c r="AC18" s="1961">
        <v>1</v>
      </c>
    </row>
    <row r="19" spans="1:29" ht="15">
      <c r="A19" s="379"/>
      <c r="B19" s="579" t="s">
        <v>1812</v>
      </c>
      <c r="C19" s="1962" t="str">
        <f>估价对象房地状况!C7</f>
        <v>一般</v>
      </c>
      <c r="D19" s="406">
        <v>100</v>
      </c>
      <c r="E19" s="410" t="s">
        <v>3406</v>
      </c>
      <c r="F19" s="406">
        <f>SUMIF(81:81,E20,82:82)-SUMIF(81:81,C20,82:82)+100</f>
        <v>100</v>
      </c>
      <c r="G19" s="410" t="s">
        <v>3406</v>
      </c>
      <c r="H19" s="401">
        <f>SUMIF(81:81,G20,82:82)-SUMIF(81:81,C20,82:82)+100</f>
        <v>100</v>
      </c>
      <c r="I19" s="410" t="s">
        <v>3406</v>
      </c>
      <c r="J19" s="401">
        <f>SUMIF(81:81,I20,82:82)-SUMIF(81:81,C20,82:82)+100</f>
        <v>100</v>
      </c>
      <c r="K19" s="563">
        <v>2</v>
      </c>
      <c r="L19" s="2718"/>
      <c r="M19" s="2712"/>
      <c r="N19" s="2712"/>
      <c r="O19" s="2712"/>
      <c r="P19" s="3757"/>
      <c r="Q19" s="1351" t="str">
        <f>B19</f>
        <v>公共配套设施</v>
      </c>
      <c r="R19" s="705" t="s">
        <v>14</v>
      </c>
      <c r="S19" s="706">
        <f>F19</f>
        <v>100</v>
      </c>
      <c r="T19" s="705" t="s">
        <v>14</v>
      </c>
      <c r="U19" s="706">
        <f>H19</f>
        <v>100</v>
      </c>
      <c r="V19" s="705" t="s">
        <v>14</v>
      </c>
      <c r="W19" s="706">
        <f>J19</f>
        <v>100</v>
      </c>
      <c r="X19" s="1354"/>
      <c r="Y19" s="3759"/>
      <c r="Z19" s="1355" t="str">
        <f>Q19</f>
        <v>公共配套设施</v>
      </c>
      <c r="AA19" s="1352">
        <f t="shared" si="3"/>
        <v>1</v>
      </c>
      <c r="AB19" s="1352">
        <f t="shared" si="4"/>
        <v>1</v>
      </c>
      <c r="AC19" s="1961">
        <f t="shared" si="5"/>
        <v>1</v>
      </c>
    </row>
    <row r="20" spans="1:29" ht="15">
      <c r="A20" s="379"/>
      <c r="B20" s="580"/>
      <c r="C20" s="1903" t="s">
        <v>3406</v>
      </c>
      <c r="D20" s="399"/>
      <c r="E20" s="1896" t="s">
        <v>3406</v>
      </c>
      <c r="F20" s="399"/>
      <c r="G20" s="1896" t="s">
        <v>3406</v>
      </c>
      <c r="H20" s="399"/>
      <c r="I20" s="1896" t="s">
        <v>3406</v>
      </c>
      <c r="J20" s="399"/>
      <c r="K20" s="564"/>
      <c r="L20" s="2718"/>
      <c r="M20" s="2712"/>
      <c r="N20" s="2712"/>
      <c r="O20" s="2712"/>
      <c r="P20" s="3757"/>
      <c r="Q20" s="1351"/>
      <c r="R20" s="705"/>
      <c r="S20" s="706"/>
      <c r="T20" s="705"/>
      <c r="U20" s="706"/>
      <c r="V20" s="705"/>
      <c r="W20" s="706"/>
      <c r="X20" s="1354"/>
      <c r="Y20" s="3759"/>
      <c r="Z20" s="1355"/>
      <c r="AA20" s="1352">
        <v>1</v>
      </c>
      <c r="AB20" s="1352">
        <v>1</v>
      </c>
      <c r="AC20" s="1961">
        <v>1</v>
      </c>
    </row>
    <row r="21" spans="1:29" ht="15">
      <c r="A21" s="379"/>
      <c r="B21" s="581" t="s">
        <v>1813</v>
      </c>
      <c r="C21" s="1962" t="str">
        <f>估价对象房地状况!C8</f>
        <v>七通</v>
      </c>
      <c r="D21" s="401">
        <v>100</v>
      </c>
      <c r="E21" s="410" t="s">
        <v>3595</v>
      </c>
      <c r="F21" s="406">
        <f>SUMIF(83:83,E22,84:84)-SUMIF(83:83,C22,84:84)+100</f>
        <v>100</v>
      </c>
      <c r="G21" s="410" t="s">
        <v>3595</v>
      </c>
      <c r="H21" s="401">
        <f>SUMIF(83:83,G22,84:84)-SUMIF(83:83,C22,84:84)+100</f>
        <v>100</v>
      </c>
      <c r="I21" s="410" t="s">
        <v>3595</v>
      </c>
      <c r="J21" s="401">
        <f>SUMIF(83:83,I22,84:84)-SUMIF(83:83,C22,84:84)+100</f>
        <v>100</v>
      </c>
      <c r="K21" s="563">
        <v>1</v>
      </c>
      <c r="L21" s="2718"/>
      <c r="M21" s="2712"/>
      <c r="N21" s="2712"/>
      <c r="O21" s="2712"/>
      <c r="P21" s="3757"/>
      <c r="Q21" s="1351" t="str">
        <f>B21</f>
        <v>基础设施水平</v>
      </c>
      <c r="R21" s="705" t="s">
        <v>14</v>
      </c>
      <c r="S21" s="706">
        <f>F21</f>
        <v>100</v>
      </c>
      <c r="T21" s="705" t="s">
        <v>14</v>
      </c>
      <c r="U21" s="706">
        <f>H21</f>
        <v>100</v>
      </c>
      <c r="V21" s="705" t="s">
        <v>14</v>
      </c>
      <c r="W21" s="706">
        <f>J21</f>
        <v>100</v>
      </c>
      <c r="X21" s="1354"/>
      <c r="Y21" s="3759"/>
      <c r="Z21" s="1355" t="str">
        <f>Q21</f>
        <v>基础设施水平</v>
      </c>
      <c r="AA21" s="1352">
        <f t="shared" ref="AA21" si="8">D21/F21</f>
        <v>1</v>
      </c>
      <c r="AB21" s="1352">
        <f t="shared" ref="AB21" si="9">D21/H21</f>
        <v>1</v>
      </c>
      <c r="AC21" s="1961">
        <f t="shared" ref="AC21" si="10">D21/J21</f>
        <v>1</v>
      </c>
    </row>
    <row r="22" spans="1:29" ht="15">
      <c r="A22" s="379"/>
      <c r="B22" s="581"/>
      <c r="C22" s="1963" t="s">
        <v>3595</v>
      </c>
      <c r="D22" s="399"/>
      <c r="E22" s="398" t="s">
        <v>3595</v>
      </c>
      <c r="F22" s="399"/>
      <c r="G22" s="398" t="s">
        <v>3595</v>
      </c>
      <c r="H22" s="399"/>
      <c r="I22" s="398" t="s">
        <v>3595</v>
      </c>
      <c r="J22" s="399"/>
      <c r="K22" s="1130"/>
      <c r="L22" s="2718"/>
      <c r="M22" s="2712"/>
      <c r="N22" s="2712"/>
      <c r="O22" s="2712"/>
      <c r="P22" s="3757"/>
      <c r="Q22" s="1351"/>
      <c r="R22" s="705"/>
      <c r="S22" s="706"/>
      <c r="T22" s="705"/>
      <c r="U22" s="706"/>
      <c r="V22" s="705"/>
      <c r="W22" s="706"/>
      <c r="X22" s="1354"/>
      <c r="Y22" s="3759"/>
      <c r="Z22" s="1355"/>
      <c r="AA22" s="1352">
        <v>1</v>
      </c>
      <c r="AB22" s="1352">
        <v>1</v>
      </c>
      <c r="AC22" s="1961">
        <v>1</v>
      </c>
    </row>
    <row r="23" spans="1:29" ht="15">
      <c r="A23" s="379"/>
      <c r="B23" s="579" t="s">
        <v>1814</v>
      </c>
      <c r="C23" s="1962" t="str">
        <f>估价对象房地状况!C9</f>
        <v>较好</v>
      </c>
      <c r="D23" s="401">
        <v>100</v>
      </c>
      <c r="E23" s="405" t="s">
        <v>3413</v>
      </c>
      <c r="F23" s="401">
        <f>SUMIF(85:85,E24,86:86)-SUMIF(85:85,C24,86:86)+100</f>
        <v>100</v>
      </c>
      <c r="G23" s="405" t="s">
        <v>3413</v>
      </c>
      <c r="H23" s="401">
        <f>SUMIF(85:85,G24,86:86)-SUMIF(85:85,C24,86:86)+100</f>
        <v>100</v>
      </c>
      <c r="I23" s="405" t="s">
        <v>3413</v>
      </c>
      <c r="J23" s="401">
        <f>SUMIF(85:85,I24,86:86)-SUMIF(85:85,C24,86:86)+100</f>
        <v>100</v>
      </c>
      <c r="K23" s="563">
        <v>2</v>
      </c>
      <c r="L23" s="2718"/>
      <c r="M23" s="2712"/>
      <c r="N23" s="2712"/>
      <c r="O23" s="2712"/>
      <c r="P23" s="3757"/>
      <c r="Q23" s="1351" t="str">
        <f>B23</f>
        <v>环境质量</v>
      </c>
      <c r="R23" s="705" t="s">
        <v>14</v>
      </c>
      <c r="S23" s="706">
        <f>F23</f>
        <v>100</v>
      </c>
      <c r="T23" s="705" t="s">
        <v>14</v>
      </c>
      <c r="U23" s="706">
        <f>H23</f>
        <v>100</v>
      </c>
      <c r="V23" s="705" t="s">
        <v>14</v>
      </c>
      <c r="W23" s="706">
        <f>J23</f>
        <v>100</v>
      </c>
      <c r="X23" s="1354"/>
      <c r="Y23" s="3759"/>
      <c r="Z23" s="1355" t="str">
        <f>Q23</f>
        <v>环境质量</v>
      </c>
      <c r="AA23" s="1352">
        <f t="shared" si="3"/>
        <v>1</v>
      </c>
      <c r="AB23" s="1352">
        <f t="shared" si="4"/>
        <v>1</v>
      </c>
      <c r="AC23" s="1961">
        <f t="shared" si="5"/>
        <v>1</v>
      </c>
    </row>
    <row r="24" spans="1:29" ht="15.75" thickBot="1">
      <c r="A24" s="379"/>
      <c r="B24" s="581"/>
      <c r="C24" s="1903" t="s">
        <v>3413</v>
      </c>
      <c r="D24" s="399"/>
      <c r="E24" s="1896" t="s">
        <v>3413</v>
      </c>
      <c r="F24" s="399"/>
      <c r="G24" s="1896" t="s">
        <v>3413</v>
      </c>
      <c r="H24" s="399"/>
      <c r="I24" s="1896" t="s">
        <v>3413</v>
      </c>
      <c r="J24" s="399"/>
      <c r="K24" s="564"/>
      <c r="L24" s="2718"/>
      <c r="M24" s="2712"/>
      <c r="N24" s="2712"/>
      <c r="O24" s="2712"/>
      <c r="P24" s="3757"/>
      <c r="Q24" s="1351"/>
      <c r="R24" s="705"/>
      <c r="S24" s="706"/>
      <c r="T24" s="705"/>
      <c r="U24" s="706"/>
      <c r="V24" s="705"/>
      <c r="W24" s="706"/>
      <c r="X24" s="1354"/>
      <c r="Y24" s="3759"/>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57"/>
      <c r="Q25" s="1351" t="str">
        <f>B25</f>
        <v>毗邻道路的类型与等级</v>
      </c>
      <c r="R25" s="705" t="s">
        <v>14</v>
      </c>
      <c r="S25" s="706">
        <f>F25</f>
        <v>100</v>
      </c>
      <c r="T25" s="705" t="s">
        <v>14</v>
      </c>
      <c r="U25" s="706">
        <f>H25</f>
        <v>100</v>
      </c>
      <c r="V25" s="705" t="s">
        <v>14</v>
      </c>
      <c r="W25" s="706">
        <f>J25</f>
        <v>100</v>
      </c>
      <c r="X25" s="1354"/>
      <c r="Y25" s="3759"/>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18"/>
      <c r="M26" s="2712"/>
      <c r="N26" s="2712"/>
      <c r="O26" s="2712"/>
      <c r="P26" s="3757"/>
      <c r="Q26" s="1351"/>
      <c r="R26" s="705"/>
      <c r="S26" s="706"/>
      <c r="T26" s="705"/>
      <c r="U26" s="706"/>
      <c r="V26" s="705"/>
      <c r="W26" s="706"/>
      <c r="X26" s="1354"/>
      <c r="Y26" s="3759"/>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57"/>
      <c r="Q27" s="1351" t="str">
        <f t="shared" ref="Q27:Q47" si="11">B27</f>
        <v>楼层</v>
      </c>
      <c r="R27" s="705" t="s">
        <v>14</v>
      </c>
      <c r="S27" s="706">
        <f>F27</f>
        <v>100</v>
      </c>
      <c r="T27" s="705" t="s">
        <v>14</v>
      </c>
      <c r="U27" s="706">
        <f>H27</f>
        <v>100</v>
      </c>
      <c r="V27" s="705" t="s">
        <v>14</v>
      </c>
      <c r="W27" s="706">
        <f>J27</f>
        <v>100</v>
      </c>
      <c r="X27" s="1354"/>
      <c r="Y27" s="3759"/>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757"/>
      <c r="Q28" s="1342" t="str">
        <f t="shared" si="11"/>
        <v>朝向</v>
      </c>
      <c r="R28" s="701" t="s">
        <v>14</v>
      </c>
      <c r="S28" s="702">
        <f>F28</f>
        <v>100</v>
      </c>
      <c r="T28" s="701" t="s">
        <v>14</v>
      </c>
      <c r="U28" s="702">
        <f>H28</f>
        <v>100</v>
      </c>
      <c r="V28" s="701" t="s">
        <v>14</v>
      </c>
      <c r="W28" s="702">
        <f>J28</f>
        <v>100</v>
      </c>
      <c r="X28" s="703"/>
      <c r="Y28" s="3759"/>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757"/>
      <c r="Q29" s="1351">
        <f t="shared" si="11"/>
        <v>111</v>
      </c>
      <c r="R29" s="705" t="s">
        <v>14</v>
      </c>
      <c r="S29" s="706">
        <f t="shared" ref="S29:S47" si="12">F29</f>
        <v>100</v>
      </c>
      <c r="T29" s="705" t="s">
        <v>14</v>
      </c>
      <c r="U29" s="706">
        <f t="shared" ref="U29:U47" si="13">H29</f>
        <v>100</v>
      </c>
      <c r="V29" s="705" t="s">
        <v>14</v>
      </c>
      <c r="W29" s="706">
        <f t="shared" ref="W29:W47" si="14">J29</f>
        <v>100</v>
      </c>
      <c r="X29" s="1354"/>
      <c r="Y29" s="3759"/>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757"/>
      <c r="Q30" s="1351">
        <f t="shared" si="11"/>
        <v>111</v>
      </c>
      <c r="R30" s="705" t="s">
        <v>14</v>
      </c>
      <c r="S30" s="706">
        <f t="shared" si="12"/>
        <v>100</v>
      </c>
      <c r="T30" s="705" t="s">
        <v>14</v>
      </c>
      <c r="U30" s="706">
        <f t="shared" si="13"/>
        <v>100</v>
      </c>
      <c r="V30" s="705" t="s">
        <v>14</v>
      </c>
      <c r="W30" s="706">
        <f t="shared" si="14"/>
        <v>100</v>
      </c>
      <c r="X30" s="1354"/>
      <c r="Y30" s="3759"/>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757"/>
      <c r="Q31" s="1351">
        <f t="shared" si="11"/>
        <v>111</v>
      </c>
      <c r="R31" s="705" t="s">
        <v>14</v>
      </c>
      <c r="S31" s="706">
        <f t="shared" si="12"/>
        <v>100</v>
      </c>
      <c r="T31" s="705" t="s">
        <v>14</v>
      </c>
      <c r="U31" s="706">
        <f t="shared" si="13"/>
        <v>100</v>
      </c>
      <c r="V31" s="705" t="s">
        <v>14</v>
      </c>
      <c r="W31" s="706">
        <f t="shared" si="14"/>
        <v>100</v>
      </c>
      <c r="X31" s="1354"/>
      <c r="Y31" s="3759"/>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757"/>
      <c r="Q32" s="1351">
        <f t="shared" si="11"/>
        <v>111</v>
      </c>
      <c r="R32" s="705" t="s">
        <v>14</v>
      </c>
      <c r="S32" s="706">
        <f t="shared" si="12"/>
        <v>100</v>
      </c>
      <c r="T32" s="705" t="s">
        <v>14</v>
      </c>
      <c r="U32" s="706">
        <f t="shared" si="13"/>
        <v>100</v>
      </c>
      <c r="V32" s="705" t="s">
        <v>14</v>
      </c>
      <c r="W32" s="706">
        <f t="shared" si="14"/>
        <v>100</v>
      </c>
      <c r="X32" s="1354"/>
      <c r="Y32" s="3759"/>
      <c r="Z32" s="1355">
        <f t="shared" si="15"/>
        <v>111</v>
      </c>
      <c r="AA32" s="1352">
        <f t="shared" si="3"/>
        <v>1</v>
      </c>
      <c r="AB32" s="1352">
        <f t="shared" si="4"/>
        <v>1</v>
      </c>
      <c r="AC32" s="1961">
        <f t="shared" si="5"/>
        <v>1</v>
      </c>
    </row>
    <row r="33" spans="1:29" ht="15">
      <c r="A33" s="391" t="s">
        <v>1694</v>
      </c>
      <c r="B33" s="63" t="s">
        <v>1817</v>
      </c>
      <c r="C33" s="1966" t="s">
        <v>4000</v>
      </c>
      <c r="D33" s="418">
        <v>100</v>
      </c>
      <c r="E33" s="1966" t="s">
        <v>4000</v>
      </c>
      <c r="F33" s="412">
        <f>SUMIF(101:101,E33,102:102)-SUMIF(101:101,C33,102:102)+100</f>
        <v>100</v>
      </c>
      <c r="G33" s="1966" t="s">
        <v>4000</v>
      </c>
      <c r="H33" s="386">
        <f>SUMIF(101:101,G33,102:102)-SUMIF(101:101,C33,102:102)+100</f>
        <v>100</v>
      </c>
      <c r="I33" s="1966" t="s">
        <v>4000</v>
      </c>
      <c r="J33" s="418">
        <f>SUMIF(101:101,I33,102:102)-SUMIF(101:101,C33,102:102)+100</f>
        <v>100</v>
      </c>
      <c r="K33" s="561">
        <v>5</v>
      </c>
      <c r="L33" s="2718"/>
      <c r="M33" s="2712"/>
      <c r="N33" s="2712"/>
      <c r="O33" s="2712"/>
      <c r="P33" s="3760" t="s">
        <v>1696</v>
      </c>
      <c r="Q33" s="1351" t="str">
        <f t="shared" si="11"/>
        <v>建筑类型</v>
      </c>
      <c r="R33" s="705" t="s">
        <v>14</v>
      </c>
      <c r="S33" s="706">
        <f t="shared" si="12"/>
        <v>100</v>
      </c>
      <c r="T33" s="705" t="s">
        <v>14</v>
      </c>
      <c r="U33" s="706">
        <f t="shared" si="13"/>
        <v>100</v>
      </c>
      <c r="V33" s="705" t="s">
        <v>14</v>
      </c>
      <c r="W33" s="706">
        <f t="shared" si="14"/>
        <v>100</v>
      </c>
      <c r="X33" s="1354"/>
      <c r="Y33" s="3763" t="s">
        <v>1696</v>
      </c>
      <c r="Z33" s="1355" t="str">
        <f t="shared" si="15"/>
        <v>建筑类型</v>
      </c>
      <c r="AA33" s="1352">
        <f t="shared" si="3"/>
        <v>1</v>
      </c>
      <c r="AB33" s="1352">
        <f t="shared" si="4"/>
        <v>1</v>
      </c>
      <c r="AC33" s="1961">
        <f t="shared" si="5"/>
        <v>1</v>
      </c>
    </row>
    <row r="34" spans="1:29" s="422" customFormat="1" ht="15">
      <c r="A34" s="419"/>
      <c r="B34" s="375" t="s">
        <v>1697</v>
      </c>
      <c r="C34" s="420">
        <f>'数据-基础表'!H13</f>
        <v>8153.25</v>
      </c>
      <c r="D34" s="127">
        <v>100</v>
      </c>
      <c r="E34" s="381">
        <f>研发案例!I2</f>
        <v>8593.369999999999</v>
      </c>
      <c r="F34" s="376">
        <f>LOOKUP(E34,104:104,105:105)-LOOKUP(C34,104:104,105:105)+100</f>
        <v>100</v>
      </c>
      <c r="G34" s="380">
        <f>研发案例!I5</f>
        <v>2279.88</v>
      </c>
      <c r="H34" s="127">
        <f>LOOKUP(G34,104:104,105:105)-LOOKUP(C34,104:104,105:105)+100</f>
        <v>104</v>
      </c>
      <c r="I34" s="380">
        <f>研发案例!I11</f>
        <v>2488.9499999999998</v>
      </c>
      <c r="J34" s="127">
        <f>LOOKUP(I34,104:104,105:105)-LOOKUP(C34,104:104,105:105)+100</f>
        <v>104</v>
      </c>
      <c r="K34" s="562"/>
      <c r="L34" s="2717"/>
      <c r="M34" s="2719"/>
      <c r="N34" s="2719"/>
      <c r="O34" s="2719"/>
      <c r="P34" s="3761"/>
      <c r="Q34" s="707" t="str">
        <f t="shared" si="11"/>
        <v>项目建筑规模</v>
      </c>
      <c r="R34" s="708" t="s">
        <v>14</v>
      </c>
      <c r="S34" s="709">
        <f t="shared" si="12"/>
        <v>100</v>
      </c>
      <c r="T34" s="708" t="s">
        <v>14</v>
      </c>
      <c r="U34" s="709">
        <f t="shared" si="13"/>
        <v>104</v>
      </c>
      <c r="V34" s="708" t="s">
        <v>14</v>
      </c>
      <c r="W34" s="709">
        <f t="shared" si="14"/>
        <v>104</v>
      </c>
      <c r="X34" s="710"/>
      <c r="Y34" s="3763"/>
      <c r="Z34" s="711" t="str">
        <f t="shared" si="15"/>
        <v>项目建筑规模</v>
      </c>
      <c r="AA34" s="1352">
        <f t="shared" si="3"/>
        <v>1</v>
      </c>
      <c r="AB34" s="1352">
        <f t="shared" si="4"/>
        <v>0.96153846153846156</v>
      </c>
      <c r="AC34" s="1961">
        <f t="shared" si="5"/>
        <v>0.96153846153846156</v>
      </c>
    </row>
    <row r="35" spans="1:29" ht="15">
      <c r="A35" s="423"/>
      <c r="B35" s="375" t="s">
        <v>1698</v>
      </c>
      <c r="C35" s="411" t="s">
        <v>3425</v>
      </c>
      <c r="D35" s="386">
        <v>100</v>
      </c>
      <c r="E35" s="411" t="s">
        <v>3425</v>
      </c>
      <c r="F35" s="412">
        <f>SUMIF(106:106,E35,107:107)-SUMIF(106:106,C35,107:107)+100</f>
        <v>100</v>
      </c>
      <c r="G35" s="411" t="s">
        <v>3425</v>
      </c>
      <c r="H35" s="386">
        <f>SUMIF(106:106,G35,107:107)-SUMIF(106:106,C35,107:107)+100</f>
        <v>100</v>
      </c>
      <c r="I35" s="411" t="s">
        <v>3425</v>
      </c>
      <c r="J35" s="386">
        <f>SUMIF(106:106,I35,107:107)-SUMIF(106:106,C35,107:107)+100</f>
        <v>100</v>
      </c>
      <c r="K35" s="561">
        <v>2</v>
      </c>
      <c r="L35" s="2718"/>
      <c r="M35" s="2712"/>
      <c r="N35" s="2712"/>
      <c r="O35" s="2712"/>
      <c r="P35" s="3761"/>
      <c r="Q35" s="1351" t="str">
        <f t="shared" si="11"/>
        <v>建筑结构</v>
      </c>
      <c r="R35" s="705" t="s">
        <v>14</v>
      </c>
      <c r="S35" s="706">
        <f t="shared" si="12"/>
        <v>100</v>
      </c>
      <c r="T35" s="705" t="s">
        <v>14</v>
      </c>
      <c r="U35" s="706">
        <f t="shared" si="13"/>
        <v>100</v>
      </c>
      <c r="V35" s="705" t="s">
        <v>14</v>
      </c>
      <c r="W35" s="706">
        <f t="shared" si="14"/>
        <v>100</v>
      </c>
      <c r="X35" s="1354"/>
      <c r="Y35" s="3763"/>
      <c r="Z35" s="1355" t="str">
        <f t="shared" si="15"/>
        <v>建筑结构</v>
      </c>
      <c r="AA35" s="1352">
        <f t="shared" si="3"/>
        <v>1</v>
      </c>
      <c r="AB35" s="1352">
        <f t="shared" si="4"/>
        <v>1</v>
      </c>
      <c r="AC35" s="1961">
        <f t="shared" si="5"/>
        <v>1</v>
      </c>
    </row>
    <row r="36" spans="1:29" ht="15">
      <c r="A36" s="423"/>
      <c r="B36" s="375" t="s">
        <v>1785</v>
      </c>
      <c r="C36" s="411" t="s">
        <v>4006</v>
      </c>
      <c r="D36" s="386">
        <v>100</v>
      </c>
      <c r="E36" s="411" t="s">
        <v>4006</v>
      </c>
      <c r="F36" s="412">
        <f>SUMIF(108:108,E36,109:109)-SUMIF(108:108,C36,109:109)+100</f>
        <v>100</v>
      </c>
      <c r="G36" s="411" t="s">
        <v>4006</v>
      </c>
      <c r="H36" s="386">
        <f>SUMIF(108:108,G36,109:109)-SUMIF(108:108,C36,109:109)+100</f>
        <v>100</v>
      </c>
      <c r="I36" s="411" t="s">
        <v>4006</v>
      </c>
      <c r="J36" s="386">
        <f>SUMIF(108:108,I36,109:109)-SUMIF(108:108,C36,109:109)+100</f>
        <v>100</v>
      </c>
      <c r="K36" s="561">
        <v>2</v>
      </c>
      <c r="L36" s="2718"/>
      <c r="M36" s="2712"/>
      <c r="N36" s="2712"/>
      <c r="O36" s="2712"/>
      <c r="P36" s="3761"/>
      <c r="Q36" s="1351" t="str">
        <f t="shared" si="11"/>
        <v>公共部分装修</v>
      </c>
      <c r="R36" s="705" t="s">
        <v>14</v>
      </c>
      <c r="S36" s="706">
        <f t="shared" si="12"/>
        <v>100</v>
      </c>
      <c r="T36" s="705" t="s">
        <v>14</v>
      </c>
      <c r="U36" s="706">
        <f t="shared" si="13"/>
        <v>100</v>
      </c>
      <c r="V36" s="705" t="s">
        <v>14</v>
      </c>
      <c r="W36" s="706">
        <f t="shared" si="14"/>
        <v>100</v>
      </c>
      <c r="X36" s="1354"/>
      <c r="Y36" s="3763"/>
      <c r="Z36" s="1355" t="str">
        <f t="shared" si="15"/>
        <v>公共部分装修</v>
      </c>
      <c r="AA36" s="1352">
        <f t="shared" si="3"/>
        <v>1</v>
      </c>
      <c r="AB36" s="1352">
        <f t="shared" si="4"/>
        <v>1</v>
      </c>
      <c r="AC36" s="1961">
        <f t="shared" si="5"/>
        <v>1</v>
      </c>
    </row>
    <row r="37" spans="1:29" ht="15">
      <c r="A37" s="423"/>
      <c r="B37" s="375" t="s">
        <v>1786</v>
      </c>
      <c r="C37" s="425">
        <f>'数据-取费表'!N6</f>
        <v>1</v>
      </c>
      <c r="D37" s="386">
        <v>100</v>
      </c>
      <c r="E37" s="425">
        <f>E51</f>
        <v>0.87</v>
      </c>
      <c r="F37" s="412">
        <f>LOOKUP(E37,111:111,112:112)-LOOKUP(C37,111:111,112:112)+100</f>
        <v>99</v>
      </c>
      <c r="G37" s="425">
        <f>E51</f>
        <v>0.87</v>
      </c>
      <c r="H37" s="412">
        <f>LOOKUP(G37,111:111,112:112)-LOOKUP(C37,111:111,112:112)+100</f>
        <v>99</v>
      </c>
      <c r="I37" s="425">
        <f>I51</f>
        <v>0.93</v>
      </c>
      <c r="J37" s="386">
        <f>LOOKUP(I37,111:111,112:112)-LOOKUP(C37,111:111,112:112)+100</f>
        <v>100</v>
      </c>
      <c r="K37" s="561">
        <v>1</v>
      </c>
      <c r="L37" s="2718"/>
      <c r="M37" s="2712"/>
      <c r="N37" s="2712"/>
      <c r="O37" s="2712"/>
      <c r="P37" s="3761"/>
      <c r="Q37" s="1351" t="str">
        <f t="shared" si="11"/>
        <v>成新度</v>
      </c>
      <c r="R37" s="705" t="s">
        <v>14</v>
      </c>
      <c r="S37" s="706">
        <f t="shared" si="12"/>
        <v>99</v>
      </c>
      <c r="T37" s="705" t="s">
        <v>14</v>
      </c>
      <c r="U37" s="706">
        <f t="shared" si="13"/>
        <v>99</v>
      </c>
      <c r="V37" s="705" t="s">
        <v>14</v>
      </c>
      <c r="W37" s="706">
        <f t="shared" si="14"/>
        <v>100</v>
      </c>
      <c r="X37" s="1354"/>
      <c r="Y37" s="3763"/>
      <c r="Z37" s="1355" t="str">
        <f t="shared" si="15"/>
        <v>成新度</v>
      </c>
      <c r="AA37" s="1352">
        <f t="shared" si="3"/>
        <v>1.0101010101010102</v>
      </c>
      <c r="AB37" s="1352">
        <f t="shared" si="4"/>
        <v>1.0101010101010102</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1"/>
      <c r="Q38" s="1342" t="str">
        <f t="shared" si="11"/>
        <v>写字楼等级</v>
      </c>
      <c r="R38" s="701" t="s">
        <v>14</v>
      </c>
      <c r="S38" s="702">
        <f t="shared" si="12"/>
        <v>100</v>
      </c>
      <c r="T38" s="701" t="s">
        <v>14</v>
      </c>
      <c r="U38" s="702">
        <f t="shared" si="13"/>
        <v>100</v>
      </c>
      <c r="V38" s="701" t="s">
        <v>14</v>
      </c>
      <c r="W38" s="702">
        <f t="shared" si="14"/>
        <v>100</v>
      </c>
      <c r="X38" s="703"/>
      <c r="Y38" s="3763"/>
      <c r="Z38" s="52" t="str">
        <f t="shared" si="15"/>
        <v>写字楼等级</v>
      </c>
      <c r="AA38" s="704">
        <f t="shared" si="3"/>
        <v>1</v>
      </c>
      <c r="AB38" s="704">
        <f t="shared" si="4"/>
        <v>1</v>
      </c>
      <c r="AC38" s="1958">
        <f t="shared" si="5"/>
        <v>1</v>
      </c>
    </row>
    <row r="39" spans="1:29" ht="15">
      <c r="A39" s="423"/>
      <c r="B39" s="375" t="s">
        <v>1819</v>
      </c>
      <c r="C39" s="411" t="s">
        <v>4012</v>
      </c>
      <c r="D39" s="386">
        <v>100</v>
      </c>
      <c r="E39" s="411" t="s">
        <v>4012</v>
      </c>
      <c r="F39" s="412">
        <f>SUMIF(115:115,E39,116:116)-SUMIF(115:115,C39,116:116)+100</f>
        <v>100</v>
      </c>
      <c r="G39" s="411" t="s">
        <v>4012</v>
      </c>
      <c r="H39" s="386">
        <f>SUMIF(115:115,G39,116:116)-SUMIF(115:115,C39,116:116)+100</f>
        <v>100</v>
      </c>
      <c r="I39" s="411" t="s">
        <v>4012</v>
      </c>
      <c r="J39" s="386">
        <f>SUMIF(115:115,I39,116:116)-SUMIF(115:115,C39,116:116)+100</f>
        <v>100</v>
      </c>
      <c r="K39" s="561">
        <v>2</v>
      </c>
      <c r="L39" s="2718"/>
      <c r="M39" s="2712"/>
      <c r="N39" s="2712"/>
      <c r="O39" s="2712"/>
      <c r="P39" s="3761" t="s">
        <v>1696</v>
      </c>
      <c r="Q39" s="1351" t="str">
        <f t="shared" si="11"/>
        <v>物业管理</v>
      </c>
      <c r="R39" s="705" t="s">
        <v>14</v>
      </c>
      <c r="S39" s="706">
        <f t="shared" si="12"/>
        <v>100</v>
      </c>
      <c r="T39" s="705" t="s">
        <v>14</v>
      </c>
      <c r="U39" s="706">
        <f t="shared" si="13"/>
        <v>100</v>
      </c>
      <c r="V39" s="705" t="s">
        <v>14</v>
      </c>
      <c r="W39" s="706">
        <f t="shared" si="14"/>
        <v>100</v>
      </c>
      <c r="X39" s="1354"/>
      <c r="Y39" s="3763" t="s">
        <v>1696</v>
      </c>
      <c r="Z39" s="1355" t="str">
        <f t="shared" si="15"/>
        <v>物业管理</v>
      </c>
      <c r="AA39" s="1352">
        <f t="shared" si="3"/>
        <v>1</v>
      </c>
      <c r="AB39" s="1352">
        <f t="shared" si="4"/>
        <v>1</v>
      </c>
      <c r="AC39" s="1961">
        <f t="shared" si="5"/>
        <v>1</v>
      </c>
    </row>
    <row r="40" spans="1:29" ht="15">
      <c r="A40" s="423"/>
      <c r="B40" s="375" t="s">
        <v>1787</v>
      </c>
      <c r="C40" s="411" t="s">
        <v>3595</v>
      </c>
      <c r="D40" s="386">
        <v>100</v>
      </c>
      <c r="E40" s="411" t="s">
        <v>3606</v>
      </c>
      <c r="F40" s="412">
        <f>SUMIF(117:117,E40,118:118)-SUMIF(117:117,C40,118:118)+100</f>
        <v>98</v>
      </c>
      <c r="G40" s="411" t="s">
        <v>3606</v>
      </c>
      <c r="H40" s="386">
        <f>SUMIF(117:117,G40,118:118)-SUMIF(117:117,C40,118:118)+100</f>
        <v>98</v>
      </c>
      <c r="I40" s="411" t="s">
        <v>3606</v>
      </c>
      <c r="J40" s="386">
        <f>SUMIF(117:117,I40,118:118)-SUMIF(117:117,C40,118:118)+100</f>
        <v>98</v>
      </c>
      <c r="K40" s="561">
        <v>2</v>
      </c>
      <c r="L40" s="2718"/>
      <c r="M40" s="2712"/>
      <c r="N40" s="2712"/>
      <c r="O40" s="2712"/>
      <c r="P40" s="3761"/>
      <c r="Q40" s="1351" t="str">
        <f t="shared" si="11"/>
        <v>市政基础设施</v>
      </c>
      <c r="R40" s="705" t="s">
        <v>14</v>
      </c>
      <c r="S40" s="706">
        <f t="shared" si="12"/>
        <v>98</v>
      </c>
      <c r="T40" s="705" t="s">
        <v>14</v>
      </c>
      <c r="U40" s="706">
        <f t="shared" si="13"/>
        <v>98</v>
      </c>
      <c r="V40" s="705" t="s">
        <v>14</v>
      </c>
      <c r="W40" s="706">
        <f t="shared" si="14"/>
        <v>98</v>
      </c>
      <c r="X40" s="1354"/>
      <c r="Y40" s="3763"/>
      <c r="Z40" s="1355" t="str">
        <f t="shared" si="15"/>
        <v>市政基础设施</v>
      </c>
      <c r="AA40" s="1352">
        <f t="shared" si="3"/>
        <v>1.0204081632653061</v>
      </c>
      <c r="AB40" s="1352">
        <f t="shared" si="4"/>
        <v>1.0204081632653061</v>
      </c>
      <c r="AC40" s="1961">
        <f t="shared" si="5"/>
        <v>1.0204081632653061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1"/>
      <c r="Q41" s="1351" t="str">
        <f t="shared" si="11"/>
        <v>层高</v>
      </c>
      <c r="R41" s="705" t="s">
        <v>14</v>
      </c>
      <c r="S41" s="706">
        <f t="shared" si="12"/>
        <v>100</v>
      </c>
      <c r="T41" s="705" t="s">
        <v>14</v>
      </c>
      <c r="U41" s="706">
        <f t="shared" si="13"/>
        <v>100</v>
      </c>
      <c r="V41" s="705" t="s">
        <v>14</v>
      </c>
      <c r="W41" s="706">
        <f t="shared" si="14"/>
        <v>100</v>
      </c>
      <c r="X41" s="1354"/>
      <c r="Y41" s="376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1"/>
      <c r="Q42" s="707" t="str">
        <f t="shared" si="11"/>
        <v>单套建筑面积</v>
      </c>
      <c r="R42" s="708" t="s">
        <v>14</v>
      </c>
      <c r="S42" s="709">
        <f t="shared" si="12"/>
        <v>100</v>
      </c>
      <c r="T42" s="708" t="s">
        <v>14</v>
      </c>
      <c r="U42" s="709">
        <f t="shared" si="13"/>
        <v>100</v>
      </c>
      <c r="V42" s="708" t="s">
        <v>14</v>
      </c>
      <c r="W42" s="709">
        <f t="shared" si="14"/>
        <v>100</v>
      </c>
      <c r="X42" s="710"/>
      <c r="Y42" s="3763"/>
      <c r="Z42" s="711" t="str">
        <f t="shared" si="15"/>
        <v>单套建筑面积</v>
      </c>
      <c r="AA42" s="1352">
        <f t="shared" si="3"/>
        <v>1</v>
      </c>
      <c r="AB42" s="1352">
        <f t="shared" si="4"/>
        <v>1</v>
      </c>
      <c r="AC42" s="1961">
        <f t="shared" si="5"/>
        <v>1</v>
      </c>
    </row>
    <row r="43" spans="1:29" ht="15">
      <c r="A43" s="423"/>
      <c r="B43" s="375" t="s">
        <v>1792</v>
      </c>
      <c r="C43" s="411" t="s">
        <v>4006</v>
      </c>
      <c r="D43" s="386">
        <v>100</v>
      </c>
      <c r="E43" s="411" t="s">
        <v>4008</v>
      </c>
      <c r="F43" s="412">
        <f>SUMIF(123:123,E43,124:124)-SUMIF(123:123,C43,124:124)+100</f>
        <v>98</v>
      </c>
      <c r="G43" s="411" t="s">
        <v>4008</v>
      </c>
      <c r="H43" s="386">
        <f>SUMIF(123:123,G43,124:124)-SUMIF(123:123,C43,124:124)+100</f>
        <v>98</v>
      </c>
      <c r="I43" s="411" t="s">
        <v>4008</v>
      </c>
      <c r="J43" s="386">
        <f>SUMIF(123:123,I43,124:124)-SUMIF(123:123,C43,124:124)+100</f>
        <v>98</v>
      </c>
      <c r="K43" s="561">
        <v>2</v>
      </c>
      <c r="L43" s="2718"/>
      <c r="M43" s="2712"/>
      <c r="N43" s="2712"/>
      <c r="O43" s="2712"/>
      <c r="P43" s="3761"/>
      <c r="Q43" s="1351" t="str">
        <f t="shared" si="11"/>
        <v>内部装修</v>
      </c>
      <c r="R43" s="705" t="s">
        <v>14</v>
      </c>
      <c r="S43" s="706">
        <f t="shared" si="12"/>
        <v>98</v>
      </c>
      <c r="T43" s="705" t="s">
        <v>14</v>
      </c>
      <c r="U43" s="706">
        <f t="shared" si="13"/>
        <v>98</v>
      </c>
      <c r="V43" s="705" t="s">
        <v>14</v>
      </c>
      <c r="W43" s="706">
        <f t="shared" si="14"/>
        <v>98</v>
      </c>
      <c r="X43" s="1354"/>
      <c r="Y43" s="3763"/>
      <c r="Z43" s="1355" t="str">
        <f t="shared" si="15"/>
        <v>内部装修</v>
      </c>
      <c r="AA43" s="1352">
        <f t="shared" si="3"/>
        <v>1.0204081632653061</v>
      </c>
      <c r="AB43" s="1352">
        <f t="shared" si="4"/>
        <v>1.0204081632653061</v>
      </c>
      <c r="AC43" s="1961">
        <f t="shared" si="5"/>
        <v>1.0204081632653061</v>
      </c>
    </row>
    <row r="44" spans="1:29" ht="15">
      <c r="A44" s="423"/>
      <c r="B44" s="375" t="s">
        <v>1707</v>
      </c>
      <c r="C44" s="411" t="s">
        <v>3413</v>
      </c>
      <c r="D44" s="386">
        <v>100</v>
      </c>
      <c r="E44" s="411" t="s">
        <v>3413</v>
      </c>
      <c r="F44" s="412">
        <f>SUMIF(125:125,E44,126:126)-SUMIF(125:125,C44,126:126)+100</f>
        <v>100</v>
      </c>
      <c r="G44" s="411" t="s">
        <v>3413</v>
      </c>
      <c r="H44" s="386">
        <f>SUMIF(125:125,G44,126:126)-SUMIF(125:125,C44,126:126)+100</f>
        <v>100</v>
      </c>
      <c r="I44" s="411" t="s">
        <v>3413</v>
      </c>
      <c r="J44" s="386">
        <f>SUMIF(125:125,I44,126:126)-SUMIF(125:125,C44,126:126)+100</f>
        <v>100</v>
      </c>
      <c r="K44" s="561">
        <v>2</v>
      </c>
      <c r="L44" s="2718"/>
      <c r="M44" s="2712"/>
      <c r="N44" s="2712"/>
      <c r="O44" s="2712"/>
      <c r="P44" s="3761"/>
      <c r="Q44" s="1351" t="str">
        <f t="shared" si="11"/>
        <v>内部装修维护情况</v>
      </c>
      <c r="R44" s="705" t="s">
        <v>14</v>
      </c>
      <c r="S44" s="706">
        <f t="shared" si="12"/>
        <v>100</v>
      </c>
      <c r="T44" s="705" t="s">
        <v>14</v>
      </c>
      <c r="U44" s="706">
        <f t="shared" si="13"/>
        <v>100</v>
      </c>
      <c r="V44" s="705" t="s">
        <v>14</v>
      </c>
      <c r="W44" s="706">
        <f t="shared" si="14"/>
        <v>100</v>
      </c>
      <c r="X44" s="1354"/>
      <c r="Y44" s="3763"/>
      <c r="Z44" s="1355" t="str">
        <f t="shared" si="15"/>
        <v>内部装修维护情况</v>
      </c>
      <c r="AA44" s="1352">
        <f t="shared" si="3"/>
        <v>1</v>
      </c>
      <c r="AB44" s="1352">
        <f t="shared" si="4"/>
        <v>1</v>
      </c>
      <c r="AC44" s="1961">
        <f t="shared" si="5"/>
        <v>1</v>
      </c>
    </row>
    <row r="45" spans="1:29" s="108" customFormat="1" ht="15.75" thickBot="1">
      <c r="A45" s="424"/>
      <c r="B45" s="3531" t="s">
        <v>3999</v>
      </c>
      <c r="C45" s="3529">
        <f>'数据-汇总表'!G33</f>
        <v>0.2</v>
      </c>
      <c r="D45" s="127">
        <v>100</v>
      </c>
      <c r="E45" s="3530">
        <f>研发案例!O2</f>
        <v>0.21</v>
      </c>
      <c r="F45" s="376">
        <f>SUMIF(127:127,E45,128:128)-SUMIF(127:127,C45,128:128)+100</f>
        <v>100</v>
      </c>
      <c r="G45" s="3530">
        <f>研发案例!O5</f>
        <v>0.25</v>
      </c>
      <c r="H45" s="127">
        <f>SUMIF(127:127,G45,128:128)-SUMIF(127:127,C45,128:128)+100</f>
        <v>100</v>
      </c>
      <c r="I45" s="3530">
        <f>研发案例!O11</f>
        <v>0.2</v>
      </c>
      <c r="J45" s="127">
        <f>SUMIF(127:127,I45,128:128)-SUMIF(127:127,C45,128:128)+100</f>
        <v>100</v>
      </c>
      <c r="K45" s="562"/>
      <c r="L45" s="2713"/>
      <c r="M45" s="2714"/>
      <c r="N45" s="2714"/>
      <c r="O45" s="2714"/>
      <c r="P45" s="3761"/>
      <c r="Q45" s="1342" t="str">
        <f t="shared" si="11"/>
        <v>地下占比</v>
      </c>
      <c r="R45" s="701" t="s">
        <v>14</v>
      </c>
      <c r="S45" s="702">
        <f t="shared" si="12"/>
        <v>100</v>
      </c>
      <c r="T45" s="701" t="s">
        <v>14</v>
      </c>
      <c r="U45" s="702">
        <f t="shared" si="13"/>
        <v>100</v>
      </c>
      <c r="V45" s="701" t="s">
        <v>14</v>
      </c>
      <c r="W45" s="702">
        <f t="shared" si="14"/>
        <v>100</v>
      </c>
      <c r="X45" s="703"/>
      <c r="Y45" s="3763"/>
      <c r="Z45" s="52" t="str">
        <f t="shared" si="15"/>
        <v>地下占比</v>
      </c>
      <c r="AA45" s="704">
        <f t="shared" si="3"/>
        <v>1</v>
      </c>
      <c r="AB45" s="704">
        <f t="shared" si="4"/>
        <v>1</v>
      </c>
      <c r="AC45" s="1958">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1"/>
      <c r="Q46" s="1351">
        <f t="shared" si="11"/>
        <v>111</v>
      </c>
      <c r="R46" s="705" t="s">
        <v>14</v>
      </c>
      <c r="S46" s="706">
        <f t="shared" si="12"/>
        <v>100</v>
      </c>
      <c r="T46" s="705" t="s">
        <v>14</v>
      </c>
      <c r="U46" s="706">
        <f t="shared" si="13"/>
        <v>100</v>
      </c>
      <c r="V46" s="705" t="s">
        <v>14</v>
      </c>
      <c r="W46" s="706">
        <f t="shared" si="14"/>
        <v>100</v>
      </c>
      <c r="X46" s="1354"/>
      <c r="Y46" s="3763"/>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2"/>
      <c r="Q47" s="1351">
        <f t="shared" si="11"/>
        <v>111</v>
      </c>
      <c r="R47" s="705" t="s">
        <v>14</v>
      </c>
      <c r="S47" s="706">
        <f t="shared" si="12"/>
        <v>100</v>
      </c>
      <c r="T47" s="705" t="s">
        <v>14</v>
      </c>
      <c r="U47" s="706">
        <f t="shared" si="13"/>
        <v>100</v>
      </c>
      <c r="V47" s="705" t="s">
        <v>14</v>
      </c>
      <c r="W47" s="706">
        <f t="shared" si="14"/>
        <v>100</v>
      </c>
      <c r="X47" s="1354"/>
      <c r="Y47" s="3764"/>
      <c r="Z47" s="1355">
        <f t="shared" si="15"/>
        <v>111</v>
      </c>
      <c r="AA47" s="1352">
        <f t="shared" si="3"/>
        <v>1</v>
      </c>
      <c r="AB47" s="1352">
        <f t="shared" si="4"/>
        <v>1</v>
      </c>
      <c r="AC47" s="1961">
        <f t="shared" si="5"/>
        <v>1</v>
      </c>
    </row>
    <row r="48" spans="1:29" ht="15">
      <c r="A48" s="430" t="s">
        <v>1708</v>
      </c>
      <c r="B48" s="431"/>
      <c r="C48" s="1154" t="s">
        <v>0</v>
      </c>
      <c r="D48" s="1155"/>
      <c r="E48" s="1156">
        <f>研发案例!M2</f>
        <v>20000</v>
      </c>
      <c r="F48" s="1157"/>
      <c r="G48" s="1158">
        <f>研发案例!M5</f>
        <v>20000</v>
      </c>
      <c r="H48" s="1159"/>
      <c r="I48" s="1156">
        <f>研发案例!M11</f>
        <v>20223</v>
      </c>
      <c r="J48" s="436"/>
      <c r="K48" s="714"/>
      <c r="L48" s="2720"/>
      <c r="M48" s="2712"/>
      <c r="N48" s="2712"/>
      <c r="O48" s="2712"/>
      <c r="P48" s="3736" t="str">
        <f>A48</f>
        <v>成交单价（元/平方米）</v>
      </c>
      <c r="Q48" s="3765"/>
      <c r="R48" s="3766">
        <f>E48</f>
        <v>20000</v>
      </c>
      <c r="S48" s="3766"/>
      <c r="T48" s="3766">
        <f>G48</f>
        <v>20000</v>
      </c>
      <c r="U48" s="3766"/>
      <c r="V48" s="3766">
        <f>I48</f>
        <v>20223</v>
      </c>
      <c r="W48" s="3766"/>
      <c r="X48" s="397"/>
      <c r="Y48" s="712"/>
      <c r="Z48" s="397"/>
      <c r="AA48" s="397"/>
      <c r="AB48" s="397"/>
      <c r="AC48" s="578"/>
    </row>
    <row r="49" spans="1:39" ht="15.75" thickBot="1">
      <c r="A49" s="437" t="s">
        <v>1793</v>
      </c>
      <c r="B49" s="438"/>
      <c r="C49" s="1160">
        <f>R50</f>
        <v>20492</v>
      </c>
      <c r="D49" s="2316" t="s">
        <v>2138</v>
      </c>
      <c r="E49" s="1161">
        <f>R49</f>
        <v>22142</v>
      </c>
      <c r="F49" s="2317"/>
      <c r="G49" s="1160">
        <f>T49</f>
        <v>21290</v>
      </c>
      <c r="H49" s="2317"/>
      <c r="I49" s="1161">
        <f>V49</f>
        <v>18045</v>
      </c>
      <c r="J49" s="2317"/>
      <c r="K49" s="2319">
        <f>F49+H49+J49</f>
        <v>0</v>
      </c>
      <c r="L49" s="2720"/>
      <c r="M49" s="2712"/>
      <c r="N49" s="2712"/>
      <c r="O49" s="2712"/>
      <c r="P49" s="3736" t="str">
        <f>A49</f>
        <v>比较价值（元/平方米）</v>
      </c>
      <c r="Q49" s="3765"/>
      <c r="R49" s="3766">
        <f>IF(F1="售价",ROUND(PRODUCT(R48,AA7:AA47),0),ROUND(PRODUCT(R48,AA7:AA47),1))</f>
        <v>22142</v>
      </c>
      <c r="S49" s="3766"/>
      <c r="T49" s="3766">
        <f>IF(F1="售价",ROUND(PRODUCT(T48,AB7:AB47),0),ROUND(PRODUCT(T48,AB7:AB47),1))</f>
        <v>21290</v>
      </c>
      <c r="U49" s="3766"/>
      <c r="V49" s="3766">
        <f>IF(F1="售价",ROUND(PRODUCT(V48,AC7:AC47),0),ROUND(PRODUCT(V48,AC7:AC47),1))</f>
        <v>18045</v>
      </c>
      <c r="W49" s="3766"/>
      <c r="X49" s="397"/>
      <c r="Y49" s="397"/>
      <c r="Z49" s="397"/>
      <c r="AA49" s="397"/>
      <c r="AB49" s="397"/>
      <c r="AC49" s="578"/>
    </row>
    <row r="50" spans="1:39" ht="15.75" thickBot="1">
      <c r="A50" s="441" t="s">
        <v>1794</v>
      </c>
      <c r="B50" s="442"/>
      <c r="C50" s="1163">
        <f>R50</f>
        <v>20492</v>
      </c>
      <c r="D50" s="1163"/>
      <c r="E50" s="1163"/>
      <c r="F50" s="1163"/>
      <c r="G50" s="1163"/>
      <c r="H50" s="1163"/>
      <c r="I50" s="1163"/>
      <c r="J50" s="443"/>
      <c r="K50" s="715"/>
      <c r="L50" s="2720"/>
      <c r="M50" s="2712"/>
      <c r="N50" s="2712"/>
      <c r="O50" s="2712"/>
      <c r="P50" s="3767" t="str">
        <f>A50</f>
        <v>估价对象XX用房的比较价值（楼面单价，元/平方米）</v>
      </c>
      <c r="Q50" s="3768"/>
      <c r="R50" s="3769">
        <f>IF(F1="售价",ROUND(IF(D49="简单平均",AVERAGE(R49:V49),R49*F49+T49*H49+V49*J49),0),ROUND(IF(D49="简单平均",AVERAGE(R49:V49),R49*F49+T49*H49+V49*J49),1))</f>
        <v>20492</v>
      </c>
      <c r="S50" s="3769"/>
      <c r="T50" s="3769"/>
      <c r="U50" s="3769"/>
      <c r="V50" s="3769"/>
      <c r="W50" s="3769"/>
      <c r="X50" s="1945"/>
      <c r="Y50" s="1945"/>
      <c r="Z50" s="1945"/>
      <c r="AA50" s="1945"/>
      <c r="AB50" s="1945"/>
      <c r="AC50" s="1946"/>
    </row>
    <row r="51" spans="1:39">
      <c r="A51" s="2721"/>
      <c r="B51" s="2721"/>
      <c r="C51" s="2721"/>
      <c r="D51" s="2721"/>
      <c r="E51" s="2721">
        <f>ROUND(1-(1-0%)*(2024-2016)/60,2)</f>
        <v>0.87</v>
      </c>
      <c r="F51" s="2721"/>
      <c r="G51" s="2725"/>
      <c r="H51" s="2721"/>
      <c r="I51" s="2721">
        <f>ROUND(1-(1-0%)*(2024-2020)/60,2)</f>
        <v>0.93</v>
      </c>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3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39" ht="13.5" customHeight="1">
      <c r="A53" s="2721"/>
      <c r="B53" s="2721"/>
      <c r="C53" s="446" t="s">
        <v>1795</v>
      </c>
      <c r="D53" s="447"/>
      <c r="E53" s="448">
        <f>IF(E48&lt;E49,E49/E48-1,E48/E49-1)</f>
        <v>0.10709999999999997</v>
      </c>
      <c r="F53" s="449" t="str">
        <f>IF(OR(E53&gt;=0.3,E53&lt;=-0.3),"超过30%","")</f>
        <v/>
      </c>
      <c r="G53" s="448">
        <f>IF(G48&lt;G49,G49/G48-1,G48/G49-1)</f>
        <v>6.4500000000000002E-2</v>
      </c>
      <c r="H53" s="449" t="str">
        <f>IF(OR(G53&gt;=0.3,G53&lt;=-0.3),"超过30%","")</f>
        <v/>
      </c>
      <c r="I53" s="448">
        <f>IF(I48&lt;I49,I49/I48-1,I48/I49-1)</f>
        <v>0.12069825436408976</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39" ht="13.5" customHeight="1">
      <c r="A54" s="2721"/>
      <c r="B54" s="2721"/>
      <c r="C54" s="446" t="s">
        <v>1796</v>
      </c>
      <c r="D54" s="450"/>
      <c r="E54" s="448">
        <f>IF(E49&lt;G49,G49/E49-1,E49/G49-1)</f>
        <v>4.0018788163457053E-2</v>
      </c>
      <c r="F54" s="449" t="str">
        <f>IF(OR(E54&gt;=0.2,E54&lt;=-0.2),"超过20%","")</f>
        <v/>
      </c>
      <c r="G54" s="448">
        <f>IF(G49&lt;I49,I49/G49-1,G49/I49-1)</f>
        <v>0.17982820725962867</v>
      </c>
      <c r="H54" s="449" t="str">
        <f>IF(OR(G54&gt;=0.2,G54&lt;=-0.2),"超过20%","")</f>
        <v/>
      </c>
      <c r="I54" s="448">
        <f>IF(I49&lt;E49,E49/I49-1,I49/E49-1)</f>
        <v>0.22704350235522308</v>
      </c>
      <c r="J54" s="449" t="str">
        <f>IF(OR(I54&gt;=0.2,I54&lt;=-0.2),"超过20%","")</f>
        <v>超过20%</v>
      </c>
      <c r="K54" s="2726"/>
      <c r="L54" s="2722"/>
      <c r="M54" s="2721"/>
      <c r="N54" s="2721"/>
      <c r="O54" s="2721"/>
      <c r="P54" s="2752"/>
      <c r="Q54" s="2721"/>
      <c r="R54" s="2721"/>
      <c r="S54" s="2721"/>
      <c r="T54" s="2721"/>
      <c r="U54" s="2721"/>
      <c r="V54" s="2721"/>
      <c r="W54" s="2721"/>
      <c r="X54" s="2721"/>
      <c r="Y54" s="2721"/>
      <c r="Z54" s="2721"/>
      <c r="AA54" s="2721"/>
      <c r="AB54" s="2721"/>
      <c r="AC54" s="2721"/>
    </row>
    <row r="55" spans="1:39" s="451" customFormat="1" ht="13.5" customHeight="1">
      <c r="A55" s="2724"/>
      <c r="B55" s="2724"/>
      <c r="C55" s="446" t="s">
        <v>1797</v>
      </c>
      <c r="D55" s="450"/>
      <c r="E55" s="448">
        <f>IF(E48&lt;G48,G48/E48-1,E48/G48-1)</f>
        <v>0</v>
      </c>
      <c r="F55" s="449" t="str">
        <f>IF(OR(E55&gt;=0.3,E55&lt;=-0.3),"超过30%","")</f>
        <v/>
      </c>
      <c r="G55" s="448">
        <f>IF(G48&lt;I48,I48/G48-1,G48/I48-1)</f>
        <v>1.1149999999999993E-2</v>
      </c>
      <c r="H55" s="449" t="str">
        <f>IF(OR(G55&gt;=0.3,G55&lt;=-0.3),"超过30%","")</f>
        <v/>
      </c>
      <c r="I55" s="448">
        <f>IF(I48&lt;E48,E48/I48-1,I48/E48-1)</f>
        <v>1.1149999999999993E-2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3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3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3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3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3532">
        <f t="shared" ref="P59" si="17">EDATE(O59,-1)</f>
        <v>45200</v>
      </c>
      <c r="Q59" s="3532">
        <f t="shared" ref="Q59" si="18">EDATE(P59,-1)</f>
        <v>45170</v>
      </c>
      <c r="R59" s="3532">
        <f t="shared" ref="R59" si="19">EDATE(Q59,-1)</f>
        <v>45139</v>
      </c>
      <c r="S59" s="3532">
        <f t="shared" ref="S59" si="20">EDATE(R59,-1)</f>
        <v>45108</v>
      </c>
      <c r="T59" s="3532">
        <f t="shared" ref="T59" si="21">EDATE(S59,-1)</f>
        <v>45078</v>
      </c>
      <c r="U59" s="3532">
        <f t="shared" ref="U59" si="22">EDATE(T59,-1)</f>
        <v>45047</v>
      </c>
      <c r="V59" s="3532">
        <f t="shared" ref="V59" si="23">EDATE(U59,-1)</f>
        <v>45017</v>
      </c>
      <c r="W59" s="3532">
        <f t="shared" ref="W59" si="24">EDATE(V59,-1)</f>
        <v>44986</v>
      </c>
      <c r="X59" s="3532">
        <f t="shared" ref="X59" si="25">EDATE(W59,-1)</f>
        <v>44958</v>
      </c>
      <c r="Y59" s="3532">
        <f t="shared" ref="Y59" si="26">EDATE(X59,-1)</f>
        <v>44927</v>
      </c>
      <c r="Z59" s="3532">
        <f t="shared" ref="Z59" si="27">EDATE(Y59,-1)</f>
        <v>44896</v>
      </c>
      <c r="AA59" s="3532">
        <f t="shared" ref="AA59" si="28">EDATE(Z59,-1)</f>
        <v>44866</v>
      </c>
      <c r="AB59" s="3532">
        <f t="shared" ref="AB59" si="29">EDATE(AA59,-1)</f>
        <v>44835</v>
      </c>
      <c r="AC59" s="3532">
        <f t="shared" ref="AC59" si="30">EDATE(AB59,-1)</f>
        <v>44805</v>
      </c>
      <c r="AD59" s="3532">
        <f t="shared" ref="AD59" si="31">EDATE(AC59,-1)</f>
        <v>44774</v>
      </c>
      <c r="AE59" s="3532">
        <f t="shared" ref="AE59" si="32">EDATE(AD59,-1)</f>
        <v>44743</v>
      </c>
      <c r="AF59" s="3532">
        <f t="shared" ref="AF59" si="33">EDATE(AE59,-1)</f>
        <v>44713</v>
      </c>
      <c r="AG59" s="3532">
        <f t="shared" ref="AG59" si="34">EDATE(AF59,-1)</f>
        <v>44682</v>
      </c>
      <c r="AH59" s="3532">
        <f t="shared" ref="AH59" si="35">EDATE(AG59,-1)</f>
        <v>44652</v>
      </c>
      <c r="AI59" s="3532">
        <f t="shared" ref="AI59" si="36">EDATE(AH59,-1)</f>
        <v>44621</v>
      </c>
      <c r="AJ59" s="3532">
        <f t="shared" ref="AJ59" si="37">EDATE(AI59,-1)</f>
        <v>44593</v>
      </c>
      <c r="AK59" s="3532">
        <f t="shared" ref="AK59" si="38">EDATE(AJ59,-1)</f>
        <v>44562</v>
      </c>
      <c r="AL59" s="3532">
        <f t="shared" ref="AL59" si="39">EDATE(AK59,-1)</f>
        <v>44531</v>
      </c>
      <c r="AM59" s="3532">
        <f t="shared" ref="AM59" si="40">EDATE(AL59,-1)</f>
        <v>44501</v>
      </c>
    </row>
    <row r="60" spans="1:3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row>
    <row r="61" spans="1:3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3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3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39">
      <c r="A64" s="476" t="s">
        <v>1719</v>
      </c>
      <c r="B64" s="477" t="s">
        <v>1685</v>
      </c>
      <c r="C64" s="478" t="str">
        <f>C9</f>
        <v>研发</v>
      </c>
      <c r="D64" s="3456" t="s">
        <v>4016</v>
      </c>
      <c r="E64" s="3456" t="s">
        <v>4017</v>
      </c>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v>110</v>
      </c>
      <c r="E65" s="485">
        <v>95</v>
      </c>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t="s">
        <v>4002</v>
      </c>
      <c r="D66" s="532" t="s">
        <v>4003</v>
      </c>
      <c r="E66" s="532" t="s">
        <v>4004</v>
      </c>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v>100</v>
      </c>
      <c r="D67" s="485">
        <f>C67-2</f>
        <v>98</v>
      </c>
      <c r="E67" s="485">
        <f>D67-2</f>
        <v>96</v>
      </c>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41">D69&amp;"（含）"&amp;"-"&amp;E69</f>
        <v>3（含）-</v>
      </c>
      <c r="E68" s="496" t="str">
        <f t="shared" si="41"/>
        <v>（含）-</v>
      </c>
      <c r="F68" s="496" t="str">
        <f t="shared" si="41"/>
        <v>（含）-</v>
      </c>
      <c r="G68" s="496" t="str">
        <f t="shared" si="41"/>
        <v>（含）-</v>
      </c>
      <c r="H68" s="496" t="str">
        <f t="shared" si="41"/>
        <v>（含）-</v>
      </c>
      <c r="I68" s="496" t="str">
        <f t="shared" si="41"/>
        <v>（含）-</v>
      </c>
      <c r="J68" s="496" t="str">
        <f t="shared" si="41"/>
        <v>（含）-</v>
      </c>
      <c r="K68" s="496" t="str">
        <f t="shared" si="41"/>
        <v>（含）-</v>
      </c>
      <c r="L68" s="496" t="str">
        <f t="shared" si="41"/>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42">C70-$K11</f>
        <v>100</v>
      </c>
      <c r="E70" s="493">
        <f t="shared" si="42"/>
        <v>100</v>
      </c>
      <c r="F70" s="493">
        <f t="shared" si="42"/>
        <v>100</v>
      </c>
      <c r="G70" s="493">
        <f t="shared" si="42"/>
        <v>100</v>
      </c>
      <c r="H70" s="493">
        <f t="shared" si="42"/>
        <v>100</v>
      </c>
      <c r="I70" s="493">
        <f t="shared" si="42"/>
        <v>100</v>
      </c>
      <c r="J70" s="493">
        <f t="shared" si="42"/>
        <v>100</v>
      </c>
      <c r="K70" s="493">
        <f t="shared" si="42"/>
        <v>100</v>
      </c>
      <c r="L70" s="493">
        <f t="shared" si="42"/>
        <v>100</v>
      </c>
      <c r="M70" s="494">
        <f t="shared" si="42"/>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43">C88-$K25</f>
        <v>100</v>
      </c>
      <c r="E88" s="493">
        <f t="shared" si="43"/>
        <v>100</v>
      </c>
      <c r="F88" s="493">
        <f t="shared" si="43"/>
        <v>100</v>
      </c>
      <c r="G88" s="493">
        <f t="shared" si="43"/>
        <v>100</v>
      </c>
      <c r="H88" s="493">
        <f t="shared" si="43"/>
        <v>100</v>
      </c>
      <c r="I88" s="493">
        <f t="shared" si="43"/>
        <v>100</v>
      </c>
      <c r="J88" s="493">
        <f t="shared" si="43"/>
        <v>100</v>
      </c>
      <c r="K88" s="493">
        <f t="shared" si="43"/>
        <v>100</v>
      </c>
      <c r="L88" s="493">
        <f t="shared" si="43"/>
        <v>100</v>
      </c>
      <c r="M88" s="493">
        <f t="shared" si="43"/>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44">D90-$K27</f>
        <v>100</v>
      </c>
      <c r="F90" s="493">
        <f t="shared" si="44"/>
        <v>100</v>
      </c>
      <c r="G90" s="493">
        <f t="shared" si="44"/>
        <v>100</v>
      </c>
      <c r="H90" s="493">
        <f t="shared" si="44"/>
        <v>100</v>
      </c>
      <c r="I90" s="493">
        <f t="shared" si="44"/>
        <v>100</v>
      </c>
      <c r="J90" s="493">
        <f t="shared" si="44"/>
        <v>100</v>
      </c>
      <c r="K90" s="493">
        <f t="shared" si="44"/>
        <v>100</v>
      </c>
      <c r="L90" s="493">
        <f t="shared" si="44"/>
        <v>100</v>
      </c>
      <c r="M90" s="493">
        <f t="shared" si="44"/>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45">C92-$K28</f>
        <v>100</v>
      </c>
      <c r="E92" s="493">
        <f t="shared" si="45"/>
        <v>100</v>
      </c>
      <c r="F92" s="493">
        <f t="shared" si="45"/>
        <v>100</v>
      </c>
      <c r="G92" s="493">
        <f t="shared" si="45"/>
        <v>100</v>
      </c>
      <c r="H92" s="493">
        <f t="shared" si="45"/>
        <v>100</v>
      </c>
      <c r="I92" s="493">
        <f t="shared" si="45"/>
        <v>100</v>
      </c>
      <c r="J92" s="493">
        <f t="shared" si="45"/>
        <v>100</v>
      </c>
      <c r="K92" s="493">
        <f t="shared" si="45"/>
        <v>100</v>
      </c>
      <c r="L92" s="493">
        <f t="shared" si="45"/>
        <v>100</v>
      </c>
      <c r="M92" s="493">
        <f t="shared" si="45"/>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6" t="s">
        <v>4001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46">C102-$K33</f>
        <v>95</v>
      </c>
      <c r="E102" s="493">
        <f t="shared" si="46"/>
        <v>90</v>
      </c>
      <c r="F102" s="493">
        <f t="shared" si="46"/>
        <v>85</v>
      </c>
      <c r="G102" s="493">
        <f t="shared" si="46"/>
        <v>80</v>
      </c>
      <c r="H102" s="493">
        <f t="shared" si="46"/>
        <v>75</v>
      </c>
      <c r="I102" s="493">
        <f t="shared" si="46"/>
        <v>70</v>
      </c>
      <c r="J102" s="493">
        <f t="shared" si="46"/>
        <v>65</v>
      </c>
      <c r="K102" s="493">
        <f t="shared" si="46"/>
        <v>60</v>
      </c>
      <c r="L102" s="493">
        <f t="shared" si="46"/>
        <v>55</v>
      </c>
      <c r="M102" s="494">
        <f t="shared" si="46"/>
        <v>50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0(含)-3000</v>
      </c>
      <c r="D103" s="527" t="str">
        <f t="shared" ref="D103:L103" si="47">D104&amp;"(含)"&amp;"-"&amp;E104</f>
        <v>3000(含)-5000</v>
      </c>
      <c r="E103" s="527" t="str">
        <f t="shared" si="47"/>
        <v>5000(含)-10000</v>
      </c>
      <c r="F103" s="527" t="str">
        <f t="shared" si="47"/>
        <v>10000(含)-</v>
      </c>
      <c r="G103" s="527" t="str">
        <f t="shared" si="47"/>
        <v>(含)-</v>
      </c>
      <c r="H103" s="527" t="str">
        <f t="shared" si="47"/>
        <v>(含)-</v>
      </c>
      <c r="I103" s="527" t="str">
        <f t="shared" si="47"/>
        <v>(含)-</v>
      </c>
      <c r="J103" s="527" t="str">
        <f t="shared" si="47"/>
        <v>(含)-</v>
      </c>
      <c r="K103" s="527" t="str">
        <f t="shared" si="47"/>
        <v>(含)-</v>
      </c>
      <c r="L103" s="527" t="str">
        <f t="shared" si="47"/>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3000</v>
      </c>
      <c r="E104" s="544">
        <v>5000</v>
      </c>
      <c r="F104" s="544">
        <v>10000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f>C105-2</f>
        <v>98</v>
      </c>
      <c r="E105" s="485">
        <f>D105-2</f>
        <v>96</v>
      </c>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8" t="s">
        <v>4005</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48">C107-$K35</f>
        <v>98</v>
      </c>
      <c r="E107" s="493">
        <f t="shared" si="48"/>
        <v>96</v>
      </c>
      <c r="F107" s="493">
        <f t="shared" si="48"/>
        <v>94</v>
      </c>
      <c r="G107" s="493">
        <f t="shared" si="48"/>
        <v>92</v>
      </c>
      <c r="H107" s="493">
        <f t="shared" si="48"/>
        <v>90</v>
      </c>
      <c r="I107" s="493">
        <f t="shared" si="48"/>
        <v>88</v>
      </c>
      <c r="J107" s="493">
        <f t="shared" si="48"/>
        <v>86</v>
      </c>
      <c r="K107" s="493">
        <f t="shared" si="48"/>
        <v>84</v>
      </c>
      <c r="L107" s="493">
        <f t="shared" si="48"/>
        <v>82</v>
      </c>
      <c r="M107" s="494">
        <f t="shared" si="48"/>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8" t="s">
        <v>4007</v>
      </c>
      <c r="D108" s="3458" t="s">
        <v>4009</v>
      </c>
      <c r="E108" s="3458" t="s">
        <v>4010</v>
      </c>
      <c r="F108" s="3457" t="s">
        <v>4011</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49">C109-$K36</f>
        <v>98</v>
      </c>
      <c r="E109" s="493">
        <f t="shared" si="49"/>
        <v>96</v>
      </c>
      <c r="F109" s="493">
        <f t="shared" si="49"/>
        <v>94</v>
      </c>
      <c r="G109" s="493">
        <f t="shared" si="49"/>
        <v>92</v>
      </c>
      <c r="H109" s="493">
        <f t="shared" si="49"/>
        <v>90</v>
      </c>
      <c r="I109" s="493">
        <f t="shared" si="49"/>
        <v>88</v>
      </c>
      <c r="J109" s="493">
        <f t="shared" si="49"/>
        <v>86</v>
      </c>
      <c r="K109" s="493">
        <f t="shared" si="49"/>
        <v>84</v>
      </c>
      <c r="L109" s="493">
        <f t="shared" si="49"/>
        <v>82</v>
      </c>
      <c r="M109" s="494">
        <f t="shared" si="49"/>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50">D112+$K37</f>
        <v>102</v>
      </c>
      <c r="F112" s="493">
        <f t="shared" si="50"/>
        <v>103</v>
      </c>
      <c r="G112" s="493">
        <f t="shared" si="50"/>
        <v>104</v>
      </c>
      <c r="H112" s="493">
        <f t="shared" si="50"/>
        <v>105</v>
      </c>
      <c r="I112" s="493">
        <f t="shared" si="50"/>
        <v>106</v>
      </c>
      <c r="J112" s="493">
        <f t="shared" si="50"/>
        <v>107</v>
      </c>
      <c r="K112" s="493">
        <f t="shared" si="50"/>
        <v>108</v>
      </c>
      <c r="L112" s="493">
        <f t="shared" si="50"/>
        <v>109</v>
      </c>
      <c r="M112" s="493">
        <f t="shared" si="50"/>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51">D114-$K38</f>
        <v>100</v>
      </c>
      <c r="F114" s="493">
        <f t="shared" si="51"/>
        <v>100</v>
      </c>
      <c r="G114" s="493">
        <f t="shared" si="51"/>
        <v>100</v>
      </c>
      <c r="H114" s="493">
        <f t="shared" si="51"/>
        <v>100</v>
      </c>
      <c r="I114" s="493">
        <f t="shared" si="51"/>
        <v>100</v>
      </c>
      <c r="J114" s="493">
        <f t="shared" si="51"/>
        <v>100</v>
      </c>
      <c r="K114" s="493">
        <f t="shared" si="51"/>
        <v>100</v>
      </c>
      <c r="L114" s="493">
        <f t="shared" si="51"/>
        <v>100</v>
      </c>
      <c r="M114" s="493">
        <f t="shared" si="51"/>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8" t="s">
        <v>4013</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52">C116-$K39</f>
        <v>98</v>
      </c>
      <c r="E116" s="493">
        <f t="shared" si="52"/>
        <v>96</v>
      </c>
      <c r="F116" s="493">
        <f t="shared" si="52"/>
        <v>94</v>
      </c>
      <c r="G116" s="493">
        <f t="shared" si="52"/>
        <v>92</v>
      </c>
      <c r="H116" s="493">
        <f t="shared" si="52"/>
        <v>90</v>
      </c>
      <c r="I116" s="493">
        <f t="shared" si="52"/>
        <v>88</v>
      </c>
      <c r="J116" s="493">
        <f t="shared" si="52"/>
        <v>86</v>
      </c>
      <c r="K116" s="493">
        <f t="shared" si="52"/>
        <v>84</v>
      </c>
      <c r="L116" s="493">
        <f t="shared" si="52"/>
        <v>82</v>
      </c>
      <c r="M116" s="494">
        <f t="shared" si="52"/>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53">D120-$K41</f>
        <v>100</v>
      </c>
      <c r="F120" s="493">
        <f t="shared" si="53"/>
        <v>100</v>
      </c>
      <c r="G120" s="493">
        <f t="shared" si="53"/>
        <v>100</v>
      </c>
      <c r="H120" s="493">
        <f t="shared" si="53"/>
        <v>100</v>
      </c>
      <c r="I120" s="493">
        <f t="shared" si="53"/>
        <v>100</v>
      </c>
      <c r="J120" s="493">
        <f t="shared" si="53"/>
        <v>100</v>
      </c>
      <c r="K120" s="493">
        <f t="shared" si="53"/>
        <v>100</v>
      </c>
      <c r="L120" s="493">
        <f t="shared" si="53"/>
        <v>100</v>
      </c>
      <c r="M120" s="493">
        <f t="shared" si="53"/>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54">C124-$K43</f>
        <v>98</v>
      </c>
      <c r="E124" s="493">
        <f t="shared" si="54"/>
        <v>96</v>
      </c>
      <c r="F124" s="493">
        <f t="shared" si="54"/>
        <v>94</v>
      </c>
      <c r="G124" s="493">
        <f t="shared" si="54"/>
        <v>92</v>
      </c>
      <c r="H124" s="493">
        <f t="shared" si="54"/>
        <v>90</v>
      </c>
      <c r="I124" s="493">
        <f t="shared" si="54"/>
        <v>88</v>
      </c>
      <c r="J124" s="493">
        <f t="shared" si="54"/>
        <v>86</v>
      </c>
      <c r="K124" s="493">
        <f t="shared" si="54"/>
        <v>84</v>
      </c>
      <c r="L124" s="493">
        <f t="shared" si="54"/>
        <v>82</v>
      </c>
      <c r="M124" s="494">
        <f t="shared" si="54"/>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t="str">
        <f>B45</f>
        <v>地下占比</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6" t="str">
        <f>项目基本情况!B1</f>
        <v>北京市顺义区汇海南路6号院25号楼-2至10层101房地产抵押价值预评估</v>
      </c>
      <c r="C37" s="3536"/>
      <c r="D37" s="3536"/>
      <c r="E37" s="3536"/>
      <c r="F37" s="3536"/>
      <c r="G37" s="3536"/>
      <c r="H37" s="3536"/>
      <c r="I37" s="353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1"/>
  <sheetViews>
    <sheetView zoomScaleNormal="100" workbookViewId="0">
      <pane xSplit="3" ySplit="1" topLeftCell="D2" activePane="bottomRight" state="frozen"/>
      <selection pane="topRight" activeCell="D1" sqref="D1"/>
      <selection pane="bottomLeft" activeCell="A2" sqref="A2"/>
      <selection pane="bottomRight" activeCell="B11" sqref="B11"/>
    </sheetView>
  </sheetViews>
  <sheetFormatPr defaultColWidth="9" defaultRowHeight="33" customHeight="1"/>
  <cols>
    <col min="1" max="1" width="4.875" style="3480" hidden="1" customWidth="1"/>
    <col min="2" max="2" width="13.5" style="3508" customWidth="1"/>
    <col min="3" max="3" width="15.125" style="3480" customWidth="1"/>
    <col min="4" max="12" width="9" style="3480"/>
    <col min="13" max="13" width="9" style="3504"/>
    <col min="14" max="14" width="9" style="3480"/>
    <col min="15" max="15" width="9" style="3501"/>
    <col min="16" max="16" width="9" style="3480"/>
    <col min="17" max="17" width="13.5" style="3480" customWidth="1"/>
    <col min="18" max="18" width="39.25" style="3480" customWidth="1"/>
    <col min="19" max="16384" width="9" style="3480"/>
  </cols>
  <sheetData>
    <row r="1" spans="1:24" ht="33" customHeight="1">
      <c r="A1" s="3477" t="s">
        <v>3624</v>
      </c>
      <c r="B1" s="3505" t="s">
        <v>3625</v>
      </c>
      <c r="C1" s="3477" t="s">
        <v>3626</v>
      </c>
      <c r="D1" s="3477" t="s">
        <v>3627</v>
      </c>
      <c r="E1" s="3477" t="s">
        <v>3628</v>
      </c>
      <c r="F1" s="3477" t="s">
        <v>3629</v>
      </c>
      <c r="G1" s="3477" t="s">
        <v>3630</v>
      </c>
      <c r="H1" s="3477" t="s">
        <v>3631</v>
      </c>
      <c r="I1" s="3477" t="s">
        <v>3632</v>
      </c>
      <c r="J1" s="3478" t="s">
        <v>3633</v>
      </c>
      <c r="K1" s="3477" t="s">
        <v>3634</v>
      </c>
      <c r="L1" s="3477" t="s">
        <v>3635</v>
      </c>
      <c r="M1" s="3502" t="s">
        <v>3636</v>
      </c>
      <c r="N1" s="3477" t="s">
        <v>3637</v>
      </c>
      <c r="O1" s="3499" t="s">
        <v>3917</v>
      </c>
      <c r="P1" s="3477" t="s">
        <v>3638</v>
      </c>
      <c r="Q1" s="3479" t="s">
        <v>3639</v>
      </c>
      <c r="R1" s="3477" t="s">
        <v>3640</v>
      </c>
      <c r="S1" s="3477" t="s">
        <v>3641</v>
      </c>
      <c r="T1" s="3477" t="s">
        <v>3642</v>
      </c>
      <c r="U1" s="3477" t="s">
        <v>3643</v>
      </c>
      <c r="V1" s="3477" t="s">
        <v>3644</v>
      </c>
      <c r="W1" s="3477" t="s">
        <v>3645</v>
      </c>
      <c r="X1" s="3477" t="s">
        <v>3646</v>
      </c>
    </row>
    <row r="2" spans="1:24" s="3527" customFormat="1" ht="33" customHeight="1">
      <c r="A2" s="3518">
        <v>374</v>
      </c>
      <c r="B2" s="3519" t="s">
        <v>4019</v>
      </c>
      <c r="C2" s="3518" t="s">
        <v>3647</v>
      </c>
      <c r="D2" s="3518" t="s">
        <v>3648</v>
      </c>
      <c r="E2" s="3520" t="s">
        <v>3649</v>
      </c>
      <c r="F2" s="3520" t="s">
        <v>3650</v>
      </c>
      <c r="G2" s="3518" t="s">
        <v>3651</v>
      </c>
      <c r="H2" s="3520"/>
      <c r="I2" s="3520">
        <v>8593.369999999999</v>
      </c>
      <c r="J2" s="3521">
        <v>6760.7019999999993</v>
      </c>
      <c r="K2" s="3521">
        <v>1832.6679999999997</v>
      </c>
      <c r="L2" s="3520">
        <v>17186.740000000002</v>
      </c>
      <c r="M2" s="3519">
        <v>20000</v>
      </c>
      <c r="N2" s="3522">
        <v>25421.5316693444</v>
      </c>
      <c r="O2" s="3523">
        <f>ROUND(K2/I2,2)</f>
        <v>0.21</v>
      </c>
      <c r="P2" s="3520" t="s">
        <v>3652</v>
      </c>
      <c r="Q2" s="3524">
        <v>44562</v>
      </c>
      <c r="R2" s="3525" t="s">
        <v>3653</v>
      </c>
      <c r="S2" s="3520" t="s">
        <v>3654</v>
      </c>
      <c r="T2" s="3520"/>
      <c r="U2" s="3522">
        <v>0</v>
      </c>
      <c r="V2" s="3520"/>
      <c r="W2" s="3526" t="e">
        <v>#DIV/0!</v>
      </c>
      <c r="X2" s="3520"/>
    </row>
    <row r="3" spans="1:24" ht="33" customHeight="1">
      <c r="A3" s="3477">
        <v>377</v>
      </c>
      <c r="B3" s="3505" t="s">
        <v>3655</v>
      </c>
      <c r="C3" s="3477" t="s">
        <v>3656</v>
      </c>
      <c r="D3" s="3477" t="s">
        <v>3657</v>
      </c>
      <c r="E3" s="3481" t="s">
        <v>3658</v>
      </c>
      <c r="F3" s="3477" t="s">
        <v>3659</v>
      </c>
      <c r="G3" s="3477" t="s">
        <v>3660</v>
      </c>
      <c r="H3" s="3481"/>
      <c r="I3" s="3482">
        <v>24629.24</v>
      </c>
      <c r="J3" s="3482">
        <v>21550.585000000003</v>
      </c>
      <c r="K3" s="3482">
        <v>3078.6549999999988</v>
      </c>
      <c r="L3" s="3481">
        <v>64775</v>
      </c>
      <c r="M3" s="3502">
        <v>26300</v>
      </c>
      <c r="N3" s="3481">
        <v>30057</v>
      </c>
      <c r="O3" s="3500">
        <f t="shared" ref="O3:O41" si="0">ROUND(K3/I3,2)</f>
        <v>0.13</v>
      </c>
      <c r="P3" s="3477" t="s">
        <v>3652</v>
      </c>
      <c r="Q3" s="3487">
        <v>44573</v>
      </c>
      <c r="R3" s="3488" t="s">
        <v>3661</v>
      </c>
      <c r="S3" s="3489" t="s">
        <v>3662</v>
      </c>
      <c r="T3" s="3481"/>
      <c r="U3" s="3481"/>
      <c r="V3" s="3481"/>
      <c r="W3" s="3481"/>
      <c r="X3" s="3481"/>
    </row>
    <row r="4" spans="1:24" ht="33" hidden="1" customHeight="1">
      <c r="A4" s="3477">
        <v>378</v>
      </c>
      <c r="B4" s="3505" t="s">
        <v>3663</v>
      </c>
      <c r="C4" s="3477" t="s">
        <v>3664</v>
      </c>
      <c r="D4" s="3481" t="s">
        <v>3665</v>
      </c>
      <c r="E4" s="3477" t="s">
        <v>3666</v>
      </c>
      <c r="F4" s="3481" t="s">
        <v>3667</v>
      </c>
      <c r="G4" s="3477" t="s">
        <v>3668</v>
      </c>
      <c r="H4" s="3481"/>
      <c r="I4" s="3481">
        <v>6383.22</v>
      </c>
      <c r="J4" s="3482">
        <v>6383.22</v>
      </c>
      <c r="K4" s="3481"/>
      <c r="L4" s="3481">
        <v>28086.17</v>
      </c>
      <c r="M4" s="3502">
        <v>44000</v>
      </c>
      <c r="N4" s="3483">
        <v>44000.003133214894</v>
      </c>
      <c r="O4" s="3500">
        <f t="shared" si="0"/>
        <v>0</v>
      </c>
      <c r="P4" s="3481" t="s">
        <v>3652</v>
      </c>
      <c r="Q4" s="3487" t="s">
        <v>3669</v>
      </c>
      <c r="R4" s="3490" t="s">
        <v>3670</v>
      </c>
      <c r="S4" s="3481" t="s">
        <v>3671</v>
      </c>
      <c r="T4" s="3481"/>
      <c r="U4" s="3483">
        <v>0</v>
      </c>
      <c r="V4" s="3481"/>
      <c r="W4" s="3486" t="e">
        <v>#DIV/0!</v>
      </c>
      <c r="X4" s="3481"/>
    </row>
    <row r="5" spans="1:24" s="3527" customFormat="1" ht="33" customHeight="1">
      <c r="A5" s="3518">
        <v>382</v>
      </c>
      <c r="B5" s="3519" t="s">
        <v>3672</v>
      </c>
      <c r="C5" s="3518" t="s">
        <v>3647</v>
      </c>
      <c r="D5" s="3518" t="s">
        <v>3648</v>
      </c>
      <c r="E5" s="3520" t="s">
        <v>3649</v>
      </c>
      <c r="F5" s="3520" t="s">
        <v>3650</v>
      </c>
      <c r="G5" s="3518" t="s">
        <v>3651</v>
      </c>
      <c r="H5" s="3520"/>
      <c r="I5" s="3520">
        <v>2279.88</v>
      </c>
      <c r="J5" s="3521">
        <v>1709.91</v>
      </c>
      <c r="K5" s="3521">
        <v>569.97</v>
      </c>
      <c r="L5" s="3520">
        <v>4559.76</v>
      </c>
      <c r="M5" s="3519">
        <v>20000</v>
      </c>
      <c r="N5" s="3522">
        <v>26666.666666666664</v>
      </c>
      <c r="O5" s="3523">
        <f t="shared" si="0"/>
        <v>0.25</v>
      </c>
      <c r="P5" s="3520" t="s">
        <v>3652</v>
      </c>
      <c r="Q5" s="3528">
        <v>44580</v>
      </c>
      <c r="R5" s="3525" t="s">
        <v>3673</v>
      </c>
      <c r="S5" s="3520" t="s">
        <v>3654</v>
      </c>
      <c r="T5" s="3520"/>
      <c r="U5" s="3522">
        <v>0</v>
      </c>
      <c r="V5" s="3520"/>
      <c r="W5" s="3526" t="e">
        <v>#DIV/0!</v>
      </c>
      <c r="X5" s="3520"/>
    </row>
    <row r="6" spans="1:24" ht="33" hidden="1" customHeight="1">
      <c r="A6" s="3477">
        <v>390</v>
      </c>
      <c r="B6" s="3505" t="s">
        <v>3674</v>
      </c>
      <c r="C6" s="3477" t="s">
        <v>3675</v>
      </c>
      <c r="D6" s="3481" t="s">
        <v>3676</v>
      </c>
      <c r="E6" s="3481" t="s">
        <v>3677</v>
      </c>
      <c r="F6" s="3481" t="s">
        <v>3678</v>
      </c>
      <c r="G6" s="3477" t="s">
        <v>3679</v>
      </c>
      <c r="H6" s="3481"/>
      <c r="I6" s="3481">
        <v>1693.08</v>
      </c>
      <c r="J6" s="3482">
        <v>1495.49</v>
      </c>
      <c r="K6" s="3482">
        <v>197.58999999999992</v>
      </c>
      <c r="L6" s="3481">
        <v>1727.712</v>
      </c>
      <c r="M6" s="3502">
        <v>10205</v>
      </c>
      <c r="N6" s="3483">
        <v>11552.815465165262</v>
      </c>
      <c r="O6" s="3500">
        <f t="shared" si="0"/>
        <v>0.12</v>
      </c>
      <c r="P6" s="3477" t="s">
        <v>3680</v>
      </c>
      <c r="Q6" s="3487">
        <v>44631</v>
      </c>
      <c r="R6" s="3477" t="s">
        <v>3681</v>
      </c>
      <c r="S6" s="3481" t="s">
        <v>3682</v>
      </c>
      <c r="T6" s="3481">
        <v>2879.52</v>
      </c>
      <c r="U6" s="3483">
        <v>19254.692441942105</v>
      </c>
      <c r="V6" s="3481"/>
      <c r="W6" s="3486">
        <v>0.6</v>
      </c>
      <c r="X6" s="3481" t="s">
        <v>3683</v>
      </c>
    </row>
    <row r="7" spans="1:24" ht="33" hidden="1" customHeight="1">
      <c r="A7" s="3477">
        <v>401</v>
      </c>
      <c r="B7" s="3505" t="s">
        <v>3684</v>
      </c>
      <c r="C7" s="3477" t="s">
        <v>3684</v>
      </c>
      <c r="D7" s="3481" t="s">
        <v>3685</v>
      </c>
      <c r="E7" s="3481" t="s">
        <v>3685</v>
      </c>
      <c r="F7" s="3481" t="s">
        <v>3686</v>
      </c>
      <c r="G7" s="3477" t="s">
        <v>3687</v>
      </c>
      <c r="H7" s="3481">
        <v>6089.36</v>
      </c>
      <c r="I7" s="3481">
        <v>5474.29</v>
      </c>
      <c r="J7" s="3482">
        <v>5474.29</v>
      </c>
      <c r="K7" s="3481"/>
      <c r="L7" s="3481">
        <v>2801.8130000000001</v>
      </c>
      <c r="M7" s="3502">
        <v>5118</v>
      </c>
      <c r="N7" s="3483">
        <v>5118.1303876849779</v>
      </c>
      <c r="O7" s="3500">
        <f t="shared" si="0"/>
        <v>0</v>
      </c>
      <c r="P7" s="3481" t="s">
        <v>3688</v>
      </c>
      <c r="Q7" s="3487">
        <v>44656</v>
      </c>
      <c r="R7" s="3477" t="s">
        <v>3689</v>
      </c>
      <c r="S7" s="3481" t="s">
        <v>3682</v>
      </c>
      <c r="T7" s="3481">
        <v>2072.59</v>
      </c>
      <c r="U7" s="3483">
        <v>3786.043486917938</v>
      </c>
      <c r="V7" s="3481"/>
      <c r="W7" s="3486">
        <v>1.3518414158130647</v>
      </c>
      <c r="X7" s="3481" t="s">
        <v>3683</v>
      </c>
    </row>
    <row r="8" spans="1:24" ht="33" hidden="1" customHeight="1">
      <c r="A8" s="3477">
        <v>443</v>
      </c>
      <c r="B8" s="3505" t="s">
        <v>3690</v>
      </c>
      <c r="C8" s="3477" t="s">
        <v>3691</v>
      </c>
      <c r="D8" s="3477" t="s">
        <v>3692</v>
      </c>
      <c r="E8" s="3477" t="s">
        <v>3692</v>
      </c>
      <c r="F8" s="3477" t="s">
        <v>3693</v>
      </c>
      <c r="G8" s="3477" t="s">
        <v>3694</v>
      </c>
      <c r="H8" s="3477"/>
      <c r="I8" s="3477">
        <v>3972.93</v>
      </c>
      <c r="J8" s="3478">
        <v>2983.89</v>
      </c>
      <c r="K8" s="3478">
        <v>989.04</v>
      </c>
      <c r="L8" s="3477">
        <v>15693</v>
      </c>
      <c r="M8" s="3502">
        <v>39500</v>
      </c>
      <c r="N8" s="3491">
        <v>52592.421302393857</v>
      </c>
      <c r="O8" s="3500">
        <f t="shared" si="0"/>
        <v>0.25</v>
      </c>
      <c r="P8" s="3477" t="s">
        <v>3686</v>
      </c>
      <c r="Q8" s="3479">
        <v>44659</v>
      </c>
      <c r="R8" s="3477" t="s">
        <v>3695</v>
      </c>
      <c r="S8" s="3477" t="s">
        <v>3696</v>
      </c>
      <c r="T8" s="3477"/>
      <c r="U8" s="3477"/>
      <c r="V8" s="3477"/>
      <c r="W8" s="3477"/>
      <c r="X8" s="3477"/>
    </row>
    <row r="9" spans="1:24" ht="33" hidden="1" customHeight="1">
      <c r="A9" s="3477">
        <v>449</v>
      </c>
      <c r="B9" s="3505" t="s">
        <v>3697</v>
      </c>
      <c r="C9" s="3477" t="s">
        <v>3698</v>
      </c>
      <c r="D9" s="3477" t="s">
        <v>3699</v>
      </c>
      <c r="E9" s="3481" t="s">
        <v>3700</v>
      </c>
      <c r="F9" s="3477" t="s">
        <v>3701</v>
      </c>
      <c r="G9" s="3477" t="s">
        <v>3694</v>
      </c>
      <c r="H9" s="3481"/>
      <c r="I9" s="3481">
        <v>3644.4</v>
      </c>
      <c r="J9" s="3482"/>
      <c r="K9" s="3481"/>
      <c r="L9" s="3481">
        <v>4178.9776000000002</v>
      </c>
      <c r="M9" s="3502">
        <v>11467</v>
      </c>
      <c r="N9" s="3483" t="e">
        <v>#DIV/0!</v>
      </c>
      <c r="O9" s="3500">
        <f t="shared" si="0"/>
        <v>0</v>
      </c>
      <c r="P9" s="3477" t="s">
        <v>3702</v>
      </c>
      <c r="Q9" s="3487">
        <v>44744</v>
      </c>
      <c r="R9" s="3477" t="s">
        <v>3703</v>
      </c>
      <c r="S9" s="3481" t="s">
        <v>3704</v>
      </c>
      <c r="T9" s="3481">
        <v>7462.46</v>
      </c>
      <c r="U9" s="3483">
        <v>20476.511908681812</v>
      </c>
      <c r="V9" s="3481"/>
      <c r="W9" s="3486">
        <v>0.56000000000000005</v>
      </c>
      <c r="X9" s="3477" t="s">
        <v>3683</v>
      </c>
    </row>
    <row r="10" spans="1:24" s="3476" customFormat="1" ht="33" customHeight="1">
      <c r="A10" s="3471">
        <v>450</v>
      </c>
      <c r="B10" s="3502" t="s">
        <v>3705</v>
      </c>
      <c r="C10" s="3471" t="s">
        <v>3706</v>
      </c>
      <c r="D10" s="3472" t="s">
        <v>3707</v>
      </c>
      <c r="E10" s="3472" t="s">
        <v>3708</v>
      </c>
      <c r="F10" s="3472" t="s">
        <v>3709</v>
      </c>
      <c r="G10" s="3471" t="s">
        <v>3710</v>
      </c>
      <c r="H10" s="3472"/>
      <c r="I10" s="3472">
        <v>5738.59</v>
      </c>
      <c r="J10" s="3473">
        <v>4782.1583333333338</v>
      </c>
      <c r="K10" s="3473">
        <v>956.43166666666639</v>
      </c>
      <c r="L10" s="3472">
        <v>9259.2099999999991</v>
      </c>
      <c r="M10" s="3502">
        <v>16135</v>
      </c>
      <c r="N10" s="3474">
        <v>19361.989617658692</v>
      </c>
      <c r="O10" s="3500">
        <f t="shared" si="0"/>
        <v>0.17</v>
      </c>
      <c r="P10" s="3472" t="s">
        <v>3686</v>
      </c>
      <c r="Q10" s="3497">
        <v>44739</v>
      </c>
      <c r="R10" s="3472" t="s">
        <v>3711</v>
      </c>
      <c r="S10" s="3472" t="s">
        <v>3712</v>
      </c>
      <c r="T10" s="3472"/>
      <c r="U10" s="3474">
        <v>0</v>
      </c>
      <c r="V10" s="3472"/>
      <c r="W10" s="3475" t="e">
        <v>#DIV/0!</v>
      </c>
      <c r="X10" s="3472"/>
    </row>
    <row r="11" spans="1:24" s="3527" customFormat="1" ht="33" customHeight="1">
      <c r="A11" s="3518">
        <v>451</v>
      </c>
      <c r="B11" s="3519" t="s">
        <v>4020</v>
      </c>
      <c r="C11" s="3518" t="s">
        <v>3713</v>
      </c>
      <c r="D11" s="3520" t="s">
        <v>3714</v>
      </c>
      <c r="E11" s="3520" t="s">
        <v>3700</v>
      </c>
      <c r="F11" s="3520" t="s">
        <v>3715</v>
      </c>
      <c r="G11" s="3518" t="s">
        <v>3716</v>
      </c>
      <c r="H11" s="3520"/>
      <c r="I11" s="3520">
        <v>2488.9499999999998</v>
      </c>
      <c r="J11" s="3521">
        <v>1989.8799999999999</v>
      </c>
      <c r="K11" s="3520">
        <v>499.07</v>
      </c>
      <c r="L11" s="3520">
        <v>5033.47</v>
      </c>
      <c r="M11" s="3519">
        <v>20223</v>
      </c>
      <c r="N11" s="3522">
        <v>25295.344442880982</v>
      </c>
      <c r="O11" s="3523">
        <f t="shared" si="0"/>
        <v>0.2</v>
      </c>
      <c r="P11" s="3520" t="s">
        <v>3686</v>
      </c>
      <c r="Q11" s="3528">
        <v>44740</v>
      </c>
      <c r="R11" s="3520" t="s">
        <v>3717</v>
      </c>
      <c r="S11" s="3520" t="s">
        <v>3696</v>
      </c>
      <c r="T11" s="3520"/>
      <c r="U11" s="3522">
        <v>0</v>
      </c>
      <c r="V11" s="3520"/>
      <c r="W11" s="3526" t="e">
        <v>#DIV/0!</v>
      </c>
      <c r="X11" s="3520"/>
    </row>
    <row r="12" spans="1:24" ht="33" customHeight="1">
      <c r="A12" s="3477">
        <v>456</v>
      </c>
      <c r="B12" s="3505" t="s">
        <v>3718</v>
      </c>
      <c r="C12" s="3477" t="s">
        <v>3719</v>
      </c>
      <c r="D12" s="3481" t="s">
        <v>3720</v>
      </c>
      <c r="E12" s="3481" t="s">
        <v>3721</v>
      </c>
      <c r="F12" s="3481" t="s">
        <v>3688</v>
      </c>
      <c r="G12" s="3477" t="s">
        <v>3722</v>
      </c>
      <c r="H12" s="3481">
        <v>179.4</v>
      </c>
      <c r="I12" s="3481">
        <v>1228.5899999999999</v>
      </c>
      <c r="J12" s="3482">
        <v>1228.5899999999999</v>
      </c>
      <c r="K12" s="3481"/>
      <c r="L12" s="3481">
        <v>2440</v>
      </c>
      <c r="M12" s="3502">
        <v>19860</v>
      </c>
      <c r="N12" s="3483">
        <v>19860.164904484005</v>
      </c>
      <c r="O12" s="3500">
        <f t="shared" si="0"/>
        <v>0</v>
      </c>
      <c r="P12" s="3481" t="s">
        <v>3686</v>
      </c>
      <c r="Q12" s="3487">
        <v>44571</v>
      </c>
      <c r="R12" s="3477" t="s">
        <v>3723</v>
      </c>
      <c r="S12" s="3481" t="s">
        <v>3704</v>
      </c>
      <c r="T12" s="3481">
        <v>4431.55</v>
      </c>
      <c r="U12" s="3483">
        <v>36070.210566584465</v>
      </c>
      <c r="V12" s="3481"/>
      <c r="W12" s="3486">
        <v>0.55059742076700025</v>
      </c>
      <c r="X12" s="3481" t="s">
        <v>3683</v>
      </c>
    </row>
    <row r="13" spans="1:24" ht="33" customHeight="1">
      <c r="A13" s="3477">
        <v>463</v>
      </c>
      <c r="B13" s="3505" t="s">
        <v>3994</v>
      </c>
      <c r="C13" s="3477" t="s">
        <v>3724</v>
      </c>
      <c r="D13" s="3481" t="s">
        <v>3725</v>
      </c>
      <c r="E13" s="3481" t="s">
        <v>3726</v>
      </c>
      <c r="F13" s="3481" t="s">
        <v>3727</v>
      </c>
      <c r="G13" s="3477" t="s">
        <v>3728</v>
      </c>
      <c r="H13" s="3481"/>
      <c r="I13" s="3481">
        <v>61606.26</v>
      </c>
      <c r="J13" s="3482">
        <v>42096.020000000004</v>
      </c>
      <c r="K13" s="3481">
        <v>19510.239999999998</v>
      </c>
      <c r="L13" s="3481">
        <v>175005.77</v>
      </c>
      <c r="M13" s="3502">
        <v>28407</v>
      </c>
      <c r="N13" s="3483">
        <v>41572.99668709773</v>
      </c>
      <c r="O13" s="3500">
        <f t="shared" si="0"/>
        <v>0.32</v>
      </c>
      <c r="P13" s="3481" t="s">
        <v>3729</v>
      </c>
      <c r="Q13" s="3487">
        <v>44771</v>
      </c>
      <c r="R13" s="3477" t="s">
        <v>3730</v>
      </c>
      <c r="S13" s="3481" t="s">
        <v>3731</v>
      </c>
      <c r="T13" s="3481"/>
      <c r="U13" s="3483">
        <v>0</v>
      </c>
      <c r="V13" s="3481"/>
      <c r="W13" s="3486" t="e">
        <v>#DIV/0!</v>
      </c>
      <c r="X13" s="3481"/>
    </row>
    <row r="14" spans="1:24" ht="33" customHeight="1">
      <c r="A14" s="3477">
        <v>467</v>
      </c>
      <c r="B14" s="3505" t="s">
        <v>3732</v>
      </c>
      <c r="C14" s="3477" t="s">
        <v>3733</v>
      </c>
      <c r="D14" s="3481" t="s">
        <v>3725</v>
      </c>
      <c r="E14" s="3481" t="s">
        <v>3734</v>
      </c>
      <c r="F14" s="3477" t="s">
        <v>3735</v>
      </c>
      <c r="G14" s="3477" t="s">
        <v>3736</v>
      </c>
      <c r="H14" s="3481">
        <v>19305.400000000001</v>
      </c>
      <c r="I14" s="3481">
        <v>14584.58</v>
      </c>
      <c r="J14" s="3482">
        <v>10919.396666666667</v>
      </c>
      <c r="K14" s="3492">
        <v>3665.1833333333329</v>
      </c>
      <c r="L14" s="3481">
        <v>29363.146400000001</v>
      </c>
      <c r="M14" s="3502">
        <v>20133</v>
      </c>
      <c r="N14" s="3483">
        <v>26890.813930806311</v>
      </c>
      <c r="O14" s="3500">
        <f t="shared" si="0"/>
        <v>0.25</v>
      </c>
      <c r="P14" s="3477" t="s">
        <v>3737</v>
      </c>
      <c r="Q14" s="3487">
        <v>44779</v>
      </c>
      <c r="R14" s="3477" t="s">
        <v>3738</v>
      </c>
      <c r="S14" s="3481">
        <v>2004</v>
      </c>
      <c r="T14" s="3481">
        <v>52434.19</v>
      </c>
      <c r="U14" s="3483">
        <v>48019.310590725552</v>
      </c>
      <c r="V14" s="3481"/>
      <c r="W14" s="3486">
        <v>0.56000000000000005</v>
      </c>
      <c r="X14" s="3481" t="s">
        <v>3683</v>
      </c>
    </row>
    <row r="15" spans="1:24" ht="33" hidden="1" customHeight="1">
      <c r="A15" s="3477">
        <v>473</v>
      </c>
      <c r="B15" s="3505" t="s">
        <v>3739</v>
      </c>
      <c r="C15" s="3477" t="s">
        <v>3740</v>
      </c>
      <c r="D15" s="3477" t="s">
        <v>3714</v>
      </c>
      <c r="E15" s="3481" t="s">
        <v>3741</v>
      </c>
      <c r="F15" s="3481" t="s">
        <v>3742</v>
      </c>
      <c r="G15" s="3477" t="s">
        <v>3743</v>
      </c>
      <c r="H15" s="3481"/>
      <c r="I15" s="3481">
        <v>3382.65</v>
      </c>
      <c r="J15" s="3482">
        <v>2706.12</v>
      </c>
      <c r="K15" s="3482">
        <v>676.5300000000002</v>
      </c>
      <c r="L15" s="3481">
        <v>5151.78</v>
      </c>
      <c r="M15" s="3502">
        <v>15230</v>
      </c>
      <c r="N15" s="3483">
        <v>19037.514966076891</v>
      </c>
      <c r="O15" s="3500">
        <f t="shared" si="0"/>
        <v>0.2</v>
      </c>
      <c r="P15" s="3481" t="s">
        <v>3686</v>
      </c>
      <c r="Q15" s="3484">
        <v>44781</v>
      </c>
      <c r="R15" s="3485" t="s">
        <v>3744</v>
      </c>
      <c r="S15" s="3481" t="s">
        <v>3745</v>
      </c>
      <c r="T15" s="3481"/>
      <c r="U15" s="3483">
        <v>0</v>
      </c>
      <c r="V15" s="3481"/>
      <c r="W15" s="3486" t="e">
        <v>#DIV/0!</v>
      </c>
      <c r="X15" s="3481"/>
    </row>
    <row r="16" spans="1:24" ht="33" customHeight="1">
      <c r="A16" s="3477">
        <v>479</v>
      </c>
      <c r="B16" s="3505" t="s">
        <v>3746</v>
      </c>
      <c r="C16" s="3477" t="s">
        <v>3747</v>
      </c>
      <c r="D16" s="3477" t="s">
        <v>3748</v>
      </c>
      <c r="E16" s="3481" t="s">
        <v>3749</v>
      </c>
      <c r="F16" s="3477" t="s">
        <v>3750</v>
      </c>
      <c r="G16" s="3477" t="s">
        <v>3751</v>
      </c>
      <c r="H16" s="3481"/>
      <c r="I16" s="3482">
        <v>28179.63</v>
      </c>
      <c r="J16" s="3482">
        <v>22543.704000000002</v>
      </c>
      <c r="K16" s="3482">
        <v>5635.9259999999995</v>
      </c>
      <c r="L16" s="3481">
        <v>59177.22</v>
      </c>
      <c r="M16" s="3502">
        <v>21000</v>
      </c>
      <c r="N16" s="3483">
        <v>26249.998669251512</v>
      </c>
      <c r="O16" s="3500">
        <f t="shared" si="0"/>
        <v>0.2</v>
      </c>
      <c r="P16" s="3477" t="s">
        <v>3752</v>
      </c>
      <c r="Q16" s="3487">
        <v>44795</v>
      </c>
      <c r="R16" s="3488" t="s">
        <v>3753</v>
      </c>
      <c r="S16" s="3489" t="s">
        <v>3754</v>
      </c>
      <c r="T16" s="3481"/>
      <c r="U16" s="3481"/>
      <c r="V16" s="3493"/>
      <c r="W16" s="3481"/>
      <c r="X16" s="3481" t="s">
        <v>3755</v>
      </c>
    </row>
    <row r="17" spans="1:24" ht="33" hidden="1" customHeight="1">
      <c r="A17" s="3477">
        <v>504</v>
      </c>
      <c r="B17" s="3505" t="s">
        <v>3756</v>
      </c>
      <c r="C17" s="3477" t="s">
        <v>3757</v>
      </c>
      <c r="D17" s="3481" t="s">
        <v>3758</v>
      </c>
      <c r="E17" s="3481" t="s">
        <v>3759</v>
      </c>
      <c r="F17" s="3481" t="s">
        <v>3760</v>
      </c>
      <c r="G17" s="3477" t="s">
        <v>3761</v>
      </c>
      <c r="H17" s="3481">
        <v>23400</v>
      </c>
      <c r="I17" s="3481">
        <v>135500</v>
      </c>
      <c r="J17" s="3482">
        <v>93500</v>
      </c>
      <c r="K17" s="3482">
        <v>42000</v>
      </c>
      <c r="L17" s="3481">
        <v>452000</v>
      </c>
      <c r="M17" s="3502">
        <v>33358</v>
      </c>
      <c r="N17" s="3483">
        <v>48342.245989304807</v>
      </c>
      <c r="O17" s="3500">
        <f t="shared" si="0"/>
        <v>0.31</v>
      </c>
      <c r="P17" s="3481" t="s">
        <v>3762</v>
      </c>
      <c r="Q17" s="3487">
        <v>44891</v>
      </c>
      <c r="R17" s="3477" t="s">
        <v>3763</v>
      </c>
      <c r="S17" s="3481" t="s">
        <v>3764</v>
      </c>
      <c r="T17" s="3481"/>
      <c r="U17" s="3483">
        <v>0</v>
      </c>
      <c r="V17" s="3481"/>
      <c r="W17" s="3486" t="e">
        <v>#DIV/0!</v>
      </c>
      <c r="X17" s="3481" t="s">
        <v>3765</v>
      </c>
    </row>
    <row r="18" spans="1:24" ht="33" customHeight="1">
      <c r="A18" s="3477">
        <v>505</v>
      </c>
      <c r="B18" s="3505" t="s">
        <v>3766</v>
      </c>
      <c r="C18" s="3477" t="s">
        <v>3767</v>
      </c>
      <c r="D18" s="3481" t="s">
        <v>3768</v>
      </c>
      <c r="E18" s="3481" t="s">
        <v>3769</v>
      </c>
      <c r="F18" s="3481" t="s">
        <v>3770</v>
      </c>
      <c r="G18" s="3477" t="s">
        <v>3771</v>
      </c>
      <c r="H18" s="3481"/>
      <c r="I18" s="3481">
        <v>1187.81</v>
      </c>
      <c r="J18" s="3482">
        <v>1187.71</v>
      </c>
      <c r="K18" s="3481"/>
      <c r="L18" s="3481">
        <v>2154</v>
      </c>
      <c r="M18" s="3502">
        <v>18134</v>
      </c>
      <c r="N18" s="3483">
        <v>18135.740205942529</v>
      </c>
      <c r="O18" s="3500">
        <f t="shared" si="0"/>
        <v>0</v>
      </c>
      <c r="P18" s="3477" t="s">
        <v>3772</v>
      </c>
      <c r="Q18" s="3487">
        <v>44919</v>
      </c>
      <c r="R18" s="3477" t="s">
        <v>3773</v>
      </c>
      <c r="S18" s="3481" t="s">
        <v>3774</v>
      </c>
      <c r="T18" s="3481">
        <v>3361.92</v>
      </c>
      <c r="U18" s="3483">
        <v>28305.899588283333</v>
      </c>
      <c r="V18" s="3481"/>
      <c r="W18" s="3486">
        <v>0.64070531125071384</v>
      </c>
      <c r="X18" s="3481" t="s">
        <v>3775</v>
      </c>
    </row>
    <row r="19" spans="1:24" ht="33" hidden="1" customHeight="1">
      <c r="A19" s="3477">
        <v>507</v>
      </c>
      <c r="B19" s="3505" t="s">
        <v>3776</v>
      </c>
      <c r="C19" s="3477" t="s">
        <v>3777</v>
      </c>
      <c r="D19" s="3481" t="s">
        <v>3665</v>
      </c>
      <c r="E19" s="3481" t="s">
        <v>3778</v>
      </c>
      <c r="F19" s="3481" t="s">
        <v>3779</v>
      </c>
      <c r="G19" s="3477" t="s">
        <v>3668</v>
      </c>
      <c r="H19" s="3481"/>
      <c r="I19" s="3481">
        <v>8671.6</v>
      </c>
      <c r="J19" s="3482">
        <v>8671.6</v>
      </c>
      <c r="K19" s="3481"/>
      <c r="L19" s="3481">
        <v>29483.439999999999</v>
      </c>
      <c r="M19" s="3502">
        <v>34000</v>
      </c>
      <c r="N19" s="3483">
        <v>34000</v>
      </c>
      <c r="O19" s="3500">
        <f t="shared" si="0"/>
        <v>0</v>
      </c>
      <c r="P19" s="3481" t="s">
        <v>3652</v>
      </c>
      <c r="Q19" s="3487">
        <v>44917</v>
      </c>
      <c r="R19" s="3481" t="s">
        <v>3780</v>
      </c>
      <c r="S19" s="3481" t="s">
        <v>3781</v>
      </c>
      <c r="T19" s="3481"/>
      <c r="U19" s="3483">
        <v>0</v>
      </c>
      <c r="V19" s="3481"/>
      <c r="W19" s="3486" t="e">
        <v>#DIV/0!</v>
      </c>
      <c r="X19" s="3481" t="s">
        <v>3782</v>
      </c>
    </row>
    <row r="20" spans="1:24" ht="33" hidden="1" customHeight="1">
      <c r="A20" s="3477">
        <v>508</v>
      </c>
      <c r="B20" s="3506" t="s">
        <v>3783</v>
      </c>
      <c r="C20" s="3477" t="s">
        <v>3784</v>
      </c>
      <c r="D20" s="3481" t="s">
        <v>3785</v>
      </c>
      <c r="E20" s="3481" t="s">
        <v>3786</v>
      </c>
      <c r="F20" s="3481" t="s">
        <v>3652</v>
      </c>
      <c r="G20" s="3477" t="s">
        <v>3787</v>
      </c>
      <c r="H20" s="3481"/>
      <c r="I20" s="3481">
        <v>470.01</v>
      </c>
      <c r="J20" s="3482">
        <v>352.50749999999999</v>
      </c>
      <c r="K20" s="3482">
        <v>117.5025</v>
      </c>
      <c r="L20" s="3481">
        <v>1921</v>
      </c>
      <c r="M20" s="3502">
        <v>40871</v>
      </c>
      <c r="N20" s="3483">
        <v>54495.294426359724</v>
      </c>
      <c r="O20" s="3500">
        <f t="shared" si="0"/>
        <v>0.25</v>
      </c>
      <c r="P20" s="3481" t="s">
        <v>3788</v>
      </c>
      <c r="Q20" s="3487">
        <v>44930</v>
      </c>
      <c r="R20" s="3481" t="s">
        <v>3789</v>
      </c>
      <c r="S20" s="3481" t="s">
        <v>3790</v>
      </c>
      <c r="T20" s="3481">
        <v>1500</v>
      </c>
      <c r="U20" s="3483">
        <v>42552.28612157188</v>
      </c>
      <c r="V20" s="3481"/>
      <c r="W20" s="3486">
        <v>1.2806666666666666</v>
      </c>
      <c r="X20" s="3481" t="s">
        <v>3775</v>
      </c>
    </row>
    <row r="21" spans="1:24" ht="33" customHeight="1">
      <c r="A21" s="3477">
        <v>511</v>
      </c>
      <c r="B21" s="3505" t="s">
        <v>3791</v>
      </c>
      <c r="C21" s="3481" t="s">
        <v>3792</v>
      </c>
      <c r="D21" s="3481" t="s">
        <v>3793</v>
      </c>
      <c r="E21" s="3477" t="s">
        <v>3794</v>
      </c>
      <c r="F21" s="3481" t="s">
        <v>3795</v>
      </c>
      <c r="G21" s="3477" t="s">
        <v>3796</v>
      </c>
      <c r="H21" s="3481"/>
      <c r="I21" s="3481">
        <v>36279.259999999995</v>
      </c>
      <c r="J21" s="3482">
        <v>36279.259999999995</v>
      </c>
      <c r="K21" s="3481"/>
      <c r="L21" s="3481">
        <v>58046.82</v>
      </c>
      <c r="M21" s="3502">
        <v>16000</v>
      </c>
      <c r="N21" s="3483">
        <v>16000.001102558323</v>
      </c>
      <c r="O21" s="3500">
        <f t="shared" si="0"/>
        <v>0</v>
      </c>
      <c r="P21" s="3481" t="s">
        <v>3797</v>
      </c>
      <c r="Q21" s="3484">
        <v>44866</v>
      </c>
      <c r="R21" s="3481" t="s">
        <v>3798</v>
      </c>
      <c r="S21" s="3481" t="s">
        <v>3671</v>
      </c>
      <c r="T21" s="3481"/>
      <c r="U21" s="3483">
        <v>0</v>
      </c>
      <c r="V21" s="3481"/>
      <c r="W21" s="3486" t="e">
        <v>#DIV/0!</v>
      </c>
      <c r="X21" s="3481" t="s">
        <v>3799</v>
      </c>
    </row>
    <row r="22" spans="1:24" ht="33" hidden="1" customHeight="1">
      <c r="A22" s="3477">
        <v>524</v>
      </c>
      <c r="B22" s="3507" t="s">
        <v>3800</v>
      </c>
      <c r="C22" s="3494" t="s">
        <v>3801</v>
      </c>
      <c r="D22" s="3494" t="s">
        <v>3785</v>
      </c>
      <c r="E22" s="3494" t="s">
        <v>3802</v>
      </c>
      <c r="F22" s="3494" t="s">
        <v>3803</v>
      </c>
      <c r="G22" s="3494" t="s">
        <v>3804</v>
      </c>
      <c r="H22" s="3494"/>
      <c r="I22" s="3494">
        <v>4831.22</v>
      </c>
      <c r="J22" s="3494">
        <v>4177.5700000000006</v>
      </c>
      <c r="K22" s="3494">
        <v>653.65</v>
      </c>
      <c r="L22" s="3494">
        <v>17086.28</v>
      </c>
      <c r="M22" s="3503">
        <v>35366</v>
      </c>
      <c r="N22" s="3494">
        <v>40900</v>
      </c>
      <c r="O22" s="3500">
        <f t="shared" si="0"/>
        <v>0.14000000000000001</v>
      </c>
      <c r="P22" s="3494" t="s">
        <v>3652</v>
      </c>
      <c r="Q22" s="3495">
        <v>44994</v>
      </c>
      <c r="R22" s="3494" t="s">
        <v>3805</v>
      </c>
      <c r="S22" s="3494" t="s">
        <v>3806</v>
      </c>
      <c r="T22" s="3494"/>
      <c r="U22" s="3483"/>
      <c r="V22" s="3494"/>
      <c r="W22" s="3486"/>
      <c r="X22" s="3481" t="s">
        <v>3807</v>
      </c>
    </row>
    <row r="23" spans="1:24" ht="33" hidden="1" customHeight="1">
      <c r="A23" s="3477">
        <v>526</v>
      </c>
      <c r="B23" s="3505" t="s">
        <v>3808</v>
      </c>
      <c r="C23" s="3477" t="s">
        <v>3809</v>
      </c>
      <c r="D23" s="3481" t="s">
        <v>3665</v>
      </c>
      <c r="E23" s="3481" t="s">
        <v>3778</v>
      </c>
      <c r="F23" s="3481" t="s">
        <v>3779</v>
      </c>
      <c r="G23" s="3477" t="s">
        <v>3668</v>
      </c>
      <c r="H23" s="3481"/>
      <c r="I23" s="3481">
        <v>35216.400000000001</v>
      </c>
      <c r="J23" s="3482">
        <v>35216.400000000001</v>
      </c>
      <c r="K23" s="3481"/>
      <c r="L23" s="3481">
        <v>119735.76</v>
      </c>
      <c r="M23" s="3502">
        <v>34000</v>
      </c>
      <c r="N23" s="3483">
        <v>34000</v>
      </c>
      <c r="O23" s="3500">
        <f t="shared" si="0"/>
        <v>0</v>
      </c>
      <c r="P23" s="3481" t="s">
        <v>3652</v>
      </c>
      <c r="Q23" s="3495">
        <v>44986</v>
      </c>
      <c r="R23" s="3481" t="s">
        <v>3810</v>
      </c>
      <c r="S23" s="3481" t="s">
        <v>3781</v>
      </c>
      <c r="T23" s="3481"/>
      <c r="U23" s="3483">
        <v>0</v>
      </c>
      <c r="V23" s="3481"/>
      <c r="W23" s="3486" t="e">
        <v>#DIV/0!</v>
      </c>
      <c r="X23" s="3481" t="s">
        <v>3782</v>
      </c>
    </row>
    <row r="24" spans="1:24" ht="33" customHeight="1">
      <c r="A24" s="3477">
        <v>543</v>
      </c>
      <c r="B24" s="3505" t="s">
        <v>3811</v>
      </c>
      <c r="C24" s="3481" t="s">
        <v>3812</v>
      </c>
      <c r="D24" s="3481" t="s">
        <v>3657</v>
      </c>
      <c r="E24" s="3481" t="s">
        <v>3813</v>
      </c>
      <c r="F24" s="3481" t="s">
        <v>3659</v>
      </c>
      <c r="G24" s="3477" t="s">
        <v>3814</v>
      </c>
      <c r="H24" s="3481"/>
      <c r="I24" s="3481">
        <v>16577.27</v>
      </c>
      <c r="J24" s="3482">
        <v>16577.27</v>
      </c>
      <c r="K24" s="3481"/>
      <c r="L24" s="3481">
        <v>22911.439999999999</v>
      </c>
      <c r="M24" s="3502">
        <v>13821</v>
      </c>
      <c r="N24" s="3483">
        <v>13820.997064052162</v>
      </c>
      <c r="O24" s="3500">
        <f t="shared" si="0"/>
        <v>0</v>
      </c>
      <c r="P24" s="3481" t="s">
        <v>3815</v>
      </c>
      <c r="Q24" s="3495">
        <v>45078</v>
      </c>
      <c r="R24" s="3481" t="s">
        <v>3810</v>
      </c>
      <c r="S24" s="3481" t="s">
        <v>3816</v>
      </c>
      <c r="T24" s="3481"/>
      <c r="U24" s="3483">
        <v>0</v>
      </c>
      <c r="V24" s="3481"/>
      <c r="W24" s="3486" t="e">
        <v>#DIV/0!</v>
      </c>
      <c r="X24" s="3481" t="s">
        <v>3807</v>
      </c>
    </row>
    <row r="25" spans="1:24" ht="33" customHeight="1">
      <c r="A25" s="3477">
        <v>553</v>
      </c>
      <c r="B25" s="3506" t="s">
        <v>3817</v>
      </c>
      <c r="C25" s="3477" t="s">
        <v>3818</v>
      </c>
      <c r="D25" s="3481" t="s">
        <v>3768</v>
      </c>
      <c r="E25" s="3477" t="s">
        <v>3769</v>
      </c>
      <c r="F25" s="3477" t="s">
        <v>3819</v>
      </c>
      <c r="G25" s="3477" t="s">
        <v>3820</v>
      </c>
      <c r="H25" s="3481"/>
      <c r="I25" s="3481">
        <v>2230.1799999999998</v>
      </c>
      <c r="J25" s="3482">
        <v>2230.1799999999998</v>
      </c>
      <c r="K25" s="3481"/>
      <c r="L25" s="3481">
        <v>4231.7056000000002</v>
      </c>
      <c r="M25" s="3502">
        <v>18975</v>
      </c>
      <c r="N25" s="3483">
        <v>18974.726703674147</v>
      </c>
      <c r="O25" s="3500">
        <f t="shared" si="0"/>
        <v>0</v>
      </c>
      <c r="P25" s="3477" t="s">
        <v>3821</v>
      </c>
      <c r="Q25" s="3487">
        <v>45115</v>
      </c>
      <c r="R25" s="3477" t="s">
        <v>3822</v>
      </c>
      <c r="S25" s="3481" t="s">
        <v>3823</v>
      </c>
      <c r="T25" s="3481">
        <v>6612.04</v>
      </c>
      <c r="U25" s="3483">
        <v>29648.010474490849</v>
      </c>
      <c r="V25" s="3481"/>
      <c r="W25" s="3486">
        <v>0.64</v>
      </c>
      <c r="X25" s="3481" t="s">
        <v>3775</v>
      </c>
    </row>
    <row r="26" spans="1:24" ht="33" customHeight="1">
      <c r="A26" s="3477">
        <v>555</v>
      </c>
      <c r="B26" s="3506" t="s">
        <v>3824</v>
      </c>
      <c r="C26" s="3477" t="s">
        <v>3825</v>
      </c>
      <c r="D26" s="3481" t="s">
        <v>3768</v>
      </c>
      <c r="E26" s="3477" t="s">
        <v>3769</v>
      </c>
      <c r="F26" s="3477" t="s">
        <v>3826</v>
      </c>
      <c r="G26" s="3477" t="s">
        <v>3820</v>
      </c>
      <c r="H26" s="3481"/>
      <c r="I26" s="3481">
        <v>1187.81</v>
      </c>
      <c r="J26" s="3482">
        <v>1187.81</v>
      </c>
      <c r="K26" s="3481"/>
      <c r="L26" s="3481">
        <v>2550</v>
      </c>
      <c r="M26" s="3502">
        <v>21468</v>
      </c>
      <c r="N26" s="3483">
        <v>21468.079911770405</v>
      </c>
      <c r="O26" s="3500">
        <f t="shared" si="0"/>
        <v>0</v>
      </c>
      <c r="P26" s="3477" t="s">
        <v>3827</v>
      </c>
      <c r="Q26" s="3487">
        <v>45126</v>
      </c>
      <c r="R26" s="3477" t="s">
        <v>3828</v>
      </c>
      <c r="S26" s="3481" t="s">
        <v>3829</v>
      </c>
      <c r="T26" s="3481">
        <v>3590.04</v>
      </c>
      <c r="U26" s="3483">
        <v>30224.025728020475</v>
      </c>
      <c r="V26" s="3481"/>
      <c r="W26" s="3486">
        <v>0.71029849249590538</v>
      </c>
      <c r="X26" s="3481" t="s">
        <v>3775</v>
      </c>
    </row>
    <row r="27" spans="1:24" ht="33" customHeight="1">
      <c r="A27" s="3477">
        <v>559</v>
      </c>
      <c r="B27" s="3505" t="s">
        <v>3830</v>
      </c>
      <c r="C27" s="3477" t="s">
        <v>3831</v>
      </c>
      <c r="D27" s="3477" t="s">
        <v>3832</v>
      </c>
      <c r="E27" s="3481" t="s">
        <v>3833</v>
      </c>
      <c r="F27" s="3477" t="s">
        <v>3834</v>
      </c>
      <c r="G27" s="3477" t="s">
        <v>3660</v>
      </c>
      <c r="H27" s="3481"/>
      <c r="I27" s="3481">
        <v>2079.25</v>
      </c>
      <c r="J27" s="3482"/>
      <c r="K27" s="3481"/>
      <c r="L27" s="3481">
        <v>3229.33</v>
      </c>
      <c r="M27" s="3502">
        <v>15531</v>
      </c>
      <c r="N27" s="3483" t="e">
        <v>#DIV/0!</v>
      </c>
      <c r="O27" s="3500">
        <f t="shared" si="0"/>
        <v>0</v>
      </c>
      <c r="P27" s="3477" t="s">
        <v>3835</v>
      </c>
      <c r="Q27" s="3487">
        <v>45146</v>
      </c>
      <c r="R27" s="3477" t="s">
        <v>3836</v>
      </c>
      <c r="S27" s="3481" t="s">
        <v>3790</v>
      </c>
      <c r="T27" s="3481">
        <v>3799.21</v>
      </c>
      <c r="U27" s="3483">
        <v>18272.021161476496</v>
      </c>
      <c r="V27" s="3481"/>
      <c r="W27" s="3486">
        <v>0.85000039481892287</v>
      </c>
      <c r="X27" s="3477" t="s">
        <v>3775</v>
      </c>
    </row>
    <row r="28" spans="1:24" ht="33" hidden="1" customHeight="1">
      <c r="A28" s="3477">
        <v>564</v>
      </c>
      <c r="B28" s="3505" t="s">
        <v>3837</v>
      </c>
      <c r="C28" s="3477" t="s">
        <v>3838</v>
      </c>
      <c r="D28" s="3481" t="s">
        <v>3839</v>
      </c>
      <c r="E28" s="3481" t="s">
        <v>3840</v>
      </c>
      <c r="F28" s="3481" t="s">
        <v>3841</v>
      </c>
      <c r="G28" s="3477" t="s">
        <v>3694</v>
      </c>
      <c r="H28" s="3481"/>
      <c r="I28" s="3481">
        <v>30899.29</v>
      </c>
      <c r="J28" s="3482">
        <v>30899.29</v>
      </c>
      <c r="K28" s="3481"/>
      <c r="L28" s="3481">
        <v>105057.59</v>
      </c>
      <c r="M28" s="3502">
        <v>34000</v>
      </c>
      <c r="N28" s="3483">
        <v>34000.001294528127</v>
      </c>
      <c r="O28" s="3500">
        <f t="shared" si="0"/>
        <v>0</v>
      </c>
      <c r="P28" s="3481" t="s">
        <v>3686</v>
      </c>
      <c r="Q28" s="3495">
        <v>45139</v>
      </c>
      <c r="R28" s="3481" t="s">
        <v>3842</v>
      </c>
      <c r="S28" s="3481" t="s">
        <v>3843</v>
      </c>
      <c r="T28" s="3481"/>
      <c r="U28" s="3483">
        <v>0</v>
      </c>
      <c r="V28" s="3481"/>
      <c r="W28" s="3486" t="e">
        <v>#DIV/0!</v>
      </c>
      <c r="X28" s="3481" t="s">
        <v>3844</v>
      </c>
    </row>
    <row r="29" spans="1:24" ht="33" hidden="1" customHeight="1">
      <c r="A29" s="3477">
        <v>565</v>
      </c>
      <c r="B29" s="3506" t="s">
        <v>3845</v>
      </c>
      <c r="C29" s="3481" t="s">
        <v>3846</v>
      </c>
      <c r="D29" s="3481" t="s">
        <v>3839</v>
      </c>
      <c r="E29" s="3477" t="s">
        <v>3847</v>
      </c>
      <c r="F29" s="3477" t="s">
        <v>3848</v>
      </c>
      <c r="G29" s="3477" t="s">
        <v>3849</v>
      </c>
      <c r="H29" s="3481"/>
      <c r="I29" s="3481">
        <v>20714.13</v>
      </c>
      <c r="J29" s="3482">
        <v>20714.13</v>
      </c>
      <c r="K29" s="3481"/>
      <c r="L29" s="3481">
        <v>93213.58</v>
      </c>
      <c r="M29" s="3502">
        <v>45000</v>
      </c>
      <c r="N29" s="3483">
        <v>44999.997586188751</v>
      </c>
      <c r="O29" s="3500">
        <f t="shared" si="0"/>
        <v>0</v>
      </c>
      <c r="P29" s="3477" t="s">
        <v>3850</v>
      </c>
      <c r="Q29" s="3495">
        <v>45139</v>
      </c>
      <c r="R29" s="3477" t="s">
        <v>3851</v>
      </c>
      <c r="S29" s="3481" t="s">
        <v>3843</v>
      </c>
      <c r="T29" s="3481"/>
      <c r="U29" s="3483">
        <v>0</v>
      </c>
      <c r="V29" s="3481"/>
      <c r="W29" s="3486" t="e">
        <v>#DIV/0!</v>
      </c>
      <c r="X29" s="3481" t="s">
        <v>3852</v>
      </c>
    </row>
    <row r="30" spans="1:24" ht="33" hidden="1" customHeight="1">
      <c r="A30" s="3477">
        <v>566</v>
      </c>
      <c r="B30" s="3505" t="s">
        <v>3853</v>
      </c>
      <c r="C30" s="3477" t="s">
        <v>3854</v>
      </c>
      <c r="D30" s="3481" t="s">
        <v>3725</v>
      </c>
      <c r="E30" s="3481" t="s">
        <v>3855</v>
      </c>
      <c r="F30" s="3481" t="s">
        <v>3856</v>
      </c>
      <c r="G30" s="3477" t="s">
        <v>3857</v>
      </c>
      <c r="H30" s="3481"/>
      <c r="I30" s="3481">
        <v>8905</v>
      </c>
      <c r="J30" s="3482">
        <v>8905</v>
      </c>
      <c r="K30" s="3481"/>
      <c r="L30" s="3481">
        <v>33839</v>
      </c>
      <c r="M30" s="3502">
        <v>38000</v>
      </c>
      <c r="N30" s="3483">
        <v>38000</v>
      </c>
      <c r="O30" s="3500">
        <f t="shared" si="0"/>
        <v>0</v>
      </c>
      <c r="P30" s="3481" t="s">
        <v>3858</v>
      </c>
      <c r="Q30" s="3484">
        <v>45041</v>
      </c>
      <c r="R30" s="3477" t="s">
        <v>3859</v>
      </c>
      <c r="S30" s="3481" t="s">
        <v>3860</v>
      </c>
      <c r="T30" s="3481"/>
      <c r="U30" s="3483">
        <v>0</v>
      </c>
      <c r="V30" s="3481"/>
      <c r="W30" s="3486" t="e">
        <v>#DIV/0!</v>
      </c>
      <c r="X30" s="3481" t="s">
        <v>3861</v>
      </c>
    </row>
    <row r="31" spans="1:24" ht="33" customHeight="1">
      <c r="A31" s="3477">
        <v>568</v>
      </c>
      <c r="B31" s="3505" t="s">
        <v>3862</v>
      </c>
      <c r="C31" s="3477" t="s">
        <v>3863</v>
      </c>
      <c r="D31" s="3477" t="s">
        <v>3748</v>
      </c>
      <c r="E31" s="3481" t="s">
        <v>3749</v>
      </c>
      <c r="F31" s="3477" t="s">
        <v>3750</v>
      </c>
      <c r="G31" s="3477" t="s">
        <v>3751</v>
      </c>
      <c r="H31" s="3481"/>
      <c r="I31" s="3482">
        <v>35283.660000000003</v>
      </c>
      <c r="J31" s="3482">
        <v>29000</v>
      </c>
      <c r="K31" s="3482">
        <v>6283.6600000000035</v>
      </c>
      <c r="L31" s="3481">
        <v>90000</v>
      </c>
      <c r="M31" s="3502">
        <v>25508</v>
      </c>
      <c r="N31" s="3481">
        <v>31034</v>
      </c>
      <c r="O31" s="3500">
        <f t="shared" si="0"/>
        <v>0.18</v>
      </c>
      <c r="P31" s="3477" t="s">
        <v>3864</v>
      </c>
      <c r="Q31" s="3484" t="s">
        <v>3865</v>
      </c>
      <c r="R31" s="3488" t="s">
        <v>3866</v>
      </c>
      <c r="S31" s="3489" t="s">
        <v>3843</v>
      </c>
      <c r="T31" s="3481"/>
      <c r="U31" s="3481"/>
      <c r="V31" s="3481"/>
      <c r="W31" s="3481"/>
      <c r="X31" s="3481" t="s">
        <v>3867</v>
      </c>
    </row>
    <row r="32" spans="1:24" ht="33" hidden="1" customHeight="1">
      <c r="A32" s="3477">
        <v>571</v>
      </c>
      <c r="B32" s="3505" t="s">
        <v>3868</v>
      </c>
      <c r="C32" s="3477" t="s">
        <v>3869</v>
      </c>
      <c r="D32" s="3481" t="s">
        <v>3839</v>
      </c>
      <c r="E32" s="3481" t="s">
        <v>3840</v>
      </c>
      <c r="F32" s="3481" t="s">
        <v>3841</v>
      </c>
      <c r="G32" s="3477" t="s">
        <v>3694</v>
      </c>
      <c r="H32" s="3481"/>
      <c r="I32" s="3481">
        <v>4550.4799999999996</v>
      </c>
      <c r="J32" s="3482">
        <v>4550.4799999999996</v>
      </c>
      <c r="K32" s="3481"/>
      <c r="L32" s="3481">
        <v>15471.632</v>
      </c>
      <c r="M32" s="3502">
        <v>34000</v>
      </c>
      <c r="N32" s="3483">
        <v>34000</v>
      </c>
      <c r="O32" s="3500">
        <f t="shared" si="0"/>
        <v>0</v>
      </c>
      <c r="P32" s="3481" t="s">
        <v>3686</v>
      </c>
      <c r="Q32" s="3495">
        <v>45139</v>
      </c>
      <c r="R32" s="3481" t="s">
        <v>3842</v>
      </c>
      <c r="S32" s="3481" t="s">
        <v>3843</v>
      </c>
      <c r="T32" s="3481"/>
      <c r="U32" s="3483">
        <v>0</v>
      </c>
      <c r="V32" s="3481"/>
      <c r="W32" s="3486" t="e">
        <v>#DIV/0!</v>
      </c>
      <c r="X32" s="3481" t="s">
        <v>3844</v>
      </c>
    </row>
    <row r="33" spans="1:24" ht="33" hidden="1" customHeight="1">
      <c r="A33" s="3477">
        <v>578</v>
      </c>
      <c r="B33" s="3505" t="s">
        <v>3870</v>
      </c>
      <c r="C33" s="3477" t="s">
        <v>3871</v>
      </c>
      <c r="D33" s="3481" t="s">
        <v>3839</v>
      </c>
      <c r="E33" s="3481" t="s">
        <v>3840</v>
      </c>
      <c r="F33" s="3481" t="s">
        <v>3841</v>
      </c>
      <c r="G33" s="3477" t="s">
        <v>3694</v>
      </c>
      <c r="H33" s="3481"/>
      <c r="I33" s="3481">
        <v>20425.009999999998</v>
      </c>
      <c r="J33" s="3482">
        <v>20425.009999999998</v>
      </c>
      <c r="K33" s="3481"/>
      <c r="L33" s="3481">
        <v>69445.03</v>
      </c>
      <c r="M33" s="3502">
        <v>34000</v>
      </c>
      <c r="N33" s="3483">
        <v>33999.998041616629</v>
      </c>
      <c r="O33" s="3500">
        <f t="shared" si="0"/>
        <v>0</v>
      </c>
      <c r="P33" s="3481" t="s">
        <v>3686</v>
      </c>
      <c r="Q33" s="3495">
        <v>45184</v>
      </c>
      <c r="R33" s="3481" t="s">
        <v>3872</v>
      </c>
      <c r="S33" s="3481" t="s">
        <v>3843</v>
      </c>
      <c r="T33" s="3481"/>
      <c r="U33" s="3483">
        <v>0</v>
      </c>
      <c r="V33" s="3481"/>
      <c r="W33" s="3486" t="e">
        <v>#DIV/0!</v>
      </c>
      <c r="X33" s="3481" t="s">
        <v>3844</v>
      </c>
    </row>
    <row r="34" spans="1:24" ht="33" hidden="1" customHeight="1">
      <c r="A34" s="3477">
        <v>585</v>
      </c>
      <c r="B34" s="3505" t="s">
        <v>3873</v>
      </c>
      <c r="C34" s="3477" t="s">
        <v>3874</v>
      </c>
      <c r="D34" s="3481" t="s">
        <v>3714</v>
      </c>
      <c r="E34" s="3481" t="s">
        <v>3875</v>
      </c>
      <c r="F34" s="3481" t="s">
        <v>3678</v>
      </c>
      <c r="G34" s="3477" t="s">
        <v>3876</v>
      </c>
      <c r="H34" s="3481"/>
      <c r="I34" s="3481">
        <v>1500.64</v>
      </c>
      <c r="J34" s="3482">
        <v>1203.8800000000001</v>
      </c>
      <c r="K34" s="3481">
        <v>296.76</v>
      </c>
      <c r="L34" s="3481">
        <v>1623.6775</v>
      </c>
      <c r="M34" s="3502">
        <v>10820</v>
      </c>
      <c r="N34" s="3483">
        <v>13487.03774462571</v>
      </c>
      <c r="O34" s="3500">
        <f t="shared" si="0"/>
        <v>0.2</v>
      </c>
      <c r="P34" s="3477" t="s">
        <v>3877</v>
      </c>
      <c r="Q34" s="3487">
        <v>45216</v>
      </c>
      <c r="R34" s="3477" t="s">
        <v>3878</v>
      </c>
      <c r="S34" s="3481" t="s">
        <v>3879</v>
      </c>
      <c r="T34" s="3481">
        <v>2319.5392000000002</v>
      </c>
      <c r="U34" s="3483">
        <v>19267.196066053093</v>
      </c>
      <c r="V34" s="3481"/>
      <c r="W34" s="3486">
        <v>0.70000002586720667</v>
      </c>
      <c r="X34" s="3481" t="s">
        <v>3683</v>
      </c>
    </row>
    <row r="35" spans="1:24" ht="33" customHeight="1">
      <c r="A35" s="3477">
        <v>586</v>
      </c>
      <c r="B35" s="3506" t="s">
        <v>3880</v>
      </c>
      <c r="C35" s="3477" t="s">
        <v>3881</v>
      </c>
      <c r="D35" s="3481" t="s">
        <v>3692</v>
      </c>
      <c r="E35" s="3481" t="s">
        <v>3882</v>
      </c>
      <c r="F35" s="3481" t="s">
        <v>3883</v>
      </c>
      <c r="G35" s="3477" t="s">
        <v>3694</v>
      </c>
      <c r="H35" s="3481"/>
      <c r="I35" s="3481">
        <v>12280.94</v>
      </c>
      <c r="J35" s="3482">
        <v>12280.94</v>
      </c>
      <c r="K35" s="3481"/>
      <c r="L35" s="3483">
        <v>32716.42</v>
      </c>
      <c r="M35" s="3502">
        <v>26640</v>
      </c>
      <c r="N35" s="3483">
        <v>26639.99661263714</v>
      </c>
      <c r="O35" s="3500">
        <f t="shared" si="0"/>
        <v>0</v>
      </c>
      <c r="P35" s="3481" t="s">
        <v>3686</v>
      </c>
      <c r="Q35" s="3487">
        <v>45217</v>
      </c>
      <c r="R35" s="3481" t="s">
        <v>3884</v>
      </c>
      <c r="S35" s="3481" t="s">
        <v>3885</v>
      </c>
      <c r="T35" s="3481">
        <v>42983.29</v>
      </c>
      <c r="U35" s="3483">
        <v>35000</v>
      </c>
      <c r="V35" s="3481" t="s">
        <v>3886</v>
      </c>
      <c r="W35" s="3486">
        <v>0.76114276036106121</v>
      </c>
      <c r="X35" s="3481" t="s">
        <v>3844</v>
      </c>
    </row>
    <row r="36" spans="1:24" ht="33" hidden="1" customHeight="1">
      <c r="A36" s="3477">
        <v>589</v>
      </c>
      <c r="B36" s="3505" t="s">
        <v>3887</v>
      </c>
      <c r="C36" s="3477" t="s">
        <v>3888</v>
      </c>
      <c r="D36" s="3477" t="s">
        <v>3832</v>
      </c>
      <c r="E36" s="3481" t="s">
        <v>3833</v>
      </c>
      <c r="F36" s="3477" t="s">
        <v>3889</v>
      </c>
      <c r="G36" s="3477" t="s">
        <v>3890</v>
      </c>
      <c r="H36" s="3481"/>
      <c r="I36" s="3481">
        <v>11369.28</v>
      </c>
      <c r="J36" s="3482"/>
      <c r="K36" s="3481"/>
      <c r="L36" s="3496">
        <v>6336.32</v>
      </c>
      <c r="M36" s="3502">
        <v>5573</v>
      </c>
      <c r="N36" s="3483" t="e">
        <v>#DIV/0!</v>
      </c>
      <c r="O36" s="3500">
        <f t="shared" si="0"/>
        <v>0</v>
      </c>
      <c r="P36" s="3477" t="s">
        <v>3891</v>
      </c>
      <c r="Q36" s="3487">
        <v>45249</v>
      </c>
      <c r="R36" s="3477" t="s">
        <v>3892</v>
      </c>
      <c r="S36" s="3481" t="s">
        <v>3893</v>
      </c>
      <c r="T36" s="3481">
        <v>11047</v>
      </c>
      <c r="U36" s="3483" t="e">
        <v>#DIV/0!</v>
      </c>
      <c r="V36" s="3481"/>
      <c r="W36" s="3486">
        <v>0.57357834706255084</v>
      </c>
      <c r="X36" s="3481" t="s">
        <v>3775</v>
      </c>
    </row>
    <row r="37" spans="1:24" ht="33" hidden="1" customHeight="1">
      <c r="A37" s="3477">
        <v>590</v>
      </c>
      <c r="B37" s="3505" t="s">
        <v>3894</v>
      </c>
      <c r="C37" s="3477" t="s">
        <v>3895</v>
      </c>
      <c r="D37" s="3481" t="s">
        <v>3896</v>
      </c>
      <c r="E37" s="3481" t="s">
        <v>3897</v>
      </c>
      <c r="F37" s="3477" t="s">
        <v>3898</v>
      </c>
      <c r="G37" s="3477" t="s">
        <v>3651</v>
      </c>
      <c r="H37" s="3481"/>
      <c r="I37" s="3481">
        <v>2772.84</v>
      </c>
      <c r="J37" s="3482">
        <v>2772.84</v>
      </c>
      <c r="K37" s="3481"/>
      <c r="L37" s="3481">
        <v>1537.2144000000001</v>
      </c>
      <c r="M37" s="3502">
        <v>5544</v>
      </c>
      <c r="N37" s="3483">
        <v>5543.8265460682915</v>
      </c>
      <c r="O37" s="3500">
        <f t="shared" si="0"/>
        <v>0</v>
      </c>
      <c r="P37" s="3477" t="s">
        <v>3899</v>
      </c>
      <c r="Q37" s="3487">
        <v>45150</v>
      </c>
      <c r="R37" s="3481" t="s">
        <v>3900</v>
      </c>
      <c r="S37" s="3481"/>
      <c r="T37" s="3481">
        <v>2347.21</v>
      </c>
      <c r="U37" s="3483">
        <v>8465.0033900261096</v>
      </c>
      <c r="V37" s="3481"/>
      <c r="W37" s="3486">
        <v>0.65491132024829479</v>
      </c>
      <c r="X37" s="3481" t="s">
        <v>3775</v>
      </c>
    </row>
    <row r="38" spans="1:24" ht="33" hidden="1" customHeight="1">
      <c r="A38" s="3477">
        <v>591</v>
      </c>
      <c r="B38" s="3505" t="s">
        <v>3901</v>
      </c>
      <c r="C38" s="3481" t="s">
        <v>3792</v>
      </c>
      <c r="D38" s="3481" t="s">
        <v>3793</v>
      </c>
      <c r="E38" s="3477" t="s">
        <v>3794</v>
      </c>
      <c r="F38" s="3481" t="s">
        <v>3795</v>
      </c>
      <c r="G38" s="3477" t="s">
        <v>3796</v>
      </c>
      <c r="H38" s="3481"/>
      <c r="I38" s="3481">
        <v>57617.54</v>
      </c>
      <c r="J38" s="3482">
        <v>51245.68</v>
      </c>
      <c r="K38" s="3482">
        <v>6371.8600000000006</v>
      </c>
      <c r="L38" s="3481">
        <v>81377.37</v>
      </c>
      <c r="M38" s="3502">
        <v>14124</v>
      </c>
      <c r="N38" s="3483">
        <v>15879.849774654176</v>
      </c>
      <c r="O38" s="3500">
        <f t="shared" si="0"/>
        <v>0.11</v>
      </c>
      <c r="P38" s="3481" t="s">
        <v>3652</v>
      </c>
      <c r="Q38" s="3484">
        <v>45231</v>
      </c>
      <c r="R38" s="3481" t="s">
        <v>3902</v>
      </c>
      <c r="S38" s="3481" t="s">
        <v>3671</v>
      </c>
      <c r="T38" s="3481"/>
      <c r="U38" s="3483">
        <v>0</v>
      </c>
      <c r="V38" s="3481"/>
      <c r="W38" s="3486" t="e">
        <v>#DIV/0!</v>
      </c>
      <c r="X38" s="3481" t="s">
        <v>3782</v>
      </c>
    </row>
    <row r="39" spans="1:24" ht="33" hidden="1" customHeight="1">
      <c r="A39" s="3477">
        <v>596</v>
      </c>
      <c r="B39" s="3505" t="s">
        <v>3903</v>
      </c>
      <c r="C39" s="3477" t="s">
        <v>3904</v>
      </c>
      <c r="D39" s="3481" t="s">
        <v>3785</v>
      </c>
      <c r="E39" s="3481" t="s">
        <v>3905</v>
      </c>
      <c r="F39" s="3481" t="s">
        <v>3906</v>
      </c>
      <c r="G39" s="3477" t="s">
        <v>3668</v>
      </c>
      <c r="H39" s="3481"/>
      <c r="I39" s="3481">
        <v>19158.28</v>
      </c>
      <c r="J39" s="3482">
        <v>19158.28</v>
      </c>
      <c r="K39" s="3481"/>
      <c r="L39" s="3481">
        <v>167194.31</v>
      </c>
      <c r="M39" s="3502">
        <v>87270</v>
      </c>
      <c r="N39" s="3483">
        <v>87270.000229665719</v>
      </c>
      <c r="O39" s="3500">
        <f t="shared" si="0"/>
        <v>0</v>
      </c>
      <c r="P39" s="3481" t="s">
        <v>3652</v>
      </c>
      <c r="Q39" s="3484">
        <v>45280</v>
      </c>
      <c r="R39" s="3477" t="s">
        <v>3907</v>
      </c>
      <c r="S39" s="3481" t="s">
        <v>3908</v>
      </c>
      <c r="T39" s="3481">
        <v>186026.87964172001</v>
      </c>
      <c r="U39" s="3483">
        <v>97099.99000000002</v>
      </c>
      <c r="V39" s="3481"/>
      <c r="W39" s="3486">
        <v>0.89876425558504902</v>
      </c>
      <c r="X39" s="3481" t="s">
        <v>3782</v>
      </c>
    </row>
    <row r="40" spans="1:24" ht="33" hidden="1" customHeight="1">
      <c r="A40" s="3477">
        <v>600</v>
      </c>
      <c r="B40" s="3505" t="s">
        <v>3909</v>
      </c>
      <c r="C40" s="3477" t="s">
        <v>3904</v>
      </c>
      <c r="D40" s="3481" t="s">
        <v>3785</v>
      </c>
      <c r="E40" s="3481" t="s">
        <v>3905</v>
      </c>
      <c r="F40" s="3481" t="s">
        <v>3906</v>
      </c>
      <c r="G40" s="3477" t="s">
        <v>3668</v>
      </c>
      <c r="H40" s="3481"/>
      <c r="I40" s="3481">
        <v>9290.6</v>
      </c>
      <c r="J40" s="3482">
        <v>9290.6</v>
      </c>
      <c r="K40" s="3481"/>
      <c r="L40" s="3481">
        <v>81079.070000000007</v>
      </c>
      <c r="M40" s="3502">
        <v>87270</v>
      </c>
      <c r="N40" s="3483">
        <v>87270.004090155649</v>
      </c>
      <c r="O40" s="3500">
        <f t="shared" si="0"/>
        <v>0</v>
      </c>
      <c r="P40" s="3481" t="s">
        <v>3652</v>
      </c>
      <c r="Q40" s="3484">
        <v>45300</v>
      </c>
      <c r="R40" s="3477" t="s">
        <v>3910</v>
      </c>
      <c r="S40" s="3481" t="s">
        <v>3908</v>
      </c>
      <c r="T40" s="3481">
        <v>90211.716709400003</v>
      </c>
      <c r="U40" s="3483">
        <v>97099.99</v>
      </c>
      <c r="V40" s="3481"/>
      <c r="W40" s="3486">
        <v>0.89876429534293101</v>
      </c>
      <c r="X40" s="3481" t="s">
        <v>3782</v>
      </c>
    </row>
    <row r="41" spans="1:24" ht="33" customHeight="1">
      <c r="A41" s="3477">
        <v>613</v>
      </c>
      <c r="B41" s="3505" t="s">
        <v>3911</v>
      </c>
      <c r="C41" s="3477" t="s">
        <v>3912</v>
      </c>
      <c r="D41" s="3477" t="s">
        <v>3832</v>
      </c>
      <c r="E41" s="3481" t="s">
        <v>3833</v>
      </c>
      <c r="F41" s="3481" t="s">
        <v>3913</v>
      </c>
      <c r="G41" s="3477" t="s">
        <v>3914</v>
      </c>
      <c r="H41" s="3481"/>
      <c r="I41" s="3481">
        <v>5791.2</v>
      </c>
      <c r="J41" s="3482"/>
      <c r="K41" s="3481"/>
      <c r="L41" s="3481">
        <v>9265.92</v>
      </c>
      <c r="M41" s="3502">
        <v>16000</v>
      </c>
      <c r="N41" s="3483" t="e">
        <v>#DIV/0!</v>
      </c>
      <c r="O41" s="3500">
        <f t="shared" si="0"/>
        <v>0</v>
      </c>
      <c r="P41" s="3481" t="s">
        <v>3652</v>
      </c>
      <c r="Q41" s="3484">
        <v>45292</v>
      </c>
      <c r="R41" s="3481" t="s">
        <v>3915</v>
      </c>
      <c r="S41" s="3481" t="s">
        <v>3916</v>
      </c>
      <c r="T41" s="3481">
        <v>12740.640000000001</v>
      </c>
      <c r="U41" s="3483" t="e">
        <v>#DIV/0!</v>
      </c>
      <c r="V41" s="3481"/>
      <c r="W41" s="3486">
        <v>0.72727272727272718</v>
      </c>
      <c r="X41" s="3481" t="s">
        <v>3807</v>
      </c>
    </row>
  </sheetData>
  <autoFilter ref="A1:X41"/>
  <phoneticPr fontId="134" type="noConversion"/>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16456.077099999999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10099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3259060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3259060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3259060</v>
      </c>
      <c r="D10" s="845">
        <f ca="1">IF(B1="",'数据-汇总表'!E6,IF(INDIRECT("'数据-取费表'!c"&amp;$G$1)="住宅",INDIRECT("'数据-取费表'!s"&amp;$G$1),INDIRECT("'数据-取费表'!k"&amp;$G$1)+INDIRECT("'数据-取费表'!s"&amp;$G$1)))</f>
        <v>16295.3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3259060</v>
      </c>
      <c r="D19" s="849">
        <f ca="1">D9+D10</f>
        <v>16295.3</v>
      </c>
      <c r="E19" s="211">
        <f>'数据-取费表'!B31</f>
        <v>200</v>
      </c>
      <c r="F19" s="231"/>
      <c r="G19" s="1855"/>
    </row>
    <row r="20" spans="1:7" s="214" customFormat="1" ht="13.5" customHeight="1">
      <c r="A20" s="255" t="s">
        <v>1574</v>
      </c>
      <c r="B20" s="210" t="s">
        <v>1575</v>
      </c>
      <c r="C20" s="232">
        <f ca="1">ROUND((C5+C19)*F20,0)</f>
        <v>195544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416450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205194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205194</v>
      </c>
      <c r="D24" s="238"/>
      <c r="E24" s="238"/>
      <c r="F24" s="239"/>
      <c r="G24" s="240" t="s">
        <v>1586</v>
      </c>
    </row>
    <row r="25" spans="1:7" s="214" customFormat="1" ht="24">
      <c r="A25" s="780" t="s">
        <v>1476</v>
      </c>
      <c r="B25" s="215" t="s">
        <v>1587</v>
      </c>
      <c r="C25" s="1128">
        <f ca="1">ROUND(IF('数据-取费表'!B22&lt;=1,C20*F22*'数据-取费表'!B22/2,C20*(POWER((1+F22),'数据-取费表'!B22/2)-1)),0)</f>
        <v>6062</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1007050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1007050</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8929182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116592872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105919450</v>
      </c>
      <c r="D34" s="217"/>
      <c r="E34" s="220"/>
      <c r="F34" s="257"/>
      <c r="G34" s="219"/>
    </row>
    <row r="35" spans="1:7" ht="13.5" customHeight="1">
      <c r="A35" s="780" t="s">
        <v>351</v>
      </c>
      <c r="B35" s="215" t="s">
        <v>1527</v>
      </c>
      <c r="C35" s="220">
        <f ca="1">ROUND(C34*F35,0)</f>
        <v>5295973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3259060</v>
      </c>
      <c r="D37" s="217">
        <f ca="1">D19</f>
        <v>16295.3</v>
      </c>
      <c r="E37" s="249">
        <f>'数据-取费表'!B35</f>
        <v>200</v>
      </c>
      <c r="F37" s="259"/>
      <c r="G37" s="261"/>
    </row>
    <row r="38" spans="1:7" ht="13.5" customHeight="1">
      <c r="A38" s="780" t="s">
        <v>354</v>
      </c>
      <c r="B38" s="215" t="s">
        <v>1533</v>
      </c>
      <c r="C38" s="220">
        <f ca="1">ROUND(C34*F38,0)</f>
        <v>2118389</v>
      </c>
      <c r="D38" s="220"/>
      <c r="E38" s="220"/>
      <c r="F38" s="259">
        <f>'数据-取费表'!B36</f>
        <v>0.02</v>
      </c>
      <c r="G38" s="219" t="s">
        <v>1528</v>
      </c>
    </row>
    <row r="39" spans="1:7" s="214" customFormat="1" ht="13.5" customHeight="1">
      <c r="A39" s="255" t="s">
        <v>1534</v>
      </c>
      <c r="B39" s="210" t="s">
        <v>1535</v>
      </c>
      <c r="C39" s="232">
        <f ca="1">ROUND(C33*F20,0)</f>
        <v>3497786</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3722810</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3614379</v>
      </c>
      <c r="D42" s="238"/>
      <c r="E42" s="238"/>
      <c r="F42" s="239"/>
      <c r="G42" s="3770" t="s">
        <v>1591</v>
      </c>
    </row>
    <row r="43" spans="1:7" ht="13.5" customHeight="1">
      <c r="A43" s="780" t="s">
        <v>347</v>
      </c>
      <c r="B43" s="215" t="s">
        <v>1545</v>
      </c>
      <c r="C43" s="238">
        <f ca="1">ROUND(IF('数据-取费表'!B22&lt;=1,C39*F22*'数据-取费表'!B20/2,C39*(POWER((1+F22),'数据-取费表'!B20/2)-1)),0)</f>
        <v>108431</v>
      </c>
      <c r="D43" s="238"/>
      <c r="E43" s="238"/>
      <c r="F43" s="239"/>
      <c r="G43" s="3771"/>
    </row>
    <row r="44" spans="1:7" ht="13.5" customHeight="1">
      <c r="A44" s="780" t="s">
        <v>348</v>
      </c>
      <c r="B44" s="215" t="s">
        <v>1546</v>
      </c>
      <c r="C44" s="238">
        <f ca="1">ROUND(IF('数据-取费表'!B22&lt;=1,C40*F22*'数据-取费表'!B20/2,C40*(POWER((1+F22),'数据-取费表'!B20/2)-1)),4)</f>
        <v>8.9999999999999998E-4</v>
      </c>
      <c r="D44" s="238"/>
      <c r="E44" s="238"/>
      <c r="F44" s="239"/>
      <c r="G44" s="3772"/>
    </row>
    <row r="45" spans="1:7" s="214" customFormat="1" ht="13.5" customHeight="1">
      <c r="A45" s="255" t="s">
        <v>1547</v>
      </c>
      <c r="B45" s="244" t="s">
        <v>1513</v>
      </c>
      <c r="C45" s="245">
        <f ca="1">C46</f>
        <v>18013599</v>
      </c>
      <c r="D45" s="235">
        <f ca="1">C47</f>
        <v>4.4999999999999997E-3</v>
      </c>
      <c r="E45" s="236" t="s">
        <v>1539</v>
      </c>
      <c r="F45" s="246">
        <f ca="1">F27</f>
        <v>0.15</v>
      </c>
      <c r="G45" s="247" t="s">
        <v>1548</v>
      </c>
    </row>
    <row r="46" spans="1:7" s="214" customFormat="1" ht="13.5" customHeight="1">
      <c r="A46" s="780" t="s">
        <v>346</v>
      </c>
      <c r="B46" s="248" t="s">
        <v>1549</v>
      </c>
      <c r="C46" s="249">
        <f ca="1">ROUND((C33+C39)*F27,0)</f>
        <v>18013599</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155631589</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155631589</v>
      </c>
      <c r="D51" s="232"/>
      <c r="E51" s="232"/>
      <c r="F51" s="264"/>
      <c r="G51" s="234" t="s">
        <v>1560</v>
      </c>
    </row>
    <row r="52" spans="1:7" s="208" customFormat="1" ht="16.5" thickBot="1">
      <c r="A52" s="265" t="s">
        <v>1561</v>
      </c>
      <c r="B52" s="266"/>
      <c r="C52" s="267">
        <f ca="1">C31+C51</f>
        <v>164560771</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16295.3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16295.3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326</v>
      </c>
      <c r="D20" s="846">
        <f ca="1">IF(C1="",'数据-汇总表'!E6,IF(INDIRECT("'数据-取费表'!c"&amp;$K$1)="住宅",INDIRECT("'数据-取费表'!s"&amp;$K$1),INDIRECT("'数据-取费表'!k"&amp;$K$1)+INDIRECT("'数据-取费表'!s"&amp;$K$1)))</f>
        <v>16295.3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25" zoomScale="90" zoomScaleNormal="70" zoomScaleSheetLayoutView="90"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3402</v>
      </c>
      <c r="D1" s="1361" t="s">
        <v>43</v>
      </c>
      <c r="E1" s="1362" t="s">
        <v>678</v>
      </c>
      <c r="F1" s="1062">
        <f ca="1">J53</f>
        <v>38.82</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28610</v>
      </c>
      <c r="C2" s="1386" t="s">
        <v>805</v>
      </c>
      <c r="D2" s="1386"/>
      <c r="E2" s="1387"/>
      <c r="F2" s="1388"/>
      <c r="G2" s="2702"/>
      <c r="H2" s="2691"/>
      <c r="I2" s="2691"/>
      <c r="J2" s="2691"/>
      <c r="K2" s="2692"/>
      <c r="L2" s="2691"/>
      <c r="M2" s="2691"/>
    </row>
    <row r="3" spans="1:37" ht="18" customHeight="1" thickBot="1">
      <c r="A3" s="1389" t="s">
        <v>806</v>
      </c>
      <c r="B3" s="1390">
        <f ca="1">IF(ISERROR(B2*10000/F43),0,ROUND(B2*10000/F43,0))</f>
        <v>17557</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1572</v>
      </c>
      <c r="D5" s="1363" t="s">
        <v>693</v>
      </c>
      <c r="E5" s="1071"/>
      <c r="F5" s="1072"/>
      <c r="G5" s="1383"/>
      <c r="H5" s="299">
        <v>1</v>
      </c>
      <c r="I5" s="300" t="s">
        <v>692</v>
      </c>
      <c r="J5" s="1070">
        <f ca="1">J6+J10+J12</f>
        <v>0</v>
      </c>
      <c r="K5" s="1363" t="s">
        <v>693</v>
      </c>
      <c r="L5" s="1071"/>
      <c r="M5" s="1072"/>
    </row>
    <row r="6" spans="1:37" ht="18" customHeight="1">
      <c r="A6" s="1069" t="s">
        <v>398</v>
      </c>
      <c r="B6" s="3775" t="s">
        <v>694</v>
      </c>
      <c r="C6" s="1074">
        <f ca="1">ROUND(F6*F8*F7*(1-F9)/10000,0)</f>
        <v>1570</v>
      </c>
      <c r="D6" s="155" t="s">
        <v>2109</v>
      </c>
      <c r="E6" s="302" t="s">
        <v>696</v>
      </c>
      <c r="F6" s="303">
        <f ca="1">INDIRECT("'数据-取费表'!u"&amp;$G$1)</f>
        <v>3</v>
      </c>
      <c r="G6" s="1383"/>
      <c r="H6" s="1069" t="s">
        <v>398</v>
      </c>
      <c r="I6" s="3775" t="s">
        <v>694</v>
      </c>
      <c r="J6" s="301">
        <f ca="1">ROUND(M6*M8*M7*(1-M9)/10000,0)</f>
        <v>0</v>
      </c>
      <c r="K6" s="155" t="s">
        <v>2108</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16295.3</v>
      </c>
      <c r="G7" s="1383"/>
      <c r="H7" s="304"/>
      <c r="I7" s="3776"/>
      <c r="J7" s="306"/>
      <c r="K7" s="307"/>
      <c r="L7" s="302" t="s">
        <v>697</v>
      </c>
      <c r="M7" s="303">
        <f ca="1">F7</f>
        <v>16295.3</v>
      </c>
    </row>
    <row r="8" spans="1:37" ht="18" customHeight="1">
      <c r="A8" s="304"/>
      <c r="B8" s="3776"/>
      <c r="C8" s="306"/>
      <c r="D8" s="307"/>
      <c r="E8" s="302" t="s">
        <v>698</v>
      </c>
      <c r="F8" s="303">
        <f ca="1">INDIRECT("'数据-取费表'!ai"&amp;$G$1)</f>
        <v>365</v>
      </c>
      <c r="G8" s="1383"/>
      <c r="H8" s="304"/>
      <c r="I8" s="3776"/>
      <c r="J8" s="306"/>
      <c r="K8" s="307"/>
      <c r="L8" s="302" t="s">
        <v>698</v>
      </c>
      <c r="M8" s="303">
        <f ca="1">INDIRECT("'数据-取费表'!ai"&amp;$G$1)</f>
        <v>365</v>
      </c>
    </row>
    <row r="9" spans="1:37" ht="18" customHeight="1">
      <c r="A9" s="304"/>
      <c r="B9" s="3777"/>
      <c r="C9" s="306"/>
      <c r="D9" s="307"/>
      <c r="E9" s="302" t="s">
        <v>699</v>
      </c>
      <c r="F9" s="312">
        <f ca="1">INDIRECT("'数据-取费表'!w"&amp;$G$1)</f>
        <v>0.12</v>
      </c>
      <c r="G9" s="1383"/>
      <c r="H9" s="304"/>
      <c r="I9" s="3777"/>
      <c r="J9" s="306"/>
      <c r="K9" s="307"/>
      <c r="L9" s="313" t="s">
        <v>699</v>
      </c>
      <c r="M9" s="314">
        <f ca="1">INDIRECT("'数据-取费表'!ab"&amp;$G$1)</f>
        <v>0</v>
      </c>
    </row>
    <row r="10" spans="1:37" ht="18" customHeight="1">
      <c r="A10" s="1069" t="s">
        <v>402</v>
      </c>
      <c r="B10" s="1364" t="s">
        <v>700</v>
      </c>
      <c r="C10" s="316">
        <f ca="1">ROUND(IF(F10="押一",C6/12*F11,IF(F10="押二",C6/12*2*F11,IF(F10="押三",C6/12*3*F11,C11*F11))),0)</f>
        <v>2</v>
      </c>
      <c r="D10" s="1365" t="s">
        <v>2117</v>
      </c>
      <c r="E10" s="313" t="s">
        <v>701</v>
      </c>
      <c r="F10" s="1116" t="s">
        <v>3424</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15565</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10592</v>
      </c>
      <c r="D14" s="1344" t="s">
        <v>708</v>
      </c>
      <c r="E14" s="1341"/>
      <c r="F14" s="319"/>
      <c r="G14" s="1383"/>
      <c r="H14" s="982" t="s">
        <v>398</v>
      </c>
      <c r="I14" s="302" t="s">
        <v>709</v>
      </c>
      <c r="J14" s="21">
        <f ca="1">C29</f>
        <v>15565</v>
      </c>
      <c r="K14" s="12"/>
      <c r="L14" s="807"/>
      <c r="M14" s="808"/>
    </row>
    <row r="15" spans="1:37" s="1396" customFormat="1" ht="18" customHeight="1" thickBot="1">
      <c r="A15" s="982" t="s">
        <v>399</v>
      </c>
      <c r="B15" s="302" t="s">
        <v>710</v>
      </c>
      <c r="C15" s="21">
        <f ca="1">ROUND(C14*F15,0)</f>
        <v>530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31</v>
      </c>
      <c r="K16" s="1087" t="s">
        <v>715</v>
      </c>
      <c r="L16" s="1088"/>
      <c r="M16" s="1072"/>
    </row>
    <row r="17" spans="1:37" s="1396" customFormat="1" ht="18" customHeight="1">
      <c r="A17" s="982" t="s">
        <v>681</v>
      </c>
      <c r="B17" s="302" t="s">
        <v>716</v>
      </c>
      <c r="C17" s="21">
        <f ca="1">ROUND(F17*(F43+INDIRECT("'数据-取费表'!S"&amp;$G$1))/10000,0)</f>
        <v>326</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212</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11660</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350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31.13</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372</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-31</v>
      </c>
      <c r="K25" s="1095" t="s">
        <v>753</v>
      </c>
      <c r="L25" s="1096"/>
      <c r="M25" s="1097"/>
    </row>
    <row r="26" spans="1:37">
      <c r="A26" s="982" t="s">
        <v>397</v>
      </c>
      <c r="B26" s="302" t="s">
        <v>754</v>
      </c>
      <c r="C26" s="21">
        <f ca="1">ROUND((C19+C20)*F26,0)</f>
        <v>1802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15565</v>
      </c>
      <c r="D29" s="1092"/>
      <c r="E29" s="1090"/>
      <c r="F29" s="1093"/>
      <c r="G29" s="1395"/>
      <c r="H29" s="334" t="s">
        <v>396</v>
      </c>
      <c r="I29" s="335" t="s">
        <v>768</v>
      </c>
      <c r="J29" s="336">
        <f ca="1">ROUND(J26/(1+F40)^F41,0)</f>
        <v>0</v>
      </c>
      <c r="K29" s="337" t="s">
        <v>769</v>
      </c>
      <c r="L29" s="338"/>
      <c r="M29" s="339">
        <f ca="1">INDIRECT("'数据-取费表'!k"&amp;$G$1)</f>
        <v>16295.3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318</v>
      </c>
      <c r="D30" s="1087" t="s">
        <v>715</v>
      </c>
      <c r="E30" s="1088"/>
      <c r="F30" s="1072"/>
      <c r="G30" s="1383"/>
      <c r="H30" s="2693"/>
      <c r="I30" s="1397"/>
      <c r="J30" s="1398"/>
      <c r="K30" s="2471"/>
      <c r="L30" s="2694"/>
      <c r="M30" s="2695"/>
    </row>
    <row r="31" spans="1:37" ht="18" customHeight="1">
      <c r="A31" s="982" t="s">
        <v>398</v>
      </c>
      <c r="B31" s="302" t="s">
        <v>719</v>
      </c>
      <c r="C31" s="2315">
        <f ca="1">ROUND(IF(AND(项目基本情况!B11="自然人",项目基本情况!B10="北京市"),C6*F31/(1+'数据-取费表'!C42),C32+C33+C34),2)</f>
        <v>263.16000000000003</v>
      </c>
      <c r="D31" s="1344" t="s">
        <v>720</v>
      </c>
      <c r="E31" s="1343" t="s">
        <v>770</v>
      </c>
      <c r="F31" s="2314" t="str">
        <f>IF(项目基本情况!B11="企业","——",IF(M47="住宅",IF(F6*F7*F8/12/(1+'数据-取费表'!F30)&gt;100000,4%,2.5%),IF(F6*F7*F8/12/(1+'数据-取费表'!F30)&gt;100000,12%,7%)))</f>
        <v>——</v>
      </c>
      <c r="G31" s="1383"/>
      <c r="H31" s="2804" t="s">
        <v>2304</v>
      </c>
      <c r="I31" s="1397"/>
      <c r="J31" s="1398"/>
      <c r="K31" s="2471"/>
      <c r="L31" s="2694"/>
      <c r="M31" s="2695"/>
    </row>
    <row r="32" spans="1:37" ht="18" customHeight="1">
      <c r="A32" s="982" t="s">
        <v>397</v>
      </c>
      <c r="B32" s="302" t="s">
        <v>723</v>
      </c>
      <c r="C32" s="21">
        <f ca="1">IF(项目基本情况!B11="自然人","——",ROUND(C6*F32/(1+'数据-取费表'!C42),2))</f>
        <v>83.73</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179.43</v>
      </c>
      <c r="D33" s="1369" t="s">
        <v>3333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31.13</v>
      </c>
      <c r="D36" s="1343" t="s">
        <v>771</v>
      </c>
      <c r="E36" s="302" t="s">
        <v>712</v>
      </c>
      <c r="F36" s="328">
        <f ca="1">INDIRECT("'数据-取费表'!Ak"&amp;$G$1)</f>
        <v>2E-3</v>
      </c>
      <c r="G36" s="1383"/>
      <c r="H36" s="2696"/>
      <c r="I36" s="1397"/>
      <c r="J36" s="1398"/>
      <c r="K36" s="2540"/>
      <c r="L36" s="2696"/>
      <c r="M36" s="2696"/>
    </row>
    <row r="37" spans="1:18" ht="18" customHeight="1">
      <c r="A37" s="982" t="s">
        <v>437</v>
      </c>
      <c r="B37" s="302" t="s">
        <v>742</v>
      </c>
      <c r="C37" s="21">
        <f ca="1">ROUND(C13*F37,2)</f>
        <v>15.57</v>
      </c>
      <c r="D37" s="1343" t="s">
        <v>743</v>
      </c>
      <c r="E37" s="302" t="s">
        <v>744</v>
      </c>
      <c r="F37" s="330">
        <f ca="1">INDIRECT("'数据-取费表'!Al"&amp;$G$1)</f>
        <v>1E-3</v>
      </c>
      <c r="G37" s="1383"/>
      <c r="H37" s="2696"/>
      <c r="I37" s="1397"/>
      <c r="J37" s="1398"/>
      <c r="K37" s="2540"/>
      <c r="L37" s="2696"/>
      <c r="M37" s="2696"/>
    </row>
    <row r="38" spans="1:18" ht="18" customHeight="1" thickBot="1">
      <c r="A38" s="1089" t="s">
        <v>684</v>
      </c>
      <c r="B38" s="1090" t="s">
        <v>728</v>
      </c>
      <c r="C38" s="1091">
        <f ca="1">ROUND(C5*F38,2)</f>
        <v>7.86</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1254</v>
      </c>
      <c r="D39" s="1095" t="s">
        <v>773</v>
      </c>
      <c r="E39" s="1096"/>
      <c r="F39" s="1097"/>
      <c r="G39" s="1383"/>
      <c r="H39" s="2696">
        <f ca="1">C39/C5</f>
        <v>0.79770992366412219</v>
      </c>
      <c r="I39" s="1397"/>
      <c r="J39" s="1398"/>
      <c r="K39" s="2700"/>
      <c r="L39" s="2696"/>
      <c r="M39" s="2696"/>
    </row>
    <row r="40" spans="1:18" ht="18" customHeight="1">
      <c r="A40" s="299" t="s">
        <v>395</v>
      </c>
      <c r="B40" s="300" t="s">
        <v>774</v>
      </c>
      <c r="C40" s="301">
        <f ca="1">ROUND(C39*(1-((1+F42)/(1+F40))^F41)/(F40-F42),0)</f>
        <v>28234</v>
      </c>
      <c r="D40" s="324" t="s">
        <v>758</v>
      </c>
      <c r="E40" s="302" t="s">
        <v>759</v>
      </c>
      <c r="F40" s="312">
        <f ca="1">INDIRECT("'数据-取费表'!I"&amp;$G$1)</f>
        <v>0.05</v>
      </c>
      <c r="G40" s="1383"/>
      <c r="H40" s="1460"/>
      <c r="I40" s="1397">
        <f ca="1">C39/F7/365*10000</f>
        <v>2.1083480748167656</v>
      </c>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38.82</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ROUND(C40*10000/F43,0)</f>
        <v>17326</v>
      </c>
      <c r="D43" s="337" t="s">
        <v>777</v>
      </c>
      <c r="E43" s="338" t="s">
        <v>778</v>
      </c>
      <c r="F43" s="339">
        <f ca="1">INDIRECT("'数据-取费表'!k"&amp;$G$1)</f>
        <v>16295.3</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-29033</v>
      </c>
      <c r="D46" s="1405" t="str">
        <f>C2</f>
        <v>万元</v>
      </c>
      <c r="E46" s="1399"/>
      <c r="F46" s="1399"/>
      <c r="I46" s="1406" t="s">
        <v>810</v>
      </c>
      <c r="J46" s="1407"/>
      <c r="K46" s="1408"/>
      <c r="L46" s="1409">
        <f ca="1">IF(M47="住宅",0,IF(L48&gt;J51,L60,J60))</f>
        <v>376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3425</v>
      </c>
      <c r="K47" s="1415" t="s">
        <v>816</v>
      </c>
      <c r="L47" s="1416">
        <f ca="1">INDIRECT("'数据-取费表'!d"&amp;$G$1)</f>
        <v>50</v>
      </c>
      <c r="M47" s="1379" t="str">
        <f>IF(ISNUMBER(FIND("住宅",C1)),"住宅","非住宅")</f>
        <v>非住宅</v>
      </c>
      <c r="O47" s="1417" t="s">
        <v>403</v>
      </c>
      <c r="P47" s="1418" t="s">
        <v>817</v>
      </c>
      <c r="Q47" s="1419">
        <f ca="1">C40+J29</f>
        <v>28234</v>
      </c>
      <c r="R47" s="1419" t="s">
        <v>818</v>
      </c>
    </row>
    <row r="48" spans="1:18" s="1383" customFormat="1" ht="28.5" thickBot="1">
      <c r="A48" s="1110" t="s">
        <v>438</v>
      </c>
      <c r="B48" s="300" t="s">
        <v>692</v>
      </c>
      <c r="C48" s="1358">
        <f ca="1">C49+C53+C55</f>
        <v>0</v>
      </c>
      <c r="D48" s="1112"/>
      <c r="E48" s="1113"/>
      <c r="F48" s="962"/>
      <c r="G48" s="722"/>
      <c r="H48" s="723"/>
      <c r="I48" s="1420" t="s">
        <v>819</v>
      </c>
      <c r="J48" s="1421" t="s">
        <v>3426</v>
      </c>
      <c r="K48" s="1422" t="s">
        <v>820</v>
      </c>
      <c r="L48" s="1423">
        <f ca="1">INDIRECT("'数据-取费表'!f"&amp;$G$1)</f>
        <v>38.82</v>
      </c>
      <c r="O48" s="1417" t="s">
        <v>404</v>
      </c>
      <c r="P48" s="1418" t="s">
        <v>821</v>
      </c>
      <c r="Q48" s="1419">
        <f ca="1">J60</f>
        <v>376</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2024</v>
      </c>
      <c r="K49" s="1422" t="s">
        <v>824</v>
      </c>
      <c r="L49" s="1426"/>
      <c r="O49" s="1427" t="s">
        <v>405</v>
      </c>
      <c r="P49" s="1418" t="s">
        <v>825</v>
      </c>
      <c r="Q49" s="1419">
        <f ca="1">C29</f>
        <v>15565</v>
      </c>
      <c r="R49" s="1419" t="s">
        <v>818</v>
      </c>
    </row>
    <row r="50" spans="1:18" s="1383" customFormat="1" ht="13.5" thickBot="1">
      <c r="A50" s="976"/>
      <c r="B50" s="979"/>
      <c r="C50" s="1118"/>
      <c r="D50" s="953"/>
      <c r="E50" s="1056" t="s">
        <v>697</v>
      </c>
      <c r="F50" s="1057">
        <f ca="1">F7</f>
        <v>16295.3</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3394</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38.82</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38.82</v>
      </c>
      <c r="K53" s="3773" t="s">
        <v>837</v>
      </c>
      <c r="L53" s="3774"/>
      <c r="O53" s="1417" t="s">
        <v>409</v>
      </c>
      <c r="P53" s="1418" t="s">
        <v>838</v>
      </c>
      <c r="Q53" s="1419">
        <f ca="1">Q47+Q48</f>
        <v>28610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0.35299999999999998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15565</v>
      </c>
      <c r="D56" s="1446"/>
      <c r="E56" s="1447"/>
      <c r="F56" s="1439"/>
      <c r="I56" s="1448" t="s">
        <v>842</v>
      </c>
      <c r="J56" s="1449" t="s">
        <v>3427</v>
      </c>
      <c r="K56" s="1420" t="s">
        <v>843</v>
      </c>
      <c r="L56" s="1423" t="str">
        <f ca="1">IF(L48&lt;J51,"——",L48-J53)</f>
        <v>——</v>
      </c>
      <c r="O56" s="1417" t="s">
        <v>403</v>
      </c>
      <c r="P56" s="1418" t="s">
        <v>817</v>
      </c>
      <c r="Q56" s="1419">
        <f ca="1">C40+J29</f>
        <v>28234</v>
      </c>
      <c r="R56" s="1419" t="s">
        <v>818</v>
      </c>
    </row>
    <row r="57" spans="1:18" s="1383" customFormat="1" ht="24.75" thickBot="1">
      <c r="A57" s="1450"/>
      <c r="B57" s="950" t="s">
        <v>767</v>
      </c>
      <c r="C57" s="238">
        <f ca="1">C29</f>
        <v>15565</v>
      </c>
      <c r="D57" s="1451"/>
      <c r="E57" s="1452"/>
      <c r="F57" s="1453"/>
      <c r="I57" s="1454" t="s">
        <v>844</v>
      </c>
      <c r="J57" s="1455">
        <f ca="1">IF(OR(M47="住宅",J51&lt;L48,J56="是"),"——",J51-L48)</f>
        <v>21.18</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47</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6226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376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f ca="1">Q56+Q57</f>
        <v>28234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31.13</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15.57</v>
      </c>
      <c r="D65" s="964" t="s">
        <v>743</v>
      </c>
      <c r="E65" s="950" t="s">
        <v>744</v>
      </c>
      <c r="F65" s="330">
        <f t="shared" ca="1" si="0"/>
        <v>1E-3</v>
      </c>
      <c r="I65" s="1461" t="s">
        <v>867</v>
      </c>
      <c r="J65" s="1462">
        <v>40</v>
      </c>
      <c r="K65" s="1462">
        <v>30</v>
      </c>
      <c r="L65" s="1462">
        <v>50</v>
      </c>
      <c r="M65" s="1464">
        <v>0.02</v>
      </c>
      <c r="O65" s="1417" t="s">
        <v>403</v>
      </c>
      <c r="P65" s="1418" t="s">
        <v>868</v>
      </c>
      <c r="Q65" s="1419">
        <f ca="1">C40+J29</f>
        <v>28234</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-47</v>
      </c>
      <c r="D67" s="963" t="s">
        <v>753</v>
      </c>
      <c r="E67" s="968"/>
      <c r="F67" s="969"/>
      <c r="O67" s="1427" t="s">
        <v>405</v>
      </c>
      <c r="P67" s="1418" t="s">
        <v>850</v>
      </c>
      <c r="Q67" s="1465">
        <f ca="1">L51</f>
        <v>3394</v>
      </c>
      <c r="R67" s="1419" t="s">
        <v>870</v>
      </c>
    </row>
    <row r="68" spans="1:18" s="1383" customFormat="1" ht="16.5" thickBot="1">
      <c r="A68" s="947" t="s">
        <v>395</v>
      </c>
      <c r="B68" s="948" t="s">
        <v>774</v>
      </c>
      <c r="C68" s="301">
        <f ca="1">ROUND(C67*(1-((1+F70)/(1+F68))^F69)/(F68-F70),0)</f>
        <v>-799</v>
      </c>
      <c r="D68" s="965" t="s">
        <v>758</v>
      </c>
      <c r="E68" s="950" t="s">
        <v>759</v>
      </c>
      <c r="F68" s="312">
        <f ca="1">F40</f>
        <v>0.05</v>
      </c>
      <c r="O68" s="1427" t="s">
        <v>406</v>
      </c>
      <c r="P68" s="1466" t="s">
        <v>871</v>
      </c>
      <c r="Q68" s="1419">
        <f ca="1">ROUND(Q69-Q70*Q71,0)</f>
        <v>164</v>
      </c>
      <c r="R68" s="1419" t="s">
        <v>414</v>
      </c>
    </row>
    <row r="69" spans="1:18" s="1383" customFormat="1" ht="13.5" thickBot="1">
      <c r="A69" s="951"/>
      <c r="B69" s="952"/>
      <c r="C69" s="306"/>
      <c r="D69" s="970" t="s">
        <v>762</v>
      </c>
      <c r="E69" s="950" t="s">
        <v>763</v>
      </c>
      <c r="F69" s="333">
        <f ca="1">F41</f>
        <v>38.82</v>
      </c>
      <c r="O69" s="1427" t="s">
        <v>411</v>
      </c>
      <c r="P69" s="1466" t="s">
        <v>872</v>
      </c>
      <c r="Q69" s="1419">
        <f ca="1">C39</f>
        <v>1254</v>
      </c>
      <c r="R69" s="1419" t="s">
        <v>818</v>
      </c>
    </row>
    <row r="70" spans="1:18" s="1383" customFormat="1" ht="13.5" thickBot="1">
      <c r="A70" s="954"/>
      <c r="B70" s="955"/>
      <c r="C70" s="310"/>
      <c r="D70" s="966"/>
      <c r="E70" s="950" t="s">
        <v>766</v>
      </c>
      <c r="F70" s="1054"/>
      <c r="O70" s="1427" t="s">
        <v>412</v>
      </c>
      <c r="P70" s="1466" t="s">
        <v>873</v>
      </c>
      <c r="Q70" s="1419">
        <f ca="1">C13</f>
        <v>15565</v>
      </c>
      <c r="R70" s="1419" t="s">
        <v>818</v>
      </c>
    </row>
    <row r="71" spans="1:18" s="1383" customFormat="1" ht="13.5" thickBot="1">
      <c r="A71" s="971" t="s">
        <v>396</v>
      </c>
      <c r="B71" s="972" t="s">
        <v>776</v>
      </c>
      <c r="C71" s="336">
        <f ca="1">ROUND(C68*10000/F71,0)</f>
        <v>-490</v>
      </c>
      <c r="D71" s="973" t="s">
        <v>777</v>
      </c>
      <c r="E71" s="974" t="s">
        <v>778</v>
      </c>
      <c r="F71" s="339">
        <f ca="1">F43</f>
        <v>16295.3</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1090</v>
      </c>
      <c r="D75" s="1383"/>
      <c r="E75" s="1383"/>
      <c r="F75" s="1383"/>
      <c r="K75" s="1401"/>
      <c r="L75" s="1383"/>
      <c r="O75" s="1417" t="s">
        <v>409</v>
      </c>
      <c r="P75" s="1418" t="s">
        <v>838</v>
      </c>
      <c r="Q75" s="1419">
        <f ca="1">Q65+Q66</f>
        <v>28234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0.13100000000000001</v>
      </c>
    </row>
    <row r="80" spans="1:18">
      <c r="B80" s="340" t="s">
        <v>800</v>
      </c>
      <c r="C80" s="274">
        <f ca="1">ROUND(C75/C39,3)</f>
        <v>0.86899999999999999</v>
      </c>
    </row>
    <row r="81" spans="2:3">
      <c r="B81" s="270" t="s">
        <v>801</v>
      </c>
      <c r="C81" s="238"/>
    </row>
    <row r="82" spans="2:3">
      <c r="B82" s="273" t="s">
        <v>802</v>
      </c>
      <c r="C82" s="275">
        <f ca="1">1-C83</f>
        <v>0.44899999999999995</v>
      </c>
    </row>
    <row r="83" spans="2:3">
      <c r="B83" s="273" t="s">
        <v>803</v>
      </c>
      <c r="C83" s="274">
        <f ca="1">ROUND(C13/C40,3)</f>
        <v>0.55100000000000005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zoomScale="95" zoomScaleNormal="95" workbookViewId="0">
      <selection activeCell="P36" sqref="P36"/>
    </sheetView>
  </sheetViews>
  <sheetFormatPr defaultRowHeight="13.5"/>
  <sheetData>
    <row r="1" spans="1:4">
      <c r="A1" s="3450" t="s">
        <v>3430</v>
      </c>
      <c r="D1">
        <v>4.5</v>
      </c>
    </row>
    <row r="2" spans="1:4">
      <c r="A2" s="3450" t="s">
        <v>3431</v>
      </c>
      <c r="D2">
        <v>4.2</v>
      </c>
    </row>
    <row r="3" spans="1:4">
      <c r="D3">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75" t="s">
        <v>694</v>
      </c>
      <c r="C6" s="1074">
        <f ca="1">ROUND(F6*F8*F7*(1-F9),0)</f>
        <v>0</v>
      </c>
      <c r="D6" s="155" t="s">
        <v>2106</v>
      </c>
      <c r="E6" s="302" t="s">
        <v>696</v>
      </c>
      <c r="F6" s="303">
        <f ca="1">INDIRECT("'数据-取费表'!u"&amp;$G$1)</f>
        <v>0</v>
      </c>
      <c r="G6" s="1383"/>
      <c r="H6" s="1069" t="s">
        <v>398</v>
      </c>
      <c r="I6" s="3775" t="s">
        <v>694</v>
      </c>
      <c r="J6" s="301">
        <f ca="1">ROUND(M6*M8*M7*(1-M9),0)</f>
        <v>0</v>
      </c>
      <c r="K6" s="1375" t="s">
        <v>2107</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0</v>
      </c>
      <c r="G7" s="1383"/>
      <c r="H7" s="304"/>
      <c r="I7" s="3776"/>
      <c r="J7" s="306"/>
      <c r="K7" s="307"/>
      <c r="L7" s="302" t="s">
        <v>697</v>
      </c>
      <c r="M7" s="303">
        <f ca="1">F7</f>
        <v>0</v>
      </c>
    </row>
    <row r="8" spans="1:37" ht="18" customHeight="1">
      <c r="A8" s="304"/>
      <c r="B8" s="3776"/>
      <c r="C8" s="306"/>
      <c r="D8" s="307"/>
      <c r="E8" s="302" t="s">
        <v>698</v>
      </c>
      <c r="F8" s="303">
        <f ca="1">INDIRECT("'数据-取费表'!ai"&amp;$G$1)</f>
        <v>0</v>
      </c>
      <c r="G8" s="1383"/>
      <c r="H8" s="304"/>
      <c r="I8" s="3776"/>
      <c r="J8" s="306"/>
      <c r="K8" s="307"/>
      <c r="L8" s="302" t="s">
        <v>698</v>
      </c>
      <c r="M8" s="303">
        <f ca="1">INDIRECT("'数据-取费表'!ai"&amp;$G$1)</f>
        <v>0</v>
      </c>
    </row>
    <row r="9" spans="1:37" ht="18" customHeight="1">
      <c r="A9" s="304"/>
      <c r="B9" s="3777"/>
      <c r="C9" s="306"/>
      <c r="D9" s="307"/>
      <c r="E9" s="302" t="s">
        <v>699</v>
      </c>
      <c r="F9" s="312">
        <f ca="1">INDIRECT("'数据-取费表'!w"&amp;$G$1)</f>
        <v>0</v>
      </c>
      <c r="G9" s="1383"/>
      <c r="H9" s="304"/>
      <c r="I9" s="377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2304</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3349</v>
      </c>
      <c r="B45" s="1399"/>
      <c r="C45" s="1471" t="e">
        <f ca="1">ROUND((C68-C40)/10000,4)</f>
        <v>#DIV/0!</v>
      </c>
      <c r="D45" s="3428" t="s">
        <v>3350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73" t="s">
        <v>837</v>
      </c>
      <c r="L53" s="3774"/>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4" t="s">
        <v>2313</v>
      </c>
      <c r="B2" s="2839" t="e">
        <f>IF(D2="——",C40,C40+E2)</f>
        <v>#DIV/0!</v>
      </c>
      <c r="C2" s="2840" t="s">
        <v>2314</v>
      </c>
      <c r="D2" s="3439" t="s">
        <v>3356</v>
      </c>
      <c r="E2" s="3440"/>
      <c r="F2" s="2842"/>
      <c r="G2" s="2843"/>
      <c r="H2" s="2844"/>
      <c r="I2" s="2845"/>
      <c r="J2" s="3778" t="s">
        <v>2315</v>
      </c>
      <c r="K2" s="3779"/>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780" t="s">
        <v>2325</v>
      </c>
      <c r="K3" s="3781"/>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780" t="s">
        <v>2327</v>
      </c>
      <c r="K4" s="3781"/>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782" t="s">
        <v>2331</v>
      </c>
      <c r="B6" s="3783"/>
      <c r="C6" s="3784"/>
      <c r="D6" s="2866"/>
      <c r="E6" s="2867"/>
      <c r="F6" s="2868"/>
      <c r="G6" s="2869"/>
      <c r="H6" s="2844"/>
      <c r="I6" s="2845"/>
      <c r="J6" s="3785">
        <v>1</v>
      </c>
      <c r="K6" s="3786"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785"/>
      <c r="K7" s="3787"/>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789" t="s">
        <v>2345</v>
      </c>
      <c r="C8" s="3790"/>
      <c r="D8" s="2885" t="s">
        <v>2346</v>
      </c>
      <c r="E8" s="2886" t="s">
        <v>2347</v>
      </c>
      <c r="F8" s="2887" t="s">
        <v>2348</v>
      </c>
      <c r="G8" s="2888"/>
      <c r="H8" s="2844"/>
      <c r="I8" s="2845"/>
      <c r="J8" s="3785"/>
      <c r="K8" s="3787"/>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789" t="s">
        <v>2351</v>
      </c>
      <c r="C9" s="3790"/>
      <c r="D9" s="2885">
        <f>ROUND(D6*E9,0)</f>
        <v>0</v>
      </c>
      <c r="E9" s="2889"/>
      <c r="F9" s="2890" t="s">
        <v>2352</v>
      </c>
      <c r="G9" s="2869"/>
      <c r="H9" s="2844"/>
      <c r="I9" s="2845"/>
      <c r="J9" s="3785"/>
      <c r="K9" s="3787"/>
      <c r="L9" s="2879" t="s">
        <v>2353</v>
      </c>
      <c r="M9" s="2880"/>
      <c r="N9" s="2856"/>
      <c r="O9" s="2881"/>
      <c r="P9" s="2881"/>
      <c r="Q9" s="2882">
        <v>365</v>
      </c>
      <c r="R9" s="2883">
        <f t="shared" si="0"/>
        <v>0</v>
      </c>
      <c r="S9" s="2837"/>
      <c r="T9" s="2837"/>
      <c r="U9" s="2837"/>
      <c r="V9" s="2845"/>
    </row>
    <row r="10" spans="1:22" s="2849" customFormat="1" ht="13.15" customHeight="1">
      <c r="A10" s="2884">
        <v>2</v>
      </c>
      <c r="B10" s="3789" t="s">
        <v>2354</v>
      </c>
      <c r="C10" s="3790"/>
      <c r="D10" s="2885">
        <f>ROUND(D6*E10,0)</f>
        <v>0</v>
      </c>
      <c r="E10" s="2889"/>
      <c r="F10" s="2890" t="s">
        <v>2355</v>
      </c>
      <c r="G10" s="2869"/>
      <c r="H10" s="2844"/>
      <c r="I10" s="2845"/>
      <c r="J10" s="3785"/>
      <c r="K10" s="3787"/>
      <c r="L10" s="2879" t="s">
        <v>2356</v>
      </c>
      <c r="M10" s="2880"/>
      <c r="N10" s="2856"/>
      <c r="O10" s="2881"/>
      <c r="P10" s="2881"/>
      <c r="Q10" s="2882">
        <v>365</v>
      </c>
      <c r="R10" s="2883">
        <f t="shared" si="0"/>
        <v>0</v>
      </c>
      <c r="S10" s="2837"/>
      <c r="T10" s="2837"/>
      <c r="U10" s="2837"/>
      <c r="V10" s="2845"/>
    </row>
    <row r="11" spans="1:22" s="2849" customFormat="1" ht="13.15" customHeight="1">
      <c r="A11" s="2884">
        <v>3</v>
      </c>
      <c r="B11" s="3789" t="s">
        <v>2357</v>
      </c>
      <c r="C11" s="3790"/>
      <c r="D11" s="2885">
        <f>D12+D14+D15+D16</f>
        <v>0</v>
      </c>
      <c r="E11" s="2891" t="e">
        <f>D11/D6</f>
        <v>#DIV/0!</v>
      </c>
      <c r="F11" s="2887"/>
      <c r="G11" s="2888"/>
      <c r="H11" s="2844"/>
      <c r="I11" s="2845"/>
      <c r="J11" s="3785"/>
      <c r="K11" s="3787"/>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791" t="s">
        <v>2360</v>
      </c>
      <c r="C12" s="3792"/>
      <c r="D12" s="2893">
        <f>ROUND(D13*1.2%*(1-30%),0)</f>
        <v>0</v>
      </c>
      <c r="E12" s="2894">
        <v>1.2E-2</v>
      </c>
      <c r="F12" s="2887" t="s">
        <v>2361</v>
      </c>
      <c r="G12" s="2888"/>
      <c r="H12" s="2844"/>
      <c r="I12" s="2845"/>
      <c r="J12" s="3785"/>
      <c r="K12" s="3787"/>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785"/>
      <c r="K13" s="3787"/>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791" t="s">
        <v>2366</v>
      </c>
      <c r="C14" s="3792"/>
      <c r="D14" s="2893">
        <f>ROUND(E14*B5/10000,0)</f>
        <v>0</v>
      </c>
      <c r="E14" s="2882"/>
      <c r="F14" s="2887" t="s">
        <v>2367</v>
      </c>
      <c r="G14" s="2888"/>
      <c r="H14" s="2844"/>
      <c r="I14" s="2845"/>
      <c r="J14" s="3785"/>
      <c r="K14" s="3788"/>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791" t="s">
        <v>2370</v>
      </c>
      <c r="C15" s="3792"/>
      <c r="D15" s="2893">
        <f>ROUND(D6*E15,0)</f>
        <v>0</v>
      </c>
      <c r="E15" s="2894">
        <v>5.5E-2</v>
      </c>
      <c r="F15" s="2887" t="s">
        <v>2371</v>
      </c>
      <c r="G15" s="2869"/>
      <c r="H15" s="2844"/>
      <c r="I15" s="2845"/>
      <c r="J15" s="3785">
        <v>2</v>
      </c>
      <c r="K15" s="3786"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791" t="s">
        <v>2379</v>
      </c>
      <c r="C16" s="3792"/>
      <c r="D16" s="2904">
        <f>D6*E16</f>
        <v>0</v>
      </c>
      <c r="E16" s="2905"/>
      <c r="F16" s="2890" t="s">
        <v>2380</v>
      </c>
      <c r="G16" s="2869"/>
      <c r="H16" s="2844"/>
      <c r="I16" s="2845"/>
      <c r="J16" s="3785"/>
      <c r="K16" s="3787"/>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93" t="s">
        <v>2382</v>
      </c>
      <c r="C17" s="3794"/>
      <c r="D17" s="2907">
        <f>ROUND(D6*E17,0)</f>
        <v>0</v>
      </c>
      <c r="E17" s="2908"/>
      <c r="F17" s="2909" t="s">
        <v>2383</v>
      </c>
      <c r="G17" s="2869"/>
      <c r="H17" s="2844"/>
      <c r="I17" s="2845"/>
      <c r="J17" s="3785"/>
      <c r="K17" s="3787"/>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785"/>
      <c r="K18" s="3787"/>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785"/>
      <c r="K19" s="3788"/>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85">
        <v>3</v>
      </c>
      <c r="K20" s="3786"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785"/>
      <c r="K21" s="3787"/>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785"/>
      <c r="K22" s="3787"/>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785"/>
      <c r="K23" s="3787"/>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785"/>
      <c r="K24" s="3788"/>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95">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9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778" t="s">
        <v>2315</v>
      </c>
      <c r="K32" s="3779"/>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780" t="s">
        <v>2325</v>
      </c>
      <c r="K33" s="3781"/>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780" t="s">
        <v>2327</v>
      </c>
      <c r="K34" s="378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785">
        <v>1</v>
      </c>
      <c r="K36" s="3786"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785"/>
      <c r="K37" s="3787"/>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85"/>
      <c r="K38" s="3787"/>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785"/>
      <c r="K39" s="3787"/>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785"/>
      <c r="K40" s="3788"/>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95">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9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28610</v>
      </c>
      <c r="C2" s="1871" t="s">
        <v>1651</v>
      </c>
      <c r="D2" s="1872" t="s">
        <v>1652</v>
      </c>
      <c r="E2" s="2603">
        <f>SUM(E6:E13)</f>
        <v>16295.3</v>
      </c>
      <c r="F2" s="2703"/>
      <c r="G2" s="1488"/>
      <c r="H2" s="1488"/>
      <c r="I2" s="1488"/>
      <c r="J2" s="1488"/>
      <c r="K2" s="1488"/>
      <c r="L2" s="1488"/>
      <c r="M2" s="1488"/>
      <c r="N2" s="1488"/>
      <c r="O2" s="1488"/>
      <c r="P2" s="1488"/>
      <c r="Q2" s="1488"/>
      <c r="R2" s="1488"/>
      <c r="S2" s="1488"/>
    </row>
    <row r="3" spans="1:22" ht="15.75">
      <c r="A3" s="1869" t="s">
        <v>686</v>
      </c>
      <c r="B3" s="2597">
        <f ca="1">ROUND(B2*10000/E2,0)</f>
        <v>17557</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97" t="s">
        <v>1654</v>
      </c>
      <c r="C5" s="3798"/>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v>
      </c>
      <c r="B6" s="2598">
        <f ca="1">IF(F6="是",'数据-取费表'!AO6,0)</f>
        <v>28610</v>
      </c>
      <c r="C6" s="1871" t="s">
        <v>1651</v>
      </c>
      <c r="D6" s="2705"/>
      <c r="E6" s="2602">
        <f>IF(OR(A6=0,F6="否"),0,'数据-取费表'!K6+'数据-取费表'!S6)</f>
        <v>16295.3</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2"/>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16295.3</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40" t="s">
        <v>1667</v>
      </c>
      <c r="D4" s="3741"/>
      <c r="E4" s="3742" t="s">
        <v>1668</v>
      </c>
      <c r="F4" s="3743"/>
      <c r="G4" s="3740" t="s">
        <v>1669</v>
      </c>
      <c r="H4" s="3741"/>
      <c r="I4" s="3740" t="s">
        <v>1670</v>
      </c>
      <c r="J4" s="3741"/>
      <c r="K4" s="1888" t="s">
        <v>1671</v>
      </c>
      <c r="L4" s="2711"/>
      <c r="M4" s="2712"/>
      <c r="N4" s="2712"/>
      <c r="O4" s="2712"/>
      <c r="P4" s="3802" t="s">
        <v>1672</v>
      </c>
      <c r="Q4" s="3803"/>
      <c r="R4" s="3800" t="s">
        <v>1668</v>
      </c>
      <c r="S4" s="3801"/>
      <c r="T4" s="3800" t="s">
        <v>1669</v>
      </c>
      <c r="U4" s="3801"/>
      <c r="V4" s="3753" t="s">
        <v>1670</v>
      </c>
      <c r="W4" s="3753"/>
      <c r="X4" s="1354"/>
      <c r="Y4" s="3800" t="s">
        <v>1672</v>
      </c>
      <c r="Z4" s="3801"/>
      <c r="AA4" s="3799" t="s">
        <v>1668</v>
      </c>
      <c r="AB4" s="3799" t="s">
        <v>1669</v>
      </c>
      <c r="AC4" s="3799" t="s">
        <v>1670</v>
      </c>
    </row>
    <row r="5" spans="1:29" ht="15">
      <c r="A5" s="358"/>
      <c r="B5" s="359"/>
      <c r="C5" s="3730" t="s">
        <v>1673</v>
      </c>
      <c r="D5" s="3731"/>
      <c r="E5" s="3728" t="s">
        <v>1674</v>
      </c>
      <c r="F5" s="3729"/>
      <c r="G5" s="3730" t="s">
        <v>1675</v>
      </c>
      <c r="H5" s="3731"/>
      <c r="I5" s="3730" t="s">
        <v>1676</v>
      </c>
      <c r="J5" s="3731"/>
      <c r="K5" s="1889"/>
      <c r="L5" s="2711"/>
      <c r="M5" s="2712"/>
      <c r="N5" s="2712"/>
      <c r="O5" s="2712"/>
      <c r="P5" s="3804"/>
      <c r="Q5" s="3747"/>
      <c r="R5" s="3726"/>
      <c r="S5" s="3727"/>
      <c r="T5" s="3726"/>
      <c r="U5" s="3727"/>
      <c r="V5" s="3753"/>
      <c r="W5" s="3753"/>
      <c r="X5" s="1354"/>
      <c r="Y5" s="3726"/>
      <c r="Z5" s="3727"/>
      <c r="AA5" s="3720"/>
      <c r="AB5" s="3720"/>
      <c r="AC5" s="3720"/>
    </row>
    <row r="6" spans="1:29" ht="15.75" thickBot="1">
      <c r="A6" s="360"/>
      <c r="B6" s="361"/>
      <c r="C6" s="3732" t="s">
        <v>1677</v>
      </c>
      <c r="D6" s="3733"/>
      <c r="E6" s="3734" t="s">
        <v>1677</v>
      </c>
      <c r="F6" s="3735"/>
      <c r="G6" s="3732" t="s">
        <v>1677</v>
      </c>
      <c r="H6" s="3733"/>
      <c r="I6" s="3732" t="s">
        <v>1677</v>
      </c>
      <c r="J6" s="3733"/>
      <c r="K6" s="1889" t="s">
        <v>1678</v>
      </c>
      <c r="L6" s="2711"/>
      <c r="M6" s="2712"/>
      <c r="N6" s="2712"/>
      <c r="O6" s="2712"/>
      <c r="P6" s="3805"/>
      <c r="Q6" s="3749"/>
      <c r="R6" s="3726"/>
      <c r="S6" s="3727"/>
      <c r="T6" s="3750"/>
      <c r="U6" s="3751"/>
      <c r="V6" s="3753"/>
      <c r="W6" s="3753"/>
      <c r="X6" s="1354"/>
      <c r="Y6" s="3750"/>
      <c r="Z6" s="3751"/>
      <c r="AA6" s="3721"/>
      <c r="AB6" s="3721"/>
      <c r="AC6" s="3721"/>
    </row>
    <row r="7" spans="1:29" s="108" customFormat="1" ht="15.75" thickBot="1">
      <c r="A7" s="362" t="s">
        <v>1679</v>
      </c>
      <c r="B7" s="363"/>
      <c r="C7" s="364">
        <f>'数据-取费表'!B2</f>
        <v>45608</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722" t="s">
        <v>1680</v>
      </c>
      <c r="Q7" s="3755"/>
      <c r="R7" s="701" t="s">
        <v>20</v>
      </c>
      <c r="S7" s="702">
        <f t="shared" ref="S7:S15" si="0">F7</f>
        <v>0</v>
      </c>
      <c r="T7" s="701" t="s">
        <v>20</v>
      </c>
      <c r="U7" s="702">
        <f t="shared" ref="U7:U15" si="1">H7</f>
        <v>0</v>
      </c>
      <c r="V7" s="701" t="s">
        <v>20</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36" t="s">
        <v>1686</v>
      </c>
      <c r="Q9" s="1342" t="str">
        <f t="shared" ref="Q9:Q15" si="6">B9</f>
        <v>用途</v>
      </c>
      <c r="R9" s="701" t="s">
        <v>14</v>
      </c>
      <c r="S9" s="702">
        <f t="shared" si="0"/>
        <v>100</v>
      </c>
      <c r="T9" s="701" t="s">
        <v>14</v>
      </c>
      <c r="U9" s="702">
        <f t="shared" si="1"/>
        <v>100</v>
      </c>
      <c r="V9" s="701" t="s">
        <v>14</v>
      </c>
      <c r="W9" s="702">
        <f t="shared" si="2"/>
        <v>100</v>
      </c>
      <c r="X9" s="703"/>
      <c r="Y9" s="369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36"/>
      <c r="Q10" s="1342" t="str">
        <f t="shared" si="6"/>
        <v>土地使用年限（年）</v>
      </c>
      <c r="R10" s="701" t="s">
        <v>14</v>
      </c>
      <c r="S10" s="702">
        <f t="shared" si="0"/>
        <v>100</v>
      </c>
      <c r="T10" s="701" t="s">
        <v>14</v>
      </c>
      <c r="U10" s="702">
        <f t="shared" si="1"/>
        <v>100</v>
      </c>
      <c r="V10" s="701" t="s">
        <v>14</v>
      </c>
      <c r="W10" s="702">
        <f t="shared" si="2"/>
        <v>100</v>
      </c>
      <c r="X10" s="703"/>
      <c r="Y10" s="369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36"/>
      <c r="Q11" s="1342" t="str">
        <f t="shared" si="6"/>
        <v>容积率</v>
      </c>
      <c r="R11" s="701" t="s">
        <v>18</v>
      </c>
      <c r="S11" s="702" t="e">
        <f t="shared" si="0"/>
        <v>#N/A</v>
      </c>
      <c r="T11" s="701" t="s">
        <v>18</v>
      </c>
      <c r="U11" s="702" t="e">
        <f t="shared" si="1"/>
        <v>#N/A</v>
      </c>
      <c r="V11" s="701" t="s">
        <v>18</v>
      </c>
      <c r="W11" s="702" t="e">
        <f t="shared" si="2"/>
        <v>#N/A</v>
      </c>
      <c r="X11" s="703"/>
      <c r="Y11" s="369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36"/>
      <c r="Q12" s="1342">
        <f t="shared" si="6"/>
        <v>111</v>
      </c>
      <c r="R12" s="701" t="s">
        <v>18</v>
      </c>
      <c r="S12" s="702">
        <f t="shared" si="0"/>
        <v>100</v>
      </c>
      <c r="T12" s="701" t="s">
        <v>18</v>
      </c>
      <c r="U12" s="702">
        <f t="shared" si="1"/>
        <v>100</v>
      </c>
      <c r="V12" s="701" t="s">
        <v>18</v>
      </c>
      <c r="W12" s="702">
        <f t="shared" si="2"/>
        <v>100</v>
      </c>
      <c r="X12" s="703"/>
      <c r="Y12" s="369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36"/>
      <c r="Q13" s="1342">
        <f t="shared" si="6"/>
        <v>111</v>
      </c>
      <c r="R13" s="701" t="s">
        <v>18</v>
      </c>
      <c r="S13" s="702">
        <f t="shared" si="0"/>
        <v>100</v>
      </c>
      <c r="T13" s="701" t="s">
        <v>18</v>
      </c>
      <c r="U13" s="702">
        <f t="shared" si="1"/>
        <v>100</v>
      </c>
      <c r="V13" s="701" t="s">
        <v>18</v>
      </c>
      <c r="W13" s="702">
        <f t="shared" si="2"/>
        <v>100</v>
      </c>
      <c r="X13" s="703"/>
      <c r="Y13" s="369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36"/>
      <c r="Q14" s="1342">
        <f t="shared" si="6"/>
        <v>111</v>
      </c>
      <c r="R14" s="701" t="s">
        <v>18</v>
      </c>
      <c r="S14" s="702">
        <f t="shared" si="0"/>
        <v>100</v>
      </c>
      <c r="T14" s="701" t="s">
        <v>18</v>
      </c>
      <c r="U14" s="702">
        <f t="shared" si="1"/>
        <v>100</v>
      </c>
      <c r="V14" s="701" t="s">
        <v>18</v>
      </c>
      <c r="W14" s="702">
        <f t="shared" si="2"/>
        <v>100</v>
      </c>
      <c r="X14" s="703"/>
      <c r="Y14" s="3695"/>
      <c r="Z14" s="52">
        <f t="shared" si="7"/>
        <v>111</v>
      </c>
      <c r="AA14" s="704">
        <f t="shared" si="3"/>
        <v>1</v>
      </c>
      <c r="AB14" s="704">
        <f t="shared" si="4"/>
        <v>1</v>
      </c>
      <c r="AC14" s="704">
        <f t="shared" si="5"/>
        <v>1</v>
      </c>
    </row>
    <row r="15" spans="1:29" ht="15">
      <c r="A15" s="391" t="s">
        <v>1690</v>
      </c>
      <c r="B15" s="61" t="s">
        <v>1257</v>
      </c>
      <c r="C15" s="1895"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56" t="s">
        <v>1691</v>
      </c>
      <c r="Q15" s="1351" t="str">
        <f t="shared" si="6"/>
        <v>居住社区成熟度</v>
      </c>
      <c r="R15" s="705" t="s">
        <v>18</v>
      </c>
      <c r="S15" s="706">
        <f t="shared" si="0"/>
        <v>100</v>
      </c>
      <c r="T15" s="705" t="s">
        <v>18</v>
      </c>
      <c r="U15" s="706">
        <f t="shared" si="1"/>
        <v>100</v>
      </c>
      <c r="V15" s="705" t="s">
        <v>18</v>
      </c>
      <c r="W15" s="706">
        <f t="shared" si="2"/>
        <v>100</v>
      </c>
      <c r="X15" s="1354"/>
      <c r="Y15" s="375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757"/>
      <c r="Q16" s="1351"/>
      <c r="R16" s="705"/>
      <c r="S16" s="706"/>
      <c r="T16" s="705"/>
      <c r="U16" s="706"/>
      <c r="V16" s="705"/>
      <c r="W16" s="706"/>
      <c r="X16" s="1354"/>
      <c r="Y16" s="3759"/>
      <c r="Z16" s="1355"/>
      <c r="AA16" s="1352">
        <v>1</v>
      </c>
      <c r="AB16" s="1352">
        <v>1</v>
      </c>
      <c r="AC16" s="1352">
        <v>1</v>
      </c>
    </row>
    <row r="17" spans="1:29" ht="15">
      <c r="A17" s="379"/>
      <c r="B17" s="402" t="s">
        <v>1259</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57"/>
      <c r="Q17" s="1351" t="str">
        <f>B17</f>
        <v>交通便捷度</v>
      </c>
      <c r="R17" s="705" t="s">
        <v>18</v>
      </c>
      <c r="S17" s="706">
        <f>F17</f>
        <v>100</v>
      </c>
      <c r="T17" s="705" t="s">
        <v>18</v>
      </c>
      <c r="U17" s="706">
        <f>H17</f>
        <v>100</v>
      </c>
      <c r="V17" s="705" t="s">
        <v>18</v>
      </c>
      <c r="W17" s="706">
        <f>J17</f>
        <v>100</v>
      </c>
      <c r="X17" s="1354"/>
      <c r="Y17" s="375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757"/>
      <c r="Q18" s="1351"/>
      <c r="R18" s="705"/>
      <c r="S18" s="706"/>
      <c r="T18" s="705"/>
      <c r="U18" s="706"/>
      <c r="V18" s="705"/>
      <c r="W18" s="706"/>
      <c r="X18" s="1354"/>
      <c r="Y18" s="3759"/>
      <c r="Z18" s="1355"/>
      <c r="AA18" s="1352">
        <v>1</v>
      </c>
      <c r="AB18" s="1352">
        <v>1</v>
      </c>
      <c r="AC18" s="1352">
        <v>1</v>
      </c>
    </row>
    <row r="19" spans="1:29" ht="15">
      <c r="A19" s="379"/>
      <c r="B19" s="402" t="s">
        <v>1258</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57"/>
      <c r="Q19" s="1351" t="str">
        <f>B19</f>
        <v>公共配套设施</v>
      </c>
      <c r="R19" s="705" t="s">
        <v>18</v>
      </c>
      <c r="S19" s="706">
        <f>F19</f>
        <v>100</v>
      </c>
      <c r="T19" s="705" t="s">
        <v>18</v>
      </c>
      <c r="U19" s="706">
        <f>H19</f>
        <v>100</v>
      </c>
      <c r="V19" s="705" t="s">
        <v>18</v>
      </c>
      <c r="W19" s="706">
        <f>J19</f>
        <v>100</v>
      </c>
      <c r="X19" s="1354"/>
      <c r="Y19" s="375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757"/>
      <c r="Q20" s="1351"/>
      <c r="R20" s="705"/>
      <c r="S20" s="706"/>
      <c r="T20" s="705"/>
      <c r="U20" s="706"/>
      <c r="V20" s="705"/>
      <c r="W20" s="706"/>
      <c r="X20" s="1354"/>
      <c r="Y20" s="3759"/>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57"/>
      <c r="Q21" s="1351" t="str">
        <f>B21</f>
        <v>基础设施水平</v>
      </c>
      <c r="R21" s="705" t="s">
        <v>14</v>
      </c>
      <c r="S21" s="706">
        <f>F21</f>
        <v>100</v>
      </c>
      <c r="T21" s="705" t="s">
        <v>14</v>
      </c>
      <c r="U21" s="706">
        <f>H21</f>
        <v>100</v>
      </c>
      <c r="V21" s="705" t="s">
        <v>14</v>
      </c>
      <c r="W21" s="706">
        <f>J21</f>
        <v>100</v>
      </c>
      <c r="X21" s="1354"/>
      <c r="Y21" s="375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8"/>
      <c r="M22" s="2712"/>
      <c r="N22" s="2712"/>
      <c r="O22" s="2712"/>
      <c r="P22" s="3757"/>
      <c r="Q22" s="1351"/>
      <c r="R22" s="705"/>
      <c r="S22" s="706"/>
      <c r="T22" s="705"/>
      <c r="U22" s="706"/>
      <c r="V22" s="705"/>
      <c r="W22" s="706"/>
      <c r="X22" s="1354"/>
      <c r="Y22" s="3759"/>
      <c r="Z22" s="1355"/>
      <c r="AA22" s="1352">
        <v>1</v>
      </c>
      <c r="AB22" s="1352">
        <v>1</v>
      </c>
      <c r="AC22" s="1352">
        <v>1</v>
      </c>
    </row>
    <row r="23" spans="1:29" ht="15">
      <c r="A23" s="379"/>
      <c r="B23" s="402" t="s">
        <v>1261</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57"/>
      <c r="Q23" s="1351" t="str">
        <f>B23</f>
        <v>自然及人文环境</v>
      </c>
      <c r="R23" s="705" t="s">
        <v>18</v>
      </c>
      <c r="S23" s="706">
        <f>F23</f>
        <v>100</v>
      </c>
      <c r="T23" s="705" t="s">
        <v>18</v>
      </c>
      <c r="U23" s="706">
        <f>H23</f>
        <v>100</v>
      </c>
      <c r="V23" s="705" t="s">
        <v>18</v>
      </c>
      <c r="W23" s="706">
        <f>J23</f>
        <v>100</v>
      </c>
      <c r="X23" s="1354"/>
      <c r="Y23" s="375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757"/>
      <c r="Q24" s="1351"/>
      <c r="R24" s="705"/>
      <c r="S24" s="706"/>
      <c r="T24" s="705"/>
      <c r="U24" s="706"/>
      <c r="V24" s="705"/>
      <c r="W24" s="706"/>
      <c r="X24" s="1354"/>
      <c r="Y24" s="375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5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57"/>
      <c r="Q26" s="1351" t="str">
        <f t="shared" si="11"/>
        <v>朝向</v>
      </c>
      <c r="R26" s="705" t="s">
        <v>18</v>
      </c>
      <c r="S26" s="706">
        <f t="shared" si="12"/>
        <v>100</v>
      </c>
      <c r="T26" s="705" t="s">
        <v>18</v>
      </c>
      <c r="U26" s="706">
        <f t="shared" si="13"/>
        <v>100</v>
      </c>
      <c r="V26" s="705" t="s">
        <v>18</v>
      </c>
      <c r="W26" s="706">
        <f t="shared" si="14"/>
        <v>100</v>
      </c>
      <c r="X26" s="1354"/>
      <c r="Y26" s="3759"/>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57"/>
      <c r="Q27" s="1342">
        <f t="shared" si="11"/>
        <v>111</v>
      </c>
      <c r="R27" s="701" t="s">
        <v>18</v>
      </c>
      <c r="S27" s="702">
        <f t="shared" si="12"/>
        <v>100</v>
      </c>
      <c r="T27" s="701" t="s">
        <v>18</v>
      </c>
      <c r="U27" s="702">
        <f t="shared" si="13"/>
        <v>100</v>
      </c>
      <c r="V27" s="701" t="s">
        <v>18</v>
      </c>
      <c r="W27" s="702">
        <f t="shared" si="14"/>
        <v>100</v>
      </c>
      <c r="X27" s="703"/>
      <c r="Y27" s="3759"/>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57"/>
      <c r="Q28" s="1351">
        <f t="shared" si="11"/>
        <v>111</v>
      </c>
      <c r="R28" s="705" t="s">
        <v>18</v>
      </c>
      <c r="S28" s="706">
        <f t="shared" si="12"/>
        <v>100</v>
      </c>
      <c r="T28" s="705" t="s">
        <v>18</v>
      </c>
      <c r="U28" s="706">
        <f t="shared" si="13"/>
        <v>100</v>
      </c>
      <c r="V28" s="705" t="s">
        <v>18</v>
      </c>
      <c r="W28" s="706">
        <f t="shared" si="14"/>
        <v>100</v>
      </c>
      <c r="X28" s="1354"/>
      <c r="Y28" s="3759"/>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57"/>
      <c r="Q29" s="1351">
        <f t="shared" si="11"/>
        <v>111</v>
      </c>
      <c r="R29" s="705" t="s">
        <v>18</v>
      </c>
      <c r="S29" s="706">
        <f t="shared" si="12"/>
        <v>100</v>
      </c>
      <c r="T29" s="705" t="s">
        <v>18</v>
      </c>
      <c r="U29" s="706">
        <f t="shared" si="13"/>
        <v>100</v>
      </c>
      <c r="V29" s="705" t="s">
        <v>18</v>
      </c>
      <c r="W29" s="706">
        <f t="shared" si="14"/>
        <v>100</v>
      </c>
      <c r="X29" s="1354"/>
      <c r="Y29" s="3759"/>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57"/>
      <c r="Q30" s="1351">
        <f t="shared" si="11"/>
        <v>111</v>
      </c>
      <c r="R30" s="705" t="s">
        <v>18</v>
      </c>
      <c r="S30" s="706">
        <f t="shared" si="12"/>
        <v>100</v>
      </c>
      <c r="T30" s="705" t="s">
        <v>18</v>
      </c>
      <c r="U30" s="706">
        <f t="shared" si="13"/>
        <v>100</v>
      </c>
      <c r="V30" s="705" t="s">
        <v>18</v>
      </c>
      <c r="W30" s="706">
        <f t="shared" si="14"/>
        <v>100</v>
      </c>
      <c r="X30" s="1354"/>
      <c r="Y30" s="3759"/>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57"/>
      <c r="Q31" s="1351">
        <f t="shared" si="11"/>
        <v>111</v>
      </c>
      <c r="R31" s="705" t="s">
        <v>18</v>
      </c>
      <c r="S31" s="706">
        <f t="shared" si="12"/>
        <v>100</v>
      </c>
      <c r="T31" s="705" t="s">
        <v>18</v>
      </c>
      <c r="U31" s="706">
        <f t="shared" si="13"/>
        <v>100</v>
      </c>
      <c r="V31" s="705" t="s">
        <v>18</v>
      </c>
      <c r="W31" s="706">
        <f t="shared" si="14"/>
        <v>100</v>
      </c>
      <c r="X31" s="1354"/>
      <c r="Y31" s="375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760" t="s">
        <v>1696</v>
      </c>
      <c r="Q32" s="1351" t="str">
        <f t="shared" si="11"/>
        <v>建筑类型</v>
      </c>
      <c r="R32" s="705" t="s">
        <v>18</v>
      </c>
      <c r="S32" s="706">
        <f t="shared" si="12"/>
        <v>100</v>
      </c>
      <c r="T32" s="705" t="s">
        <v>18</v>
      </c>
      <c r="U32" s="706">
        <f t="shared" si="13"/>
        <v>100</v>
      </c>
      <c r="V32" s="705" t="s">
        <v>18</v>
      </c>
      <c r="W32" s="706">
        <f t="shared" si="14"/>
        <v>100</v>
      </c>
      <c r="X32" s="1354"/>
      <c r="Y32" s="376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761"/>
      <c r="Q33" s="707" t="str">
        <f t="shared" si="11"/>
        <v>项目建筑规模</v>
      </c>
      <c r="R33" s="708" t="s">
        <v>18</v>
      </c>
      <c r="S33" s="709" t="e">
        <f t="shared" si="12"/>
        <v>#N/A</v>
      </c>
      <c r="T33" s="708" t="s">
        <v>18</v>
      </c>
      <c r="U33" s="709" t="e">
        <f t="shared" si="13"/>
        <v>#N/A</v>
      </c>
      <c r="V33" s="708" t="s">
        <v>18</v>
      </c>
      <c r="W33" s="709" t="e">
        <f t="shared" si="14"/>
        <v>#N/A</v>
      </c>
      <c r="X33" s="710"/>
      <c r="Y33" s="3763"/>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761"/>
      <c r="Q34" s="1351" t="str">
        <f t="shared" si="11"/>
        <v>建筑结构</v>
      </c>
      <c r="R34" s="705" t="s">
        <v>18</v>
      </c>
      <c r="S34" s="706">
        <f t="shared" si="12"/>
        <v>100</v>
      </c>
      <c r="T34" s="705" t="s">
        <v>18</v>
      </c>
      <c r="U34" s="706">
        <f t="shared" si="13"/>
        <v>100</v>
      </c>
      <c r="V34" s="705" t="s">
        <v>18</v>
      </c>
      <c r="W34" s="706">
        <f t="shared" si="14"/>
        <v>100</v>
      </c>
      <c r="X34" s="1354"/>
      <c r="Y34" s="376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761"/>
      <c r="Q35" s="1351" t="str">
        <f t="shared" si="11"/>
        <v>建筑品质</v>
      </c>
      <c r="R35" s="705" t="s">
        <v>18</v>
      </c>
      <c r="S35" s="706">
        <f t="shared" si="12"/>
        <v>100</v>
      </c>
      <c r="T35" s="705" t="s">
        <v>18</v>
      </c>
      <c r="U35" s="706">
        <f t="shared" si="13"/>
        <v>100</v>
      </c>
      <c r="V35" s="705" t="s">
        <v>18</v>
      </c>
      <c r="W35" s="706">
        <f t="shared" si="14"/>
        <v>100</v>
      </c>
      <c r="X35" s="1354"/>
      <c r="Y35" s="376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761"/>
      <c r="Q36" s="1351" t="str">
        <f t="shared" si="11"/>
        <v>公共部分装修</v>
      </c>
      <c r="R36" s="705" t="s">
        <v>18</v>
      </c>
      <c r="S36" s="706">
        <f t="shared" si="12"/>
        <v>100</v>
      </c>
      <c r="T36" s="705" t="s">
        <v>18</v>
      </c>
      <c r="U36" s="706">
        <f t="shared" si="13"/>
        <v>100</v>
      </c>
      <c r="V36" s="705" t="s">
        <v>18</v>
      </c>
      <c r="W36" s="706">
        <f t="shared" si="14"/>
        <v>100</v>
      </c>
      <c r="X36" s="1354"/>
      <c r="Y36" s="376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61"/>
      <c r="Q37" s="1342" t="str">
        <f t="shared" si="11"/>
        <v>成新度</v>
      </c>
      <c r="R37" s="701" t="s">
        <v>18</v>
      </c>
      <c r="S37" s="702" t="e">
        <f t="shared" si="12"/>
        <v>#N/A</v>
      </c>
      <c r="T37" s="701" t="s">
        <v>18</v>
      </c>
      <c r="U37" s="702" t="e">
        <f t="shared" si="13"/>
        <v>#N/A</v>
      </c>
      <c r="V37" s="701" t="s">
        <v>18</v>
      </c>
      <c r="W37" s="702" t="e">
        <f t="shared" si="14"/>
        <v>#N/A</v>
      </c>
      <c r="X37" s="703"/>
      <c r="Y37" s="3763"/>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61" t="s">
        <v>1696</v>
      </c>
      <c r="Q38" s="1351" t="str">
        <f t="shared" si="11"/>
        <v>物业管理</v>
      </c>
      <c r="R38" s="705" t="s">
        <v>18</v>
      </c>
      <c r="S38" s="706">
        <f t="shared" si="12"/>
        <v>100</v>
      </c>
      <c r="T38" s="705" t="s">
        <v>18</v>
      </c>
      <c r="U38" s="706">
        <f t="shared" si="13"/>
        <v>100</v>
      </c>
      <c r="V38" s="705" t="s">
        <v>18</v>
      </c>
      <c r="W38" s="706">
        <f t="shared" si="14"/>
        <v>100</v>
      </c>
      <c r="X38" s="1354"/>
      <c r="Y38" s="376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61"/>
      <c r="Q39" s="1351" t="str">
        <f t="shared" si="11"/>
        <v>市政基础设施</v>
      </c>
      <c r="R39" s="705" t="s">
        <v>18</v>
      </c>
      <c r="S39" s="706">
        <f t="shared" si="12"/>
        <v>100</v>
      </c>
      <c r="T39" s="705" t="s">
        <v>18</v>
      </c>
      <c r="U39" s="706">
        <f t="shared" si="13"/>
        <v>100</v>
      </c>
      <c r="V39" s="705" t="s">
        <v>18</v>
      </c>
      <c r="W39" s="706">
        <f t="shared" si="14"/>
        <v>100</v>
      </c>
      <c r="X39" s="1354"/>
      <c r="Y39" s="376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61"/>
      <c r="Q40" s="1351" t="str">
        <f t="shared" si="11"/>
        <v>房型</v>
      </c>
      <c r="R40" s="705" t="s">
        <v>18</v>
      </c>
      <c r="S40" s="706">
        <f t="shared" si="12"/>
        <v>100</v>
      </c>
      <c r="T40" s="705" t="s">
        <v>18</v>
      </c>
      <c r="U40" s="706">
        <f t="shared" si="13"/>
        <v>100</v>
      </c>
      <c r="V40" s="705" t="s">
        <v>18</v>
      </c>
      <c r="W40" s="706">
        <f t="shared" si="14"/>
        <v>100</v>
      </c>
      <c r="X40" s="1354"/>
      <c r="Y40" s="376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61"/>
      <c r="Q41" s="707" t="str">
        <f t="shared" si="11"/>
        <v>单套/主力户型建筑面积</v>
      </c>
      <c r="R41" s="708" t="s">
        <v>18</v>
      </c>
      <c r="S41" s="709">
        <f t="shared" si="12"/>
        <v>100</v>
      </c>
      <c r="T41" s="708" t="s">
        <v>18</v>
      </c>
      <c r="U41" s="709">
        <f t="shared" si="13"/>
        <v>100</v>
      </c>
      <c r="V41" s="708" t="s">
        <v>18</v>
      </c>
      <c r="W41" s="709">
        <f t="shared" si="14"/>
        <v>100</v>
      </c>
      <c r="X41" s="710"/>
      <c r="Y41" s="3763"/>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761"/>
      <c r="Q42" s="1351" t="str">
        <f t="shared" si="11"/>
        <v>内部装修</v>
      </c>
      <c r="R42" s="705" t="s">
        <v>18</v>
      </c>
      <c r="S42" s="706">
        <f t="shared" si="12"/>
        <v>100</v>
      </c>
      <c r="T42" s="705" t="s">
        <v>18</v>
      </c>
      <c r="U42" s="706">
        <f t="shared" si="13"/>
        <v>100</v>
      </c>
      <c r="V42" s="705" t="s">
        <v>18</v>
      </c>
      <c r="W42" s="706">
        <f t="shared" si="14"/>
        <v>100</v>
      </c>
      <c r="X42" s="1354"/>
      <c r="Y42" s="376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761"/>
      <c r="Q43" s="1351" t="str">
        <f t="shared" si="11"/>
        <v>内部装修维护情况</v>
      </c>
      <c r="R43" s="705" t="s">
        <v>18</v>
      </c>
      <c r="S43" s="706">
        <f t="shared" si="12"/>
        <v>100</v>
      </c>
      <c r="T43" s="705" t="s">
        <v>18</v>
      </c>
      <c r="U43" s="706">
        <f t="shared" si="13"/>
        <v>100</v>
      </c>
      <c r="V43" s="705" t="s">
        <v>18</v>
      </c>
      <c r="W43" s="706">
        <f t="shared" si="14"/>
        <v>100</v>
      </c>
      <c r="X43" s="1354"/>
      <c r="Y43" s="376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61"/>
      <c r="Q44" s="1342">
        <f t="shared" si="11"/>
        <v>111</v>
      </c>
      <c r="R44" s="701" t="s">
        <v>18</v>
      </c>
      <c r="S44" s="702">
        <f t="shared" si="12"/>
        <v>100</v>
      </c>
      <c r="T44" s="701" t="s">
        <v>18</v>
      </c>
      <c r="U44" s="702">
        <f t="shared" si="13"/>
        <v>100</v>
      </c>
      <c r="V44" s="701" t="s">
        <v>18</v>
      </c>
      <c r="W44" s="702">
        <f t="shared" si="14"/>
        <v>100</v>
      </c>
      <c r="X44" s="703"/>
      <c r="Y44" s="37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61"/>
      <c r="Q45" s="1351">
        <f t="shared" si="11"/>
        <v>111</v>
      </c>
      <c r="R45" s="705" t="s">
        <v>18</v>
      </c>
      <c r="S45" s="706">
        <f t="shared" si="12"/>
        <v>100</v>
      </c>
      <c r="T45" s="705" t="s">
        <v>18</v>
      </c>
      <c r="U45" s="706">
        <f t="shared" si="13"/>
        <v>100</v>
      </c>
      <c r="V45" s="705" t="s">
        <v>18</v>
      </c>
      <c r="W45" s="706">
        <f t="shared" si="14"/>
        <v>100</v>
      </c>
      <c r="X45" s="1354"/>
      <c r="Y45" s="376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62"/>
      <c r="Q46" s="1351">
        <f t="shared" si="11"/>
        <v>111</v>
      </c>
      <c r="R46" s="705" t="s">
        <v>17</v>
      </c>
      <c r="S46" s="706">
        <f t="shared" si="12"/>
        <v>100</v>
      </c>
      <c r="T46" s="705" t="s">
        <v>17</v>
      </c>
      <c r="U46" s="706">
        <f t="shared" si="13"/>
        <v>100</v>
      </c>
      <c r="V46" s="705" t="s">
        <v>17</v>
      </c>
      <c r="W46" s="706">
        <f t="shared" si="14"/>
        <v>100</v>
      </c>
      <c r="X46" s="1354"/>
      <c r="Y46" s="376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0"/>
      <c r="M47" s="2721"/>
      <c r="N47" s="2712"/>
      <c r="O47" s="2721"/>
      <c r="P47" s="3765" t="str">
        <f>A47</f>
        <v>成交单价（元/平方米）</v>
      </c>
      <c r="Q47" s="3765"/>
      <c r="R47" s="3766">
        <f>E47</f>
        <v>0</v>
      </c>
      <c r="S47" s="3766"/>
      <c r="T47" s="3766">
        <f>G47</f>
        <v>0</v>
      </c>
      <c r="U47" s="3766"/>
      <c r="V47" s="3766">
        <f>I47</f>
        <v>0</v>
      </c>
      <c r="W47" s="3766"/>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0"/>
      <c r="M48" s="2721"/>
      <c r="N48" s="2721"/>
      <c r="O48" s="2721"/>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0"/>
      <c r="M49" s="2721"/>
      <c r="N49" s="2721"/>
      <c r="O49" s="2721"/>
      <c r="P49" s="3806" t="str">
        <f>A49</f>
        <v>估价对象XX用房的比较价值（楼面单价，元/平方米）</v>
      </c>
      <c r="Q49" s="3807"/>
      <c r="R49" s="3808" t="e">
        <f>IF(F1="售价",ROUND(IF(D48="简单平均",AVERAGE(R48:V48),R48*F48+T48*H48+V48*J48),0),ROUND(IF(D48="简单平均",AVERAGE(R48:V48),R48*F48+T48*H48+V48*J48),1))</f>
        <v>#DIV/0!</v>
      </c>
      <c r="S49" s="3808"/>
      <c r="T49" s="3808"/>
      <c r="U49" s="3808"/>
      <c r="V49" s="3808"/>
      <c r="W49" s="380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16295.3</v>
      </c>
      <c r="E3" s="1953"/>
      <c r="F3" s="909"/>
      <c r="G3" s="908"/>
      <c r="H3" s="908"/>
      <c r="I3" s="908"/>
      <c r="J3" s="908"/>
      <c r="K3" s="910"/>
      <c r="L3" s="2730"/>
      <c r="M3" s="2731"/>
      <c r="N3" s="2731"/>
      <c r="O3" s="2731"/>
      <c r="P3" s="1951"/>
      <c r="Q3" s="912"/>
      <c r="R3" s="912"/>
      <c r="S3" s="912"/>
      <c r="T3" s="912"/>
      <c r="U3" s="912"/>
      <c r="V3" s="912"/>
      <c r="W3" s="912"/>
      <c r="X3" s="912"/>
      <c r="Y3" s="912"/>
      <c r="Z3" s="912"/>
      <c r="AA3" s="912"/>
      <c r="AB3" s="912"/>
      <c r="AC3" s="1953"/>
    </row>
    <row r="4" spans="1:29" ht="15">
      <c r="A4" s="355" t="s">
        <v>1769</v>
      </c>
      <c r="B4" s="356"/>
      <c r="C4" s="3740" t="s">
        <v>1770</v>
      </c>
      <c r="D4" s="3741"/>
      <c r="E4" s="3742" t="s">
        <v>1771</v>
      </c>
      <c r="F4" s="3743"/>
      <c r="G4" s="3740" t="s">
        <v>1772</v>
      </c>
      <c r="H4" s="3741"/>
      <c r="I4" s="3740" t="s">
        <v>1773</v>
      </c>
      <c r="J4" s="3741"/>
      <c r="K4" s="559" t="s">
        <v>1774</v>
      </c>
      <c r="L4" s="2711"/>
      <c r="M4" s="2712"/>
      <c r="N4" s="2712"/>
      <c r="O4" s="2712"/>
      <c r="P4" s="3802" t="s">
        <v>1775</v>
      </c>
      <c r="Q4" s="3803"/>
      <c r="R4" s="3800" t="s">
        <v>1771</v>
      </c>
      <c r="S4" s="3801"/>
      <c r="T4" s="3800" t="s">
        <v>1772</v>
      </c>
      <c r="U4" s="3801"/>
      <c r="V4" s="3753" t="s">
        <v>1773</v>
      </c>
      <c r="W4" s="3753"/>
      <c r="X4" s="1354"/>
      <c r="Y4" s="3800" t="s">
        <v>1775</v>
      </c>
      <c r="Z4" s="3801"/>
      <c r="AA4" s="3799" t="s">
        <v>1771</v>
      </c>
      <c r="AB4" s="3753" t="s">
        <v>1772</v>
      </c>
      <c r="AC4" s="3799" t="s">
        <v>1773</v>
      </c>
    </row>
    <row r="5" spans="1:29" ht="15">
      <c r="A5" s="358"/>
      <c r="B5" s="359"/>
      <c r="C5" s="3730" t="s">
        <v>1673</v>
      </c>
      <c r="D5" s="3731"/>
      <c r="E5" s="3728" t="s">
        <v>1674</v>
      </c>
      <c r="F5" s="3729"/>
      <c r="G5" s="3730" t="s">
        <v>1675</v>
      </c>
      <c r="H5" s="3731"/>
      <c r="I5" s="3730" t="s">
        <v>1676</v>
      </c>
      <c r="J5" s="3731"/>
      <c r="K5" s="559"/>
      <c r="L5" s="2711"/>
      <c r="M5" s="2712"/>
      <c r="N5" s="2712"/>
      <c r="O5" s="2712"/>
      <c r="P5" s="3804"/>
      <c r="Q5" s="3747"/>
      <c r="R5" s="3726"/>
      <c r="S5" s="3727"/>
      <c r="T5" s="3726"/>
      <c r="U5" s="3727"/>
      <c r="V5" s="3753"/>
      <c r="W5" s="3753"/>
      <c r="X5" s="1354"/>
      <c r="Y5" s="3726"/>
      <c r="Z5" s="3727"/>
      <c r="AA5" s="3720"/>
      <c r="AB5" s="3753"/>
      <c r="AC5" s="3720"/>
    </row>
    <row r="6" spans="1:29" ht="15.75" thickBot="1">
      <c r="A6" s="360"/>
      <c r="B6" s="361"/>
      <c r="C6" s="3732" t="s">
        <v>1677</v>
      </c>
      <c r="D6" s="3733"/>
      <c r="E6" s="3734" t="s">
        <v>1677</v>
      </c>
      <c r="F6" s="3735"/>
      <c r="G6" s="3732" t="s">
        <v>1677</v>
      </c>
      <c r="H6" s="3733"/>
      <c r="I6" s="3732" t="s">
        <v>1677</v>
      </c>
      <c r="J6" s="3733"/>
      <c r="K6" s="559" t="s">
        <v>1678</v>
      </c>
      <c r="L6" s="2711"/>
      <c r="M6" s="2712"/>
      <c r="N6" s="2712"/>
      <c r="O6" s="2712"/>
      <c r="P6" s="3805"/>
      <c r="Q6" s="3749"/>
      <c r="R6" s="3726"/>
      <c r="S6" s="3727"/>
      <c r="T6" s="3750"/>
      <c r="U6" s="3751"/>
      <c r="V6" s="3753"/>
      <c r="W6" s="3753"/>
      <c r="X6" s="1354"/>
      <c r="Y6" s="3750"/>
      <c r="Z6" s="3751"/>
      <c r="AA6" s="3721"/>
      <c r="AB6" s="3753"/>
      <c r="AC6" s="3721"/>
    </row>
    <row r="7" spans="1:29" s="108" customFormat="1" ht="15.75" thickBot="1">
      <c r="A7" s="362" t="s">
        <v>1679</v>
      </c>
      <c r="B7" s="363"/>
      <c r="C7" s="364">
        <f>'数据-取费表'!B2</f>
        <v>45608</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2" t="s">
        <v>1680</v>
      </c>
      <c r="Q7" s="3755"/>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36" t="s">
        <v>1686</v>
      </c>
      <c r="Q9" s="1342" t="str">
        <f t="shared" ref="Q9:Q15" si="6">B9</f>
        <v>用途</v>
      </c>
      <c r="R9" s="701" t="s">
        <v>14</v>
      </c>
      <c r="S9" s="702">
        <f t="shared" si="0"/>
        <v>100</v>
      </c>
      <c r="T9" s="701" t="s">
        <v>14</v>
      </c>
      <c r="U9" s="702">
        <f t="shared" si="1"/>
        <v>100</v>
      </c>
      <c r="V9" s="701" t="s">
        <v>14</v>
      </c>
      <c r="W9" s="702">
        <f t="shared" si="2"/>
        <v>100</v>
      </c>
      <c r="X9" s="703"/>
      <c r="Y9" s="369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36"/>
      <c r="Q10" s="1342" t="str">
        <f t="shared" si="6"/>
        <v>土地使用年限（年）</v>
      </c>
      <c r="R10" s="701" t="s">
        <v>14</v>
      </c>
      <c r="S10" s="702">
        <f t="shared" si="0"/>
        <v>100</v>
      </c>
      <c r="T10" s="701" t="s">
        <v>14</v>
      </c>
      <c r="U10" s="702">
        <f t="shared" si="1"/>
        <v>100</v>
      </c>
      <c r="V10" s="701" t="s">
        <v>14</v>
      </c>
      <c r="W10" s="702">
        <f t="shared" si="2"/>
        <v>100</v>
      </c>
      <c r="X10" s="703"/>
      <c r="Y10" s="369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36"/>
      <c r="Q11" s="1342" t="str">
        <f t="shared" si="6"/>
        <v>容积率</v>
      </c>
      <c r="R11" s="701" t="s">
        <v>14</v>
      </c>
      <c r="S11" s="702" t="e">
        <f t="shared" si="0"/>
        <v>#N/A</v>
      </c>
      <c r="T11" s="701" t="s">
        <v>14</v>
      </c>
      <c r="U11" s="702" t="e">
        <f t="shared" si="1"/>
        <v>#N/A</v>
      </c>
      <c r="V11" s="701" t="s">
        <v>14</v>
      </c>
      <c r="W11" s="702" t="e">
        <f t="shared" si="2"/>
        <v>#N/A</v>
      </c>
      <c r="X11" s="703"/>
      <c r="Y11" s="369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36"/>
      <c r="Q12" s="1342">
        <f t="shared" si="6"/>
        <v>111</v>
      </c>
      <c r="R12" s="701" t="s">
        <v>14</v>
      </c>
      <c r="S12" s="702">
        <f t="shared" si="0"/>
        <v>100</v>
      </c>
      <c r="T12" s="701" t="s">
        <v>14</v>
      </c>
      <c r="U12" s="702">
        <f t="shared" si="1"/>
        <v>100</v>
      </c>
      <c r="V12" s="701" t="s">
        <v>14</v>
      </c>
      <c r="W12" s="702">
        <f t="shared" si="2"/>
        <v>100</v>
      </c>
      <c r="X12" s="703"/>
      <c r="Y12" s="369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36"/>
      <c r="Q13" s="1342">
        <f t="shared" si="6"/>
        <v>111</v>
      </c>
      <c r="R13" s="701" t="s">
        <v>14</v>
      </c>
      <c r="S13" s="702">
        <f t="shared" si="0"/>
        <v>100</v>
      </c>
      <c r="T13" s="701" t="s">
        <v>14</v>
      </c>
      <c r="U13" s="702">
        <f t="shared" si="1"/>
        <v>100</v>
      </c>
      <c r="V13" s="701" t="s">
        <v>14</v>
      </c>
      <c r="W13" s="702">
        <f t="shared" si="2"/>
        <v>100</v>
      </c>
      <c r="X13" s="703"/>
      <c r="Y13" s="369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36"/>
      <c r="Q14" s="1342">
        <f t="shared" si="6"/>
        <v>111</v>
      </c>
      <c r="R14" s="701" t="s">
        <v>14</v>
      </c>
      <c r="S14" s="702">
        <f t="shared" si="0"/>
        <v>100</v>
      </c>
      <c r="T14" s="701" t="s">
        <v>14</v>
      </c>
      <c r="U14" s="702">
        <f t="shared" si="1"/>
        <v>100</v>
      </c>
      <c r="V14" s="701" t="s">
        <v>14</v>
      </c>
      <c r="W14" s="702">
        <f t="shared" si="2"/>
        <v>100</v>
      </c>
      <c r="X14" s="703"/>
      <c r="Y14" s="3695"/>
      <c r="Z14" s="52">
        <f t="shared" si="7"/>
        <v>111</v>
      </c>
      <c r="AA14" s="704">
        <f t="shared" si="3"/>
        <v>1</v>
      </c>
      <c r="AB14" s="704">
        <f t="shared" si="4"/>
        <v>1</v>
      </c>
      <c r="AC14" s="704">
        <f t="shared" si="5"/>
        <v>1</v>
      </c>
    </row>
    <row r="15" spans="1:29" ht="15">
      <c r="A15" s="391" t="s">
        <v>1690</v>
      </c>
      <c r="B15" s="61" t="s">
        <v>1777</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56" t="s">
        <v>1691</v>
      </c>
      <c r="Q15" s="1351" t="str">
        <f t="shared" si="6"/>
        <v>商业繁华度</v>
      </c>
      <c r="R15" s="705" t="s">
        <v>14</v>
      </c>
      <c r="S15" s="706">
        <f t="shared" si="0"/>
        <v>100</v>
      </c>
      <c r="T15" s="705" t="s">
        <v>14</v>
      </c>
      <c r="U15" s="706">
        <f t="shared" si="1"/>
        <v>100</v>
      </c>
      <c r="V15" s="705" t="s">
        <v>14</v>
      </c>
      <c r="W15" s="706">
        <f t="shared" si="2"/>
        <v>100</v>
      </c>
      <c r="X15" s="1354"/>
      <c r="Y15" s="375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57"/>
      <c r="Q16" s="1351"/>
      <c r="R16" s="705"/>
      <c r="S16" s="706"/>
      <c r="T16" s="705"/>
      <c r="U16" s="706"/>
      <c r="V16" s="705"/>
      <c r="W16" s="706"/>
      <c r="X16" s="1354"/>
      <c r="Y16" s="3759"/>
      <c r="Z16" s="1355"/>
      <c r="AA16" s="1352">
        <v>1</v>
      </c>
      <c r="AB16" s="1352">
        <v>1</v>
      </c>
      <c r="AC16" s="1352">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57"/>
      <c r="Q17" s="1351" t="str">
        <f>B17</f>
        <v>交通便捷度</v>
      </c>
      <c r="R17" s="705" t="s">
        <v>14</v>
      </c>
      <c r="S17" s="706">
        <f>F17</f>
        <v>100</v>
      </c>
      <c r="T17" s="705" t="s">
        <v>14</v>
      </c>
      <c r="U17" s="706">
        <f>H17</f>
        <v>100</v>
      </c>
      <c r="V17" s="705" t="s">
        <v>14</v>
      </c>
      <c r="W17" s="706">
        <f>J17</f>
        <v>100</v>
      </c>
      <c r="X17" s="1354"/>
      <c r="Y17" s="375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57"/>
      <c r="Q18" s="1351"/>
      <c r="R18" s="705"/>
      <c r="S18" s="706"/>
      <c r="T18" s="705"/>
      <c r="U18" s="706"/>
      <c r="V18" s="705"/>
      <c r="W18" s="706"/>
      <c r="X18" s="1354"/>
      <c r="Y18" s="3759"/>
      <c r="Z18" s="1355"/>
      <c r="AA18" s="1352">
        <v>1</v>
      </c>
      <c r="AB18" s="1352">
        <v>1</v>
      </c>
      <c r="AC18" s="1352">
        <v>1</v>
      </c>
    </row>
    <row r="19" spans="1:29" ht="15">
      <c r="A19" s="379"/>
      <c r="B19" s="402" t="s">
        <v>1778</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57"/>
      <c r="Q19" s="1351" t="str">
        <f>B19</f>
        <v>公共配套设施</v>
      </c>
      <c r="R19" s="705" t="s">
        <v>14</v>
      </c>
      <c r="S19" s="706">
        <f>F19</f>
        <v>100</v>
      </c>
      <c r="T19" s="705" t="s">
        <v>14</v>
      </c>
      <c r="U19" s="706">
        <f>H19</f>
        <v>100</v>
      </c>
      <c r="V19" s="705" t="s">
        <v>14</v>
      </c>
      <c r="W19" s="706">
        <f>J19</f>
        <v>100</v>
      </c>
      <c r="X19" s="1354"/>
      <c r="Y19" s="375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57"/>
      <c r="Q20" s="1351"/>
      <c r="R20" s="705"/>
      <c r="S20" s="706"/>
      <c r="T20" s="705"/>
      <c r="U20" s="706"/>
      <c r="V20" s="705"/>
      <c r="W20" s="706"/>
      <c r="X20" s="1354"/>
      <c r="Y20" s="3759"/>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57"/>
      <c r="Q21" s="1351" t="str">
        <f>B21</f>
        <v>基础设施水平</v>
      </c>
      <c r="R21" s="705" t="s">
        <v>14</v>
      </c>
      <c r="S21" s="706">
        <f>F21</f>
        <v>100</v>
      </c>
      <c r="T21" s="705" t="s">
        <v>14</v>
      </c>
      <c r="U21" s="706">
        <f>H21</f>
        <v>100</v>
      </c>
      <c r="V21" s="705" t="s">
        <v>14</v>
      </c>
      <c r="W21" s="706">
        <f>J21</f>
        <v>100</v>
      </c>
      <c r="X21" s="1354"/>
      <c r="Y21" s="375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8"/>
      <c r="M22" s="2712"/>
      <c r="N22" s="2712"/>
      <c r="O22" s="2712"/>
      <c r="P22" s="3757"/>
      <c r="Q22" s="1351"/>
      <c r="R22" s="705"/>
      <c r="S22" s="706"/>
      <c r="T22" s="705"/>
      <c r="U22" s="706"/>
      <c r="V22" s="705"/>
      <c r="W22" s="706"/>
      <c r="X22" s="1354"/>
      <c r="Y22" s="3759"/>
      <c r="Z22" s="1355"/>
      <c r="AA22" s="1352">
        <v>1</v>
      </c>
      <c r="AB22" s="1352">
        <v>1</v>
      </c>
      <c r="AC22" s="1352">
        <v>1</v>
      </c>
    </row>
    <row r="23" spans="1:29" ht="15">
      <c r="A23" s="379"/>
      <c r="B23" s="402" t="s">
        <v>1261</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57"/>
      <c r="Q23" s="1351" t="str">
        <f>B23</f>
        <v>自然及人文环境</v>
      </c>
      <c r="R23" s="705" t="s">
        <v>14</v>
      </c>
      <c r="S23" s="706">
        <f>F23</f>
        <v>100</v>
      </c>
      <c r="T23" s="705" t="s">
        <v>14</v>
      </c>
      <c r="U23" s="706">
        <f>H23</f>
        <v>100</v>
      </c>
      <c r="V23" s="705" t="s">
        <v>14</v>
      </c>
      <c r="W23" s="706">
        <f>J23</f>
        <v>100</v>
      </c>
      <c r="X23" s="1354"/>
      <c r="Y23" s="375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57"/>
      <c r="Q24" s="1351"/>
      <c r="R24" s="705"/>
      <c r="S24" s="706"/>
      <c r="T24" s="705"/>
      <c r="U24" s="706"/>
      <c r="V24" s="705"/>
      <c r="W24" s="706"/>
      <c r="X24" s="1354"/>
      <c r="Y24" s="375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57"/>
      <c r="Q25" s="1351" t="str">
        <f t="shared" ref="Q25:Q46" si="11">B25</f>
        <v>临街状况</v>
      </c>
      <c r="R25" s="705" t="s">
        <v>14</v>
      </c>
      <c r="S25" s="706">
        <f>F25</f>
        <v>100</v>
      </c>
      <c r="T25" s="705" t="s">
        <v>14</v>
      </c>
      <c r="U25" s="706">
        <f>H25</f>
        <v>100</v>
      </c>
      <c r="V25" s="705" t="s">
        <v>14</v>
      </c>
      <c r="W25" s="706">
        <f>J25</f>
        <v>100</v>
      </c>
      <c r="X25" s="1354"/>
      <c r="Y25" s="375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57"/>
      <c r="Q26" s="1351" t="str">
        <f t="shared" si="11"/>
        <v>平面位置/可视性</v>
      </c>
      <c r="R26" s="705" t="s">
        <v>14</v>
      </c>
      <c r="S26" s="706">
        <f>F26</f>
        <v>100</v>
      </c>
      <c r="T26" s="705" t="s">
        <v>14</v>
      </c>
      <c r="U26" s="706">
        <f>H26</f>
        <v>100</v>
      </c>
      <c r="V26" s="705" t="s">
        <v>14</v>
      </c>
      <c r="W26" s="706">
        <f>J26</f>
        <v>100</v>
      </c>
      <c r="X26" s="1354"/>
      <c r="Y26" s="375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757"/>
      <c r="Q27" s="1342" t="str">
        <f t="shared" si="11"/>
        <v>人流量</v>
      </c>
      <c r="R27" s="701" t="s">
        <v>14</v>
      </c>
      <c r="S27" s="702">
        <f>F27</f>
        <v>100</v>
      </c>
      <c r="T27" s="701" t="s">
        <v>14</v>
      </c>
      <c r="U27" s="702">
        <f>H27</f>
        <v>100</v>
      </c>
      <c r="V27" s="701" t="s">
        <v>14</v>
      </c>
      <c r="W27" s="702">
        <f>J27</f>
        <v>100</v>
      </c>
      <c r="X27" s="703"/>
      <c r="Y27" s="375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5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57"/>
      <c r="Q29" s="1351">
        <f t="shared" si="11"/>
        <v>111</v>
      </c>
      <c r="R29" s="705" t="s">
        <v>14</v>
      </c>
      <c r="S29" s="706">
        <f t="shared" si="12"/>
        <v>100</v>
      </c>
      <c r="T29" s="705" t="s">
        <v>14</v>
      </c>
      <c r="U29" s="706">
        <f t="shared" si="13"/>
        <v>100</v>
      </c>
      <c r="V29" s="705" t="s">
        <v>14</v>
      </c>
      <c r="W29" s="706">
        <f t="shared" si="14"/>
        <v>100</v>
      </c>
      <c r="X29" s="1354"/>
      <c r="Y29" s="375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57"/>
      <c r="Q30" s="1351">
        <f t="shared" si="11"/>
        <v>111</v>
      </c>
      <c r="R30" s="705" t="s">
        <v>14</v>
      </c>
      <c r="S30" s="706">
        <f t="shared" si="12"/>
        <v>100</v>
      </c>
      <c r="T30" s="705" t="s">
        <v>14</v>
      </c>
      <c r="U30" s="706">
        <f t="shared" si="13"/>
        <v>100</v>
      </c>
      <c r="V30" s="705" t="s">
        <v>14</v>
      </c>
      <c r="W30" s="706">
        <f t="shared" si="14"/>
        <v>100</v>
      </c>
      <c r="X30" s="1354"/>
      <c r="Y30" s="375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57"/>
      <c r="Q31" s="1351">
        <f t="shared" si="11"/>
        <v>111</v>
      </c>
      <c r="R31" s="705" t="s">
        <v>14</v>
      </c>
      <c r="S31" s="706">
        <f t="shared" si="12"/>
        <v>100</v>
      </c>
      <c r="T31" s="705" t="s">
        <v>14</v>
      </c>
      <c r="U31" s="706">
        <f t="shared" si="13"/>
        <v>100</v>
      </c>
      <c r="V31" s="705" t="s">
        <v>14</v>
      </c>
      <c r="W31" s="706">
        <f t="shared" si="14"/>
        <v>100</v>
      </c>
      <c r="X31" s="1354"/>
      <c r="Y31" s="375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60" t="s">
        <v>1696</v>
      </c>
      <c r="Q32" s="1351" t="str">
        <f t="shared" si="11"/>
        <v>商业类型</v>
      </c>
      <c r="R32" s="705" t="s">
        <v>14</v>
      </c>
      <c r="S32" s="706">
        <f t="shared" si="12"/>
        <v>100</v>
      </c>
      <c r="T32" s="705" t="s">
        <v>14</v>
      </c>
      <c r="U32" s="706">
        <f t="shared" si="13"/>
        <v>100</v>
      </c>
      <c r="V32" s="705" t="s">
        <v>14</v>
      </c>
      <c r="W32" s="706">
        <f t="shared" si="14"/>
        <v>100</v>
      </c>
      <c r="X32" s="1354"/>
      <c r="Y32" s="376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61"/>
      <c r="Q33" s="707" t="str">
        <f t="shared" si="11"/>
        <v>项目建筑规模</v>
      </c>
      <c r="R33" s="708" t="s">
        <v>14</v>
      </c>
      <c r="S33" s="709" t="e">
        <f t="shared" si="12"/>
        <v>#N/A</v>
      </c>
      <c r="T33" s="708" t="s">
        <v>14</v>
      </c>
      <c r="U33" s="709" t="e">
        <f t="shared" si="13"/>
        <v>#N/A</v>
      </c>
      <c r="V33" s="708" t="s">
        <v>14</v>
      </c>
      <c r="W33" s="709" t="e">
        <f t="shared" si="14"/>
        <v>#N/A</v>
      </c>
      <c r="X33" s="710"/>
      <c r="Y33" s="376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761"/>
      <c r="Q34" s="1351" t="str">
        <f t="shared" si="11"/>
        <v>建筑结构</v>
      </c>
      <c r="R34" s="705" t="s">
        <v>14</v>
      </c>
      <c r="S34" s="706">
        <f t="shared" si="12"/>
        <v>100</v>
      </c>
      <c r="T34" s="705" t="s">
        <v>14</v>
      </c>
      <c r="U34" s="706">
        <f t="shared" si="13"/>
        <v>100</v>
      </c>
      <c r="V34" s="705" t="s">
        <v>14</v>
      </c>
      <c r="W34" s="706">
        <f t="shared" si="14"/>
        <v>100</v>
      </c>
      <c r="X34" s="1354"/>
      <c r="Y34" s="376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61"/>
      <c r="Q35" s="1351" t="str">
        <f t="shared" si="11"/>
        <v>公共部分装修</v>
      </c>
      <c r="R35" s="705" t="s">
        <v>14</v>
      </c>
      <c r="S35" s="706">
        <f t="shared" si="12"/>
        <v>100</v>
      </c>
      <c r="T35" s="705" t="s">
        <v>14</v>
      </c>
      <c r="U35" s="706">
        <f t="shared" si="13"/>
        <v>100</v>
      </c>
      <c r="V35" s="705" t="s">
        <v>14</v>
      </c>
      <c r="W35" s="706">
        <f t="shared" si="14"/>
        <v>100</v>
      </c>
      <c r="X35" s="1354"/>
      <c r="Y35" s="376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61"/>
      <c r="Q36" s="1351" t="str">
        <f t="shared" si="11"/>
        <v>成新度</v>
      </c>
      <c r="R36" s="705" t="s">
        <v>14</v>
      </c>
      <c r="S36" s="706" t="e">
        <f t="shared" si="12"/>
        <v>#N/A</v>
      </c>
      <c r="T36" s="705" t="s">
        <v>14</v>
      </c>
      <c r="U36" s="706" t="e">
        <f t="shared" si="13"/>
        <v>#N/A</v>
      </c>
      <c r="V36" s="705" t="s">
        <v>14</v>
      </c>
      <c r="W36" s="706" t="e">
        <f t="shared" si="14"/>
        <v>#N/A</v>
      </c>
      <c r="X36" s="1354"/>
      <c r="Y36" s="376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61"/>
      <c r="Q37" s="1342" t="str">
        <f t="shared" si="11"/>
        <v>市政基础设施</v>
      </c>
      <c r="R37" s="701" t="s">
        <v>14</v>
      </c>
      <c r="S37" s="702">
        <f t="shared" si="12"/>
        <v>100</v>
      </c>
      <c r="T37" s="701" t="s">
        <v>14</v>
      </c>
      <c r="U37" s="702">
        <f t="shared" si="13"/>
        <v>100</v>
      </c>
      <c r="V37" s="701" t="s">
        <v>14</v>
      </c>
      <c r="W37" s="702">
        <f t="shared" si="14"/>
        <v>100</v>
      </c>
      <c r="X37" s="703"/>
      <c r="Y37" s="376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61" t="s">
        <v>1696</v>
      </c>
      <c r="Q38" s="1351" t="str">
        <f t="shared" si="11"/>
        <v>业态</v>
      </c>
      <c r="R38" s="705" t="s">
        <v>14</v>
      </c>
      <c r="S38" s="706">
        <f t="shared" si="12"/>
        <v>100</v>
      </c>
      <c r="T38" s="705" t="s">
        <v>14</v>
      </c>
      <c r="U38" s="706">
        <f t="shared" si="13"/>
        <v>100</v>
      </c>
      <c r="V38" s="705" t="s">
        <v>14</v>
      </c>
      <c r="W38" s="706">
        <f t="shared" si="14"/>
        <v>100</v>
      </c>
      <c r="X38" s="1354"/>
      <c r="Y38" s="376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61"/>
      <c r="Q39" s="1351" t="str">
        <f t="shared" si="11"/>
        <v>层高</v>
      </c>
      <c r="R39" s="705" t="s">
        <v>14</v>
      </c>
      <c r="S39" s="706">
        <f t="shared" si="12"/>
        <v>100</v>
      </c>
      <c r="T39" s="705" t="s">
        <v>14</v>
      </c>
      <c r="U39" s="706">
        <f t="shared" si="13"/>
        <v>100</v>
      </c>
      <c r="V39" s="705" t="s">
        <v>14</v>
      </c>
      <c r="W39" s="706">
        <f t="shared" si="14"/>
        <v>100</v>
      </c>
      <c r="X39" s="1354"/>
      <c r="Y39" s="376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1"/>
      <c r="Q40" s="1351" t="str">
        <f t="shared" si="11"/>
        <v>单套建筑面积</v>
      </c>
      <c r="R40" s="705" t="s">
        <v>14</v>
      </c>
      <c r="S40" s="706">
        <f t="shared" si="12"/>
        <v>100</v>
      </c>
      <c r="T40" s="705" t="s">
        <v>14</v>
      </c>
      <c r="U40" s="706">
        <f t="shared" si="13"/>
        <v>100</v>
      </c>
      <c r="V40" s="705" t="s">
        <v>14</v>
      </c>
      <c r="W40" s="706">
        <f t="shared" si="14"/>
        <v>100</v>
      </c>
      <c r="X40" s="1354"/>
      <c r="Y40" s="376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1"/>
      <c r="Q41" s="707" t="str">
        <f t="shared" si="11"/>
        <v>进深比</v>
      </c>
      <c r="R41" s="708" t="s">
        <v>14</v>
      </c>
      <c r="S41" s="709">
        <f t="shared" si="12"/>
        <v>100</v>
      </c>
      <c r="T41" s="708" t="s">
        <v>14</v>
      </c>
      <c r="U41" s="709">
        <f t="shared" si="13"/>
        <v>100</v>
      </c>
      <c r="V41" s="708" t="s">
        <v>14</v>
      </c>
      <c r="W41" s="709">
        <f t="shared" si="14"/>
        <v>100</v>
      </c>
      <c r="X41" s="710"/>
      <c r="Y41" s="376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61"/>
      <c r="Q42" s="1351" t="str">
        <f t="shared" si="11"/>
        <v>内部装修</v>
      </c>
      <c r="R42" s="705" t="s">
        <v>14</v>
      </c>
      <c r="S42" s="706">
        <f t="shared" si="12"/>
        <v>100</v>
      </c>
      <c r="T42" s="705" t="s">
        <v>14</v>
      </c>
      <c r="U42" s="706">
        <f t="shared" si="13"/>
        <v>100</v>
      </c>
      <c r="V42" s="705" t="s">
        <v>14</v>
      </c>
      <c r="W42" s="706">
        <f t="shared" si="14"/>
        <v>100</v>
      </c>
      <c r="X42" s="1354"/>
      <c r="Y42" s="376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61"/>
      <c r="Q43" s="1351" t="str">
        <f t="shared" si="11"/>
        <v>内部装修维护情况</v>
      </c>
      <c r="R43" s="705" t="s">
        <v>14</v>
      </c>
      <c r="S43" s="706">
        <f t="shared" si="12"/>
        <v>100</v>
      </c>
      <c r="T43" s="705" t="s">
        <v>14</v>
      </c>
      <c r="U43" s="706">
        <f t="shared" si="13"/>
        <v>100</v>
      </c>
      <c r="V43" s="705" t="s">
        <v>14</v>
      </c>
      <c r="W43" s="706">
        <f t="shared" si="14"/>
        <v>100</v>
      </c>
      <c r="X43" s="1354"/>
      <c r="Y43" s="376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1"/>
      <c r="Q44" s="1342">
        <f t="shared" si="11"/>
        <v>111</v>
      </c>
      <c r="R44" s="701" t="s">
        <v>14</v>
      </c>
      <c r="S44" s="702">
        <f t="shared" si="12"/>
        <v>100</v>
      </c>
      <c r="T44" s="701" t="s">
        <v>14</v>
      </c>
      <c r="U44" s="702">
        <f t="shared" si="13"/>
        <v>100</v>
      </c>
      <c r="V44" s="701" t="s">
        <v>14</v>
      </c>
      <c r="W44" s="702">
        <f t="shared" si="14"/>
        <v>100</v>
      </c>
      <c r="X44" s="703"/>
      <c r="Y44" s="37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1"/>
      <c r="Q45" s="1351">
        <f t="shared" si="11"/>
        <v>111</v>
      </c>
      <c r="R45" s="705" t="s">
        <v>14</v>
      </c>
      <c r="S45" s="706">
        <f t="shared" si="12"/>
        <v>100</v>
      </c>
      <c r="T45" s="705" t="s">
        <v>14</v>
      </c>
      <c r="U45" s="706">
        <f t="shared" si="13"/>
        <v>100</v>
      </c>
      <c r="V45" s="705" t="s">
        <v>14</v>
      </c>
      <c r="W45" s="706">
        <f t="shared" si="14"/>
        <v>100</v>
      </c>
      <c r="X45" s="1354"/>
      <c r="Y45" s="376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2"/>
      <c r="Q46" s="1351">
        <f t="shared" si="11"/>
        <v>111</v>
      </c>
      <c r="R46" s="705" t="s">
        <v>14</v>
      </c>
      <c r="S46" s="706">
        <f t="shared" si="12"/>
        <v>100</v>
      </c>
      <c r="T46" s="705" t="s">
        <v>14</v>
      </c>
      <c r="U46" s="706">
        <f t="shared" si="13"/>
        <v>100</v>
      </c>
      <c r="V46" s="705" t="s">
        <v>14</v>
      </c>
      <c r="W46" s="706">
        <f t="shared" si="14"/>
        <v>100</v>
      </c>
      <c r="X46" s="1354"/>
      <c r="Y46" s="376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65" t="str">
        <f>A47</f>
        <v>成交单价（元/平方米）</v>
      </c>
      <c r="Q47" s="3765"/>
      <c r="R47" s="3753">
        <f>E47</f>
        <v>0</v>
      </c>
      <c r="S47" s="3753"/>
      <c r="T47" s="3753">
        <f>G47</f>
        <v>0</v>
      </c>
      <c r="U47" s="3753"/>
      <c r="V47" s="3753">
        <f>I47</f>
        <v>0</v>
      </c>
      <c r="W47" s="3753"/>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0"/>
      <c r="M48" s="2721"/>
      <c r="N48" s="2712"/>
      <c r="O48" s="2721"/>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806" t="str">
        <f>A49</f>
        <v>估价对象XX用房的比较价值（楼面单价，元/平方米）</v>
      </c>
      <c r="Q49" s="3807"/>
      <c r="R49" s="3808" t="e">
        <f>IF(F1="售价",ROUND(IF(D48="简单平均",AVERAGE(R48:V48),R48*F48+T48*H48+V48*J48),0),ROUND(IF(D48="简单平均",AVERAGE(R48:V48),R48*F48+T48*H48+V48*J48),1))</f>
        <v>#DIV/0!</v>
      </c>
      <c r="S49" s="3808"/>
      <c r="T49" s="3808"/>
      <c r="U49" s="3808"/>
      <c r="V49" s="3808"/>
      <c r="W49" s="380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受贵公司委托，我公司对北京市顺义区汇海南路6号院25号楼-2至10层101房地产抵押价值进行了预评估。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16295.3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40" t="s">
        <v>1770</v>
      </c>
      <c r="D4" s="3741"/>
      <c r="E4" s="3742" t="s">
        <v>1771</v>
      </c>
      <c r="F4" s="3743"/>
      <c r="G4" s="3740" t="s">
        <v>1772</v>
      </c>
      <c r="H4" s="3741"/>
      <c r="I4" s="3740" t="s">
        <v>1773</v>
      </c>
      <c r="J4" s="3741"/>
      <c r="K4" s="559" t="s">
        <v>1774</v>
      </c>
      <c r="L4" s="913"/>
      <c r="M4" s="914"/>
      <c r="N4" s="914"/>
      <c r="O4" s="914"/>
      <c r="P4" s="3802" t="s">
        <v>1775</v>
      </c>
      <c r="Q4" s="3803"/>
      <c r="R4" s="3800" t="s">
        <v>1771</v>
      </c>
      <c r="S4" s="3801"/>
      <c r="T4" s="3800" t="s">
        <v>1772</v>
      </c>
      <c r="U4" s="3801"/>
      <c r="V4" s="3753" t="s">
        <v>1773</v>
      </c>
      <c r="W4" s="3753"/>
      <c r="X4" s="1354"/>
      <c r="Y4" s="3800" t="s">
        <v>1775</v>
      </c>
      <c r="Z4" s="3801"/>
      <c r="AA4" s="3799" t="s">
        <v>1771</v>
      </c>
      <c r="AB4" s="3720" t="s">
        <v>1772</v>
      </c>
      <c r="AC4" s="3799" t="s">
        <v>1773</v>
      </c>
    </row>
    <row r="5" spans="1:29" ht="15">
      <c r="A5" s="358"/>
      <c r="B5" s="359"/>
      <c r="C5" s="3730" t="s">
        <v>1673</v>
      </c>
      <c r="D5" s="3731"/>
      <c r="E5" s="3728" t="s">
        <v>1674</v>
      </c>
      <c r="F5" s="3729"/>
      <c r="G5" s="3730" t="s">
        <v>1675</v>
      </c>
      <c r="H5" s="3731"/>
      <c r="I5" s="3730" t="s">
        <v>1676</v>
      </c>
      <c r="J5" s="3731"/>
      <c r="K5" s="559"/>
      <c r="L5" s="913"/>
      <c r="M5" s="914"/>
      <c r="N5" s="914"/>
      <c r="O5" s="914"/>
      <c r="P5" s="3804"/>
      <c r="Q5" s="3747"/>
      <c r="R5" s="3726"/>
      <c r="S5" s="3727"/>
      <c r="T5" s="3726"/>
      <c r="U5" s="3727"/>
      <c r="V5" s="3753"/>
      <c r="W5" s="3753"/>
      <c r="X5" s="1354"/>
      <c r="Y5" s="3726"/>
      <c r="Z5" s="3727"/>
      <c r="AA5" s="3720"/>
      <c r="AB5" s="3720"/>
      <c r="AC5" s="3720"/>
    </row>
    <row r="6" spans="1:29" ht="15.75" thickBot="1">
      <c r="A6" s="360"/>
      <c r="B6" s="361"/>
      <c r="C6" s="3732" t="s">
        <v>1677</v>
      </c>
      <c r="D6" s="3733"/>
      <c r="E6" s="3734" t="s">
        <v>1677</v>
      </c>
      <c r="F6" s="3735"/>
      <c r="G6" s="3732" t="s">
        <v>1677</v>
      </c>
      <c r="H6" s="3733"/>
      <c r="I6" s="3732" t="s">
        <v>1677</v>
      </c>
      <c r="J6" s="3733"/>
      <c r="K6" s="559" t="s">
        <v>1678</v>
      </c>
      <c r="L6" s="913"/>
      <c r="M6" s="914"/>
      <c r="N6" s="914"/>
      <c r="O6" s="914"/>
      <c r="P6" s="3805"/>
      <c r="Q6" s="3749"/>
      <c r="R6" s="3726"/>
      <c r="S6" s="3727"/>
      <c r="T6" s="3750"/>
      <c r="U6" s="3751"/>
      <c r="V6" s="3753"/>
      <c r="W6" s="3753"/>
      <c r="X6" s="1354"/>
      <c r="Y6" s="3750"/>
      <c r="Z6" s="3751"/>
      <c r="AA6" s="3721"/>
      <c r="AB6" s="3721"/>
      <c r="AC6" s="3721"/>
    </row>
    <row r="7" spans="1:29" s="108" customFormat="1" ht="15.75" thickBot="1">
      <c r="A7" s="362" t="s">
        <v>1679</v>
      </c>
      <c r="B7" s="363"/>
      <c r="C7" s="364">
        <f>'数据-取费表'!B2</f>
        <v>45608</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55"/>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5" t="s">
        <v>1686</v>
      </c>
      <c r="Q9" s="1342" t="str">
        <f t="shared" ref="Q9:Q15" si="6">B9</f>
        <v>用途</v>
      </c>
      <c r="R9" s="701" t="s">
        <v>14</v>
      </c>
      <c r="S9" s="702">
        <f t="shared" si="0"/>
        <v>100</v>
      </c>
      <c r="T9" s="701" t="s">
        <v>14</v>
      </c>
      <c r="U9" s="702">
        <f t="shared" si="1"/>
        <v>100</v>
      </c>
      <c r="V9" s="701" t="s">
        <v>14</v>
      </c>
      <c r="W9" s="702">
        <f t="shared" si="2"/>
        <v>100</v>
      </c>
      <c r="X9" s="703"/>
      <c r="Y9" s="369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65"/>
      <c r="Q10" s="1342" t="str">
        <f t="shared" si="6"/>
        <v>土地使用年限（年）</v>
      </c>
      <c r="R10" s="701" t="s">
        <v>14</v>
      </c>
      <c r="S10" s="702">
        <f t="shared" si="0"/>
        <v>100</v>
      </c>
      <c r="T10" s="701" t="s">
        <v>14</v>
      </c>
      <c r="U10" s="702">
        <f t="shared" si="1"/>
        <v>100</v>
      </c>
      <c r="V10" s="701" t="s">
        <v>14</v>
      </c>
      <c r="W10" s="702">
        <f t="shared" si="2"/>
        <v>100</v>
      </c>
      <c r="X10" s="703"/>
      <c r="Y10" s="369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5"/>
      <c r="Q11" s="1342" t="str">
        <f t="shared" si="6"/>
        <v>容积率</v>
      </c>
      <c r="R11" s="701" t="s">
        <v>14</v>
      </c>
      <c r="S11" s="702">
        <f t="shared" si="0"/>
        <v>100</v>
      </c>
      <c r="T11" s="701" t="s">
        <v>14</v>
      </c>
      <c r="U11" s="702">
        <f t="shared" si="1"/>
        <v>100</v>
      </c>
      <c r="V11" s="701" t="s">
        <v>14</v>
      </c>
      <c r="W11" s="702">
        <f t="shared" si="2"/>
        <v>100</v>
      </c>
      <c r="X11" s="703"/>
      <c r="Y11" s="369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65"/>
      <c r="Q12" s="1342">
        <f t="shared" si="6"/>
        <v>111</v>
      </c>
      <c r="R12" s="701" t="s">
        <v>14</v>
      </c>
      <c r="S12" s="702">
        <f t="shared" si="0"/>
        <v>100</v>
      </c>
      <c r="T12" s="701" t="s">
        <v>14</v>
      </c>
      <c r="U12" s="702">
        <f t="shared" si="1"/>
        <v>100</v>
      </c>
      <c r="V12" s="701" t="s">
        <v>14</v>
      </c>
      <c r="W12" s="702">
        <f t="shared" si="2"/>
        <v>100</v>
      </c>
      <c r="X12" s="703"/>
      <c r="Y12" s="369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65"/>
      <c r="Q13" s="1342">
        <f t="shared" si="6"/>
        <v>111</v>
      </c>
      <c r="R13" s="701" t="s">
        <v>14</v>
      </c>
      <c r="S13" s="702">
        <f t="shared" si="0"/>
        <v>100</v>
      </c>
      <c r="T13" s="701" t="s">
        <v>14</v>
      </c>
      <c r="U13" s="702">
        <f t="shared" si="1"/>
        <v>100</v>
      </c>
      <c r="V13" s="701" t="s">
        <v>14</v>
      </c>
      <c r="W13" s="702">
        <f t="shared" si="2"/>
        <v>100</v>
      </c>
      <c r="X13" s="703"/>
      <c r="Y13" s="369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65"/>
      <c r="Q14" s="1342">
        <f t="shared" si="6"/>
        <v>111</v>
      </c>
      <c r="R14" s="701" t="s">
        <v>14</v>
      </c>
      <c r="S14" s="702">
        <f t="shared" si="0"/>
        <v>100</v>
      </c>
      <c r="T14" s="701" t="s">
        <v>14</v>
      </c>
      <c r="U14" s="702">
        <f t="shared" si="1"/>
        <v>100</v>
      </c>
      <c r="V14" s="701" t="s">
        <v>14</v>
      </c>
      <c r="W14" s="702">
        <f t="shared" si="2"/>
        <v>100</v>
      </c>
      <c r="X14" s="703"/>
      <c r="Y14" s="369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8" t="s">
        <v>1691</v>
      </c>
      <c r="Q15" s="1351" t="str">
        <f t="shared" si="6"/>
        <v>产业集聚程度</v>
      </c>
      <c r="R15" s="705" t="s">
        <v>14</v>
      </c>
      <c r="S15" s="706">
        <f t="shared" si="0"/>
        <v>100</v>
      </c>
      <c r="T15" s="705" t="s">
        <v>14</v>
      </c>
      <c r="U15" s="706">
        <f t="shared" si="1"/>
        <v>100</v>
      </c>
      <c r="V15" s="705" t="s">
        <v>14</v>
      </c>
      <c r="W15" s="706">
        <f t="shared" si="2"/>
        <v>100</v>
      </c>
      <c r="X15" s="1354"/>
      <c r="Y15" s="375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59"/>
      <c r="Q16" s="1351"/>
      <c r="R16" s="705"/>
      <c r="S16" s="706"/>
      <c r="T16" s="705"/>
      <c r="U16" s="706"/>
      <c r="V16" s="705"/>
      <c r="W16" s="706"/>
      <c r="X16" s="1354"/>
      <c r="Y16" s="375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9"/>
      <c r="Q17" s="1351" t="str">
        <f>B17</f>
        <v>交通便捷度</v>
      </c>
      <c r="R17" s="705" t="s">
        <v>14</v>
      </c>
      <c r="S17" s="706">
        <f>F17</f>
        <v>100</v>
      </c>
      <c r="T17" s="705" t="s">
        <v>14</v>
      </c>
      <c r="U17" s="706">
        <f>H17</f>
        <v>100</v>
      </c>
      <c r="V17" s="705" t="s">
        <v>14</v>
      </c>
      <c r="W17" s="706">
        <f>J17</f>
        <v>100</v>
      </c>
      <c r="X17" s="1354"/>
      <c r="Y17" s="375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59"/>
      <c r="Q18" s="1351"/>
      <c r="R18" s="705"/>
      <c r="S18" s="706"/>
      <c r="T18" s="705"/>
      <c r="U18" s="706"/>
      <c r="V18" s="705"/>
      <c r="W18" s="706"/>
      <c r="X18" s="1354"/>
      <c r="Y18" s="375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9"/>
      <c r="Q19" s="1351" t="str">
        <f>B19</f>
        <v>公共配套设施</v>
      </c>
      <c r="R19" s="705" t="s">
        <v>14</v>
      </c>
      <c r="S19" s="706">
        <f>F19</f>
        <v>100</v>
      </c>
      <c r="T19" s="705" t="s">
        <v>14</v>
      </c>
      <c r="U19" s="706">
        <f>H19</f>
        <v>100</v>
      </c>
      <c r="V19" s="705" t="s">
        <v>14</v>
      </c>
      <c r="W19" s="706">
        <f>J19</f>
        <v>100</v>
      </c>
      <c r="X19" s="1354"/>
      <c r="Y19" s="375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59"/>
      <c r="Q20" s="1351"/>
      <c r="R20" s="705"/>
      <c r="S20" s="706"/>
      <c r="T20" s="705"/>
      <c r="U20" s="706"/>
      <c r="V20" s="705"/>
      <c r="W20" s="706"/>
      <c r="X20" s="1354"/>
      <c r="Y20" s="3759"/>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9"/>
      <c r="Q21" s="1351" t="str">
        <f>B21</f>
        <v>基础设施水平</v>
      </c>
      <c r="R21" s="705" t="s">
        <v>14</v>
      </c>
      <c r="S21" s="706">
        <f>F21</f>
        <v>100</v>
      </c>
      <c r="T21" s="705" t="s">
        <v>14</v>
      </c>
      <c r="U21" s="706">
        <f>H21</f>
        <v>100</v>
      </c>
      <c r="V21" s="705" t="s">
        <v>14</v>
      </c>
      <c r="W21" s="706">
        <f>J21</f>
        <v>100</v>
      </c>
      <c r="X21" s="1354"/>
      <c r="Y21" s="375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59"/>
      <c r="Q22" s="1351"/>
      <c r="R22" s="705"/>
      <c r="S22" s="706"/>
      <c r="T22" s="705"/>
      <c r="U22" s="706"/>
      <c r="V22" s="705"/>
      <c r="W22" s="706"/>
      <c r="X22" s="1354"/>
      <c r="Y22" s="375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9"/>
      <c r="Q23" s="1351" t="str">
        <f>B23</f>
        <v>环境质量</v>
      </c>
      <c r="R23" s="705" t="s">
        <v>14</v>
      </c>
      <c r="S23" s="706">
        <f>F23</f>
        <v>100</v>
      </c>
      <c r="T23" s="705" t="s">
        <v>14</v>
      </c>
      <c r="U23" s="706">
        <f>H23</f>
        <v>100</v>
      </c>
      <c r="V23" s="705" t="s">
        <v>14</v>
      </c>
      <c r="W23" s="706">
        <f>J23</f>
        <v>100</v>
      </c>
      <c r="X23" s="1354"/>
      <c r="Y23" s="375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59"/>
      <c r="Q24" s="1351"/>
      <c r="R24" s="705"/>
      <c r="S24" s="706"/>
      <c r="T24" s="705"/>
      <c r="U24" s="706"/>
      <c r="V24" s="705"/>
      <c r="W24" s="706"/>
      <c r="X24" s="1354"/>
      <c r="Y24" s="375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9"/>
      <c r="Q25" s="1351">
        <f>B25</f>
        <v>111</v>
      </c>
      <c r="R25" s="705" t="s">
        <v>14</v>
      </c>
      <c r="S25" s="706">
        <f>F25</f>
        <v>100</v>
      </c>
      <c r="T25" s="705" t="s">
        <v>14</v>
      </c>
      <c r="U25" s="706">
        <f>H25</f>
        <v>100</v>
      </c>
      <c r="V25" s="705" t="s">
        <v>14</v>
      </c>
      <c r="W25" s="706">
        <f>J25</f>
        <v>100</v>
      </c>
      <c r="X25" s="1354"/>
      <c r="Y25" s="375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9"/>
      <c r="Q26" s="1351">
        <f t="shared" ref="Q26:Q40" si="11">B26</f>
        <v>111</v>
      </c>
      <c r="R26" s="705" t="s">
        <v>14</v>
      </c>
      <c r="S26" s="706">
        <f>F26</f>
        <v>100</v>
      </c>
      <c r="T26" s="705" t="s">
        <v>14</v>
      </c>
      <c r="U26" s="706">
        <f>H26</f>
        <v>100</v>
      </c>
      <c r="V26" s="705" t="s">
        <v>14</v>
      </c>
      <c r="W26" s="706">
        <f>J26</f>
        <v>100</v>
      </c>
      <c r="X26" s="1354"/>
      <c r="Y26" s="375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9"/>
      <c r="Q27" s="1342">
        <f t="shared" si="11"/>
        <v>111</v>
      </c>
      <c r="R27" s="701" t="s">
        <v>14</v>
      </c>
      <c r="S27" s="702">
        <f>F27</f>
        <v>100</v>
      </c>
      <c r="T27" s="701" t="s">
        <v>14</v>
      </c>
      <c r="U27" s="702">
        <f>H27</f>
        <v>100</v>
      </c>
      <c r="V27" s="701" t="s">
        <v>14</v>
      </c>
      <c r="W27" s="702">
        <f>J27</f>
        <v>100</v>
      </c>
      <c r="X27" s="703"/>
      <c r="Y27" s="375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9"/>
      <c r="Q28" s="1351">
        <f t="shared" si="11"/>
        <v>111</v>
      </c>
      <c r="R28" s="705" t="s">
        <v>14</v>
      </c>
      <c r="S28" s="706">
        <f t="shared" ref="S28:S40" si="12">F28</f>
        <v>100</v>
      </c>
      <c r="T28" s="705" t="s">
        <v>14</v>
      </c>
      <c r="U28" s="706">
        <f t="shared" ref="U28:U40" si="13">H28</f>
        <v>100</v>
      </c>
      <c r="V28" s="705" t="s">
        <v>14</v>
      </c>
      <c r="W28" s="706">
        <f t="shared" ref="W28:W40" si="14">J28</f>
        <v>100</v>
      </c>
      <c r="X28" s="1354"/>
      <c r="Y28" s="375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09" t="s">
        <v>1696</v>
      </c>
      <c r="Q29" s="1351" t="str">
        <f t="shared" si="11"/>
        <v>建筑类型</v>
      </c>
      <c r="R29" s="705" t="s">
        <v>14</v>
      </c>
      <c r="S29" s="706">
        <f t="shared" si="12"/>
        <v>100</v>
      </c>
      <c r="T29" s="705" t="s">
        <v>14</v>
      </c>
      <c r="U29" s="706">
        <f t="shared" si="13"/>
        <v>100</v>
      </c>
      <c r="V29" s="705" t="s">
        <v>14</v>
      </c>
      <c r="W29" s="706">
        <f t="shared" si="14"/>
        <v>100</v>
      </c>
      <c r="X29" s="1354"/>
      <c r="Y29" s="376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3"/>
      <c r="Q30" s="707" t="str">
        <f t="shared" si="11"/>
        <v>项目建筑规模</v>
      </c>
      <c r="R30" s="708" t="s">
        <v>14</v>
      </c>
      <c r="S30" s="709" t="e">
        <f t="shared" si="12"/>
        <v>#N/A</v>
      </c>
      <c r="T30" s="708" t="s">
        <v>14</v>
      </c>
      <c r="U30" s="709" t="e">
        <f t="shared" si="13"/>
        <v>#N/A</v>
      </c>
      <c r="V30" s="708" t="s">
        <v>14</v>
      </c>
      <c r="W30" s="709" t="e">
        <f t="shared" si="14"/>
        <v>#N/A</v>
      </c>
      <c r="X30" s="710"/>
      <c r="Y30" s="376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3"/>
      <c r="Q31" s="1351" t="str">
        <f t="shared" si="11"/>
        <v>建筑结构</v>
      </c>
      <c r="R31" s="705" t="s">
        <v>14</v>
      </c>
      <c r="S31" s="706">
        <f t="shared" si="12"/>
        <v>100</v>
      </c>
      <c r="T31" s="705" t="s">
        <v>14</v>
      </c>
      <c r="U31" s="706">
        <f t="shared" si="13"/>
        <v>100</v>
      </c>
      <c r="V31" s="705" t="s">
        <v>14</v>
      </c>
      <c r="W31" s="706">
        <f t="shared" si="14"/>
        <v>100</v>
      </c>
      <c r="X31" s="1354"/>
      <c r="Y31" s="376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3"/>
      <c r="Q32" s="1351" t="str">
        <f t="shared" si="11"/>
        <v>公共部分装修</v>
      </c>
      <c r="R32" s="705" t="s">
        <v>14</v>
      </c>
      <c r="S32" s="706">
        <f t="shared" si="12"/>
        <v>100</v>
      </c>
      <c r="T32" s="705" t="s">
        <v>14</v>
      </c>
      <c r="U32" s="706">
        <f t="shared" si="13"/>
        <v>100</v>
      </c>
      <c r="V32" s="705" t="s">
        <v>14</v>
      </c>
      <c r="W32" s="706">
        <f t="shared" si="14"/>
        <v>100</v>
      </c>
      <c r="X32" s="1354"/>
      <c r="Y32" s="376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3"/>
      <c r="Q33" s="1351" t="str">
        <f t="shared" si="11"/>
        <v>成新度</v>
      </c>
      <c r="R33" s="705" t="s">
        <v>14</v>
      </c>
      <c r="S33" s="706" t="e">
        <f t="shared" si="12"/>
        <v>#N/A</v>
      </c>
      <c r="T33" s="705" t="s">
        <v>14</v>
      </c>
      <c r="U33" s="706" t="e">
        <f t="shared" si="13"/>
        <v>#N/A</v>
      </c>
      <c r="V33" s="705" t="s">
        <v>14</v>
      </c>
      <c r="W33" s="706" t="e">
        <f t="shared" si="14"/>
        <v>#N/A</v>
      </c>
      <c r="X33" s="1354"/>
      <c r="Y33" s="376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3"/>
      <c r="Q34" s="1342" t="str">
        <f t="shared" si="11"/>
        <v>物业管理</v>
      </c>
      <c r="R34" s="701" t="s">
        <v>14</v>
      </c>
      <c r="S34" s="702">
        <f t="shared" si="12"/>
        <v>100</v>
      </c>
      <c r="T34" s="701" t="s">
        <v>14</v>
      </c>
      <c r="U34" s="702">
        <f t="shared" si="13"/>
        <v>100</v>
      </c>
      <c r="V34" s="701" t="s">
        <v>14</v>
      </c>
      <c r="W34" s="702">
        <f t="shared" si="14"/>
        <v>100</v>
      </c>
      <c r="X34" s="703"/>
      <c r="Y34" s="376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3" t="s">
        <v>1696</v>
      </c>
      <c r="Q35" s="1351" t="str">
        <f t="shared" si="11"/>
        <v>市政基础设施</v>
      </c>
      <c r="R35" s="705" t="s">
        <v>14</v>
      </c>
      <c r="S35" s="706">
        <f t="shared" si="12"/>
        <v>100</v>
      </c>
      <c r="T35" s="705" t="s">
        <v>14</v>
      </c>
      <c r="U35" s="706">
        <f t="shared" si="13"/>
        <v>100</v>
      </c>
      <c r="V35" s="705" t="s">
        <v>14</v>
      </c>
      <c r="W35" s="706">
        <f t="shared" si="14"/>
        <v>100</v>
      </c>
      <c r="X35" s="1354"/>
      <c r="Y35" s="376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3"/>
      <c r="Q36" s="1351" t="str">
        <f t="shared" si="11"/>
        <v>内部装修</v>
      </c>
      <c r="R36" s="705" t="s">
        <v>14</v>
      </c>
      <c r="S36" s="706">
        <f t="shared" si="12"/>
        <v>100</v>
      </c>
      <c r="T36" s="705" t="s">
        <v>14</v>
      </c>
      <c r="U36" s="706">
        <f t="shared" si="13"/>
        <v>100</v>
      </c>
      <c r="V36" s="705" t="s">
        <v>14</v>
      </c>
      <c r="W36" s="706">
        <f t="shared" si="14"/>
        <v>100</v>
      </c>
      <c r="X36" s="1354"/>
      <c r="Y36" s="376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3"/>
      <c r="Q37" s="1351" t="str">
        <f t="shared" si="11"/>
        <v>内部装修状况</v>
      </c>
      <c r="R37" s="705" t="s">
        <v>14</v>
      </c>
      <c r="S37" s="706">
        <f t="shared" si="12"/>
        <v>100</v>
      </c>
      <c r="T37" s="705" t="s">
        <v>14</v>
      </c>
      <c r="U37" s="706">
        <f t="shared" si="13"/>
        <v>100</v>
      </c>
      <c r="V37" s="705" t="s">
        <v>14</v>
      </c>
      <c r="W37" s="706">
        <f t="shared" si="14"/>
        <v>100</v>
      </c>
      <c r="X37" s="1354"/>
      <c r="Y37" s="376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3"/>
      <c r="Q38" s="707">
        <f t="shared" si="11"/>
        <v>111</v>
      </c>
      <c r="R38" s="708" t="s">
        <v>14</v>
      </c>
      <c r="S38" s="709">
        <f t="shared" si="12"/>
        <v>100</v>
      </c>
      <c r="T38" s="708" t="s">
        <v>14</v>
      </c>
      <c r="U38" s="709">
        <f t="shared" si="13"/>
        <v>100</v>
      </c>
      <c r="V38" s="708" t="s">
        <v>14</v>
      </c>
      <c r="W38" s="709">
        <f t="shared" si="14"/>
        <v>100</v>
      </c>
      <c r="X38" s="710"/>
      <c r="Y38" s="376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3"/>
      <c r="Q39" s="1351">
        <f t="shared" si="11"/>
        <v>111</v>
      </c>
      <c r="R39" s="705" t="s">
        <v>14</v>
      </c>
      <c r="S39" s="706">
        <f t="shared" si="12"/>
        <v>100</v>
      </c>
      <c r="T39" s="705" t="s">
        <v>14</v>
      </c>
      <c r="U39" s="706">
        <f t="shared" si="13"/>
        <v>100</v>
      </c>
      <c r="V39" s="705" t="s">
        <v>14</v>
      </c>
      <c r="W39" s="706">
        <f t="shared" si="14"/>
        <v>100</v>
      </c>
      <c r="X39" s="1354"/>
      <c r="Y39" s="376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4"/>
      <c r="Q40" s="1351">
        <f t="shared" si="11"/>
        <v>111</v>
      </c>
      <c r="R40" s="705" t="s">
        <v>14</v>
      </c>
      <c r="S40" s="706">
        <f t="shared" si="12"/>
        <v>100</v>
      </c>
      <c r="T40" s="705" t="s">
        <v>14</v>
      </c>
      <c r="U40" s="706">
        <f t="shared" si="13"/>
        <v>100</v>
      </c>
      <c r="V40" s="705" t="s">
        <v>14</v>
      </c>
      <c r="W40" s="706">
        <f t="shared" si="14"/>
        <v>100</v>
      </c>
      <c r="X40" s="1354"/>
      <c r="Y40" s="376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65" t="str">
        <f>A41</f>
        <v>成交单价（元/平方米）</v>
      </c>
      <c r="Q41" s="3765"/>
      <c r="R41" s="3766">
        <f>E41</f>
        <v>0</v>
      </c>
      <c r="S41" s="3766"/>
      <c r="T41" s="3766">
        <f>G41</f>
        <v>0</v>
      </c>
      <c r="U41" s="3766"/>
      <c r="V41" s="3766">
        <f>I41</f>
        <v>0</v>
      </c>
      <c r="W41" s="3766"/>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06" t="str">
        <f>A43</f>
        <v>估价对象XX用房的比较价值（楼面单价，元/平方米）</v>
      </c>
      <c r="Q43" s="3807"/>
      <c r="R43" s="3808" t="e">
        <f>IF(F1="售价",ROUND(IF(D42="简单平均",AVERAGE(R42:V42),R42*F42+T42*H42+V42*J42),0),ROUND(IF(D42="简单平均",AVERAGE(R42:V42),R42*F42+T42*H42+V42*J42),1))</f>
        <v>#DIV/0!</v>
      </c>
      <c r="S43" s="3808"/>
      <c r="T43" s="3808"/>
      <c r="U43" s="3808"/>
      <c r="V43" s="3808"/>
      <c r="W43" s="3808"/>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40" t="s">
        <v>1770</v>
      </c>
      <c r="D4" s="3741"/>
      <c r="E4" s="3742" t="s">
        <v>1771</v>
      </c>
      <c r="F4" s="3743"/>
      <c r="G4" s="3740" t="s">
        <v>1772</v>
      </c>
      <c r="H4" s="3741"/>
      <c r="I4" s="3740" t="s">
        <v>1773</v>
      </c>
      <c r="J4" s="3741"/>
      <c r="K4" s="559" t="s">
        <v>1774</v>
      </c>
      <c r="L4" s="2711"/>
      <c r="M4" s="2712"/>
      <c r="N4" s="2712"/>
      <c r="O4" s="2712"/>
      <c r="P4" s="3802" t="s">
        <v>1775</v>
      </c>
      <c r="Q4" s="3803"/>
      <c r="R4" s="3800" t="s">
        <v>1771</v>
      </c>
      <c r="S4" s="3801"/>
      <c r="T4" s="3800" t="s">
        <v>1772</v>
      </c>
      <c r="U4" s="3801"/>
      <c r="V4" s="3753" t="s">
        <v>1773</v>
      </c>
      <c r="W4" s="3753"/>
      <c r="X4" s="1354"/>
      <c r="Y4" s="3800" t="s">
        <v>1775</v>
      </c>
      <c r="Z4" s="3801"/>
      <c r="AA4" s="3799" t="s">
        <v>1771</v>
      </c>
      <c r="AB4" s="3720" t="s">
        <v>1772</v>
      </c>
      <c r="AC4" s="3799" t="s">
        <v>1773</v>
      </c>
    </row>
    <row r="5" spans="1:29" ht="15">
      <c r="A5" s="358"/>
      <c r="B5" s="359"/>
      <c r="C5" s="3730" t="s">
        <v>1673</v>
      </c>
      <c r="D5" s="3731"/>
      <c r="E5" s="3728" t="s">
        <v>1674</v>
      </c>
      <c r="F5" s="3729"/>
      <c r="G5" s="3730" t="s">
        <v>1675</v>
      </c>
      <c r="H5" s="3731"/>
      <c r="I5" s="3730" t="s">
        <v>1676</v>
      </c>
      <c r="J5" s="3731"/>
      <c r="K5" s="559"/>
      <c r="L5" s="2711"/>
      <c r="M5" s="2712"/>
      <c r="N5" s="2712"/>
      <c r="O5" s="2712"/>
      <c r="P5" s="3804"/>
      <c r="Q5" s="3747"/>
      <c r="R5" s="3726"/>
      <c r="S5" s="3727"/>
      <c r="T5" s="3726"/>
      <c r="U5" s="3727"/>
      <c r="V5" s="3753"/>
      <c r="W5" s="3753"/>
      <c r="X5" s="1354"/>
      <c r="Y5" s="3726"/>
      <c r="Z5" s="3727"/>
      <c r="AA5" s="3720"/>
      <c r="AB5" s="3720"/>
      <c r="AC5" s="3720"/>
    </row>
    <row r="6" spans="1:29" ht="15.75" thickBot="1">
      <c r="A6" s="360"/>
      <c r="B6" s="361"/>
      <c r="C6" s="3732" t="s">
        <v>1677</v>
      </c>
      <c r="D6" s="3733"/>
      <c r="E6" s="3734" t="s">
        <v>1677</v>
      </c>
      <c r="F6" s="3735"/>
      <c r="G6" s="3732" t="s">
        <v>1677</v>
      </c>
      <c r="H6" s="3733"/>
      <c r="I6" s="3732" t="s">
        <v>1677</v>
      </c>
      <c r="J6" s="3733"/>
      <c r="K6" s="559" t="s">
        <v>1678</v>
      </c>
      <c r="L6" s="2711"/>
      <c r="M6" s="2712"/>
      <c r="N6" s="2712"/>
      <c r="O6" s="2712"/>
      <c r="P6" s="3805"/>
      <c r="Q6" s="3749"/>
      <c r="R6" s="3726"/>
      <c r="S6" s="3727"/>
      <c r="T6" s="3750"/>
      <c r="U6" s="3751"/>
      <c r="V6" s="3753"/>
      <c r="W6" s="3753"/>
      <c r="X6" s="1354"/>
      <c r="Y6" s="3750"/>
      <c r="Z6" s="3751"/>
      <c r="AA6" s="3721"/>
      <c r="AB6" s="3721"/>
      <c r="AC6" s="3721"/>
    </row>
    <row r="7" spans="1:29" s="108" customFormat="1" ht="15.75" thickBot="1">
      <c r="A7" s="362" t="s">
        <v>1679</v>
      </c>
      <c r="B7" s="363"/>
      <c r="C7" s="364">
        <f>'数据-取费表'!B2</f>
        <v>45608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2" t="s">
        <v>1680</v>
      </c>
      <c r="Q7" s="3755"/>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65" t="s">
        <v>1686</v>
      </c>
      <c r="Q9" s="1342" t="str">
        <f t="shared" ref="Q9:Q14" si="6">B9</f>
        <v>用途</v>
      </c>
      <c r="R9" s="701" t="s">
        <v>14</v>
      </c>
      <c r="S9" s="702">
        <f t="shared" si="0"/>
        <v>100</v>
      </c>
      <c r="T9" s="701" t="s">
        <v>14</v>
      </c>
      <c r="U9" s="702">
        <f t="shared" si="1"/>
        <v>100</v>
      </c>
      <c r="V9" s="701" t="s">
        <v>14</v>
      </c>
      <c r="W9" s="702">
        <f t="shared" si="2"/>
        <v>100</v>
      </c>
      <c r="X9" s="703"/>
      <c r="Y9" s="3695"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65"/>
      <c r="Q10" s="1342" t="str">
        <f t="shared" si="6"/>
        <v>土地使用年限（年）</v>
      </c>
      <c r="R10" s="701" t="s">
        <v>14</v>
      </c>
      <c r="S10" s="702">
        <f t="shared" si="0"/>
        <v>100</v>
      </c>
      <c r="T10" s="701" t="s">
        <v>14</v>
      </c>
      <c r="U10" s="702">
        <f t="shared" si="1"/>
        <v>100</v>
      </c>
      <c r="V10" s="701" t="s">
        <v>14</v>
      </c>
      <c r="W10" s="702">
        <f t="shared" si="2"/>
        <v>100</v>
      </c>
      <c r="X10" s="703"/>
      <c r="Y10" s="369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65"/>
      <c r="Q11" s="1342">
        <f t="shared" si="6"/>
        <v>111</v>
      </c>
      <c r="R11" s="701" t="s">
        <v>14</v>
      </c>
      <c r="S11" s="702">
        <f t="shared" si="0"/>
        <v>100</v>
      </c>
      <c r="T11" s="701" t="s">
        <v>14</v>
      </c>
      <c r="U11" s="702">
        <f t="shared" si="1"/>
        <v>100</v>
      </c>
      <c r="V11" s="701" t="s">
        <v>14</v>
      </c>
      <c r="W11" s="702">
        <f t="shared" si="2"/>
        <v>100</v>
      </c>
      <c r="X11" s="703"/>
      <c r="Y11" s="369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65"/>
      <c r="Q12" s="1342">
        <f t="shared" si="6"/>
        <v>111</v>
      </c>
      <c r="R12" s="701" t="s">
        <v>14</v>
      </c>
      <c r="S12" s="702">
        <f t="shared" si="0"/>
        <v>100</v>
      </c>
      <c r="T12" s="701" t="s">
        <v>14</v>
      </c>
      <c r="U12" s="702">
        <f t="shared" si="1"/>
        <v>100</v>
      </c>
      <c r="V12" s="701" t="s">
        <v>14</v>
      </c>
      <c r="W12" s="702">
        <f t="shared" si="2"/>
        <v>100</v>
      </c>
      <c r="X12" s="703"/>
      <c r="Y12" s="369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65"/>
      <c r="Q13" s="1342">
        <f t="shared" si="6"/>
        <v>111</v>
      </c>
      <c r="R13" s="701" t="s">
        <v>14</v>
      </c>
      <c r="S13" s="702">
        <f t="shared" si="0"/>
        <v>100</v>
      </c>
      <c r="T13" s="701" t="s">
        <v>14</v>
      </c>
      <c r="U13" s="702">
        <f t="shared" si="1"/>
        <v>100</v>
      </c>
      <c r="V13" s="701" t="s">
        <v>14</v>
      </c>
      <c r="W13" s="702">
        <f t="shared" si="2"/>
        <v>100</v>
      </c>
      <c r="X13" s="703"/>
      <c r="Y13" s="3695"/>
      <c r="Z13" s="52">
        <f t="shared" si="7"/>
        <v>111</v>
      </c>
      <c r="AA13" s="704">
        <f t="shared" si="3"/>
        <v>1</v>
      </c>
      <c r="AB13" s="704">
        <f t="shared" si="4"/>
        <v>1</v>
      </c>
      <c r="AC13" s="704">
        <f t="shared" si="5"/>
        <v>1</v>
      </c>
    </row>
    <row r="14" spans="1:29" ht="15">
      <c r="A14" s="355" t="s">
        <v>1690</v>
      </c>
      <c r="B14" s="577" t="s">
        <v>1833</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58" t="s">
        <v>1691</v>
      </c>
      <c r="Q14" s="1351" t="str">
        <f t="shared" si="6"/>
        <v>交通便捷度</v>
      </c>
      <c r="R14" s="705" t="s">
        <v>14</v>
      </c>
      <c r="S14" s="706">
        <f t="shared" si="0"/>
        <v>100</v>
      </c>
      <c r="T14" s="705" t="s">
        <v>14</v>
      </c>
      <c r="U14" s="706">
        <f t="shared" si="1"/>
        <v>100</v>
      </c>
      <c r="V14" s="705" t="s">
        <v>14</v>
      </c>
      <c r="W14" s="706">
        <f t="shared" si="2"/>
        <v>100</v>
      </c>
      <c r="X14" s="1354"/>
      <c r="Y14" s="375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59"/>
      <c r="Q15" s="1351"/>
      <c r="R15" s="705"/>
      <c r="S15" s="706"/>
      <c r="T15" s="705"/>
      <c r="U15" s="706"/>
      <c r="V15" s="705"/>
      <c r="W15" s="706"/>
      <c r="X15" s="1354"/>
      <c r="Y15" s="3759"/>
      <c r="Z15" s="1355"/>
      <c r="AA15" s="1352">
        <v>1</v>
      </c>
      <c r="AB15" s="1352">
        <v>1</v>
      </c>
      <c r="AC15" s="1352">
        <v>1</v>
      </c>
    </row>
    <row r="16" spans="1:29" ht="15">
      <c r="A16" s="358"/>
      <c r="B16" s="579" t="s">
        <v>1812</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59"/>
      <c r="Q16" s="1351" t="str">
        <f>B16</f>
        <v>公共配套设施</v>
      </c>
      <c r="R16" s="705" t="s">
        <v>14</v>
      </c>
      <c r="S16" s="706">
        <f>F16</f>
        <v>100</v>
      </c>
      <c r="T16" s="705" t="s">
        <v>14</v>
      </c>
      <c r="U16" s="706">
        <f>H16</f>
        <v>100</v>
      </c>
      <c r="V16" s="705" t="s">
        <v>14</v>
      </c>
      <c r="W16" s="706">
        <f>J16</f>
        <v>100</v>
      </c>
      <c r="X16" s="1354"/>
      <c r="Y16" s="375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759"/>
      <c r="Q17" s="1351"/>
      <c r="R17" s="705"/>
      <c r="S17" s="706"/>
      <c r="T17" s="705"/>
      <c r="U17" s="706"/>
      <c r="V17" s="705"/>
      <c r="W17" s="706"/>
      <c r="X17" s="1354"/>
      <c r="Y17" s="3759"/>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59"/>
      <c r="Q18" s="1351" t="str">
        <f>B18</f>
        <v>基础设施水平</v>
      </c>
      <c r="R18" s="705" t="s">
        <v>14</v>
      </c>
      <c r="S18" s="706">
        <f>F18</f>
        <v>100</v>
      </c>
      <c r="T18" s="705" t="s">
        <v>14</v>
      </c>
      <c r="U18" s="706">
        <f>H18</f>
        <v>100</v>
      </c>
      <c r="V18" s="705" t="s">
        <v>14</v>
      </c>
      <c r="W18" s="706">
        <f>J18</f>
        <v>100</v>
      </c>
      <c r="X18" s="1354"/>
      <c r="Y18" s="375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8"/>
      <c r="M19" s="2712"/>
      <c r="N19" s="2712"/>
      <c r="O19" s="2712"/>
      <c r="P19" s="3759"/>
      <c r="Q19" s="1351"/>
      <c r="R19" s="705"/>
      <c r="S19" s="706"/>
      <c r="T19" s="705"/>
      <c r="U19" s="706"/>
      <c r="V19" s="705"/>
      <c r="W19" s="706"/>
      <c r="X19" s="1354"/>
      <c r="Y19" s="3759"/>
      <c r="Z19" s="1355"/>
      <c r="AA19" s="1352">
        <v>1</v>
      </c>
      <c r="AB19" s="1352">
        <v>1</v>
      </c>
      <c r="AC19" s="1352">
        <v>1</v>
      </c>
    </row>
    <row r="20" spans="1:29" ht="15">
      <c r="A20" s="358"/>
      <c r="B20" s="579" t="s">
        <v>1834</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59"/>
      <c r="Q20" s="1351" t="str">
        <f>B20</f>
        <v>自然及人文环境</v>
      </c>
      <c r="R20" s="705" t="s">
        <v>14</v>
      </c>
      <c r="S20" s="706">
        <f>F20</f>
        <v>100</v>
      </c>
      <c r="T20" s="705" t="s">
        <v>14</v>
      </c>
      <c r="U20" s="706">
        <f>H20</f>
        <v>100</v>
      </c>
      <c r="V20" s="705" t="s">
        <v>14</v>
      </c>
      <c r="W20" s="706">
        <f>J20</f>
        <v>100</v>
      </c>
      <c r="X20" s="1354"/>
      <c r="Y20" s="375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59"/>
      <c r="Q21" s="1351"/>
      <c r="R21" s="705"/>
      <c r="S21" s="706"/>
      <c r="T21" s="705"/>
      <c r="U21" s="706"/>
      <c r="V21" s="705"/>
      <c r="W21" s="706"/>
      <c r="X21" s="1354"/>
      <c r="Y21" s="375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59"/>
      <c r="Q22" s="1351" t="str">
        <f>B22</f>
        <v>楼层</v>
      </c>
      <c r="R22" s="705" t="s">
        <v>14</v>
      </c>
      <c r="S22" s="706">
        <f>F22</f>
        <v>100</v>
      </c>
      <c r="T22" s="705" t="s">
        <v>14</v>
      </c>
      <c r="U22" s="706">
        <f>H22</f>
        <v>100</v>
      </c>
      <c r="V22" s="705" t="s">
        <v>14</v>
      </c>
      <c r="W22" s="706">
        <f>J22</f>
        <v>100</v>
      </c>
      <c r="X22" s="1354"/>
      <c r="Y22" s="375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59"/>
      <c r="Q23" s="1351">
        <f>B23</f>
        <v>111</v>
      </c>
      <c r="R23" s="705" t="s">
        <v>14</v>
      </c>
      <c r="S23" s="706">
        <f>F23</f>
        <v>100</v>
      </c>
      <c r="T23" s="705" t="s">
        <v>14</v>
      </c>
      <c r="U23" s="706">
        <f>H23</f>
        <v>100</v>
      </c>
      <c r="V23" s="705" t="s">
        <v>14</v>
      </c>
      <c r="W23" s="706">
        <f>J23</f>
        <v>100</v>
      </c>
      <c r="X23" s="1354"/>
      <c r="Y23" s="375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59"/>
      <c r="Q24" s="1351">
        <f t="shared" ref="Q24:Q36" si="11">B24</f>
        <v>111</v>
      </c>
      <c r="R24" s="705" t="s">
        <v>14</v>
      </c>
      <c r="S24" s="706">
        <f>F24</f>
        <v>100</v>
      </c>
      <c r="T24" s="705" t="s">
        <v>14</v>
      </c>
      <c r="U24" s="706">
        <f>H24</f>
        <v>100</v>
      </c>
      <c r="V24" s="705" t="s">
        <v>14</v>
      </c>
      <c r="W24" s="706">
        <f>J24</f>
        <v>100</v>
      </c>
      <c r="X24" s="1354"/>
      <c r="Y24" s="375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59"/>
      <c r="Q25" s="1342">
        <f t="shared" si="11"/>
        <v>111</v>
      </c>
      <c r="R25" s="701" t="s">
        <v>14</v>
      </c>
      <c r="S25" s="702">
        <f>F25</f>
        <v>100</v>
      </c>
      <c r="T25" s="701" t="s">
        <v>14</v>
      </c>
      <c r="U25" s="702">
        <f>H25</f>
        <v>100</v>
      </c>
      <c r="V25" s="701" t="s">
        <v>14</v>
      </c>
      <c r="W25" s="702">
        <f>J25</f>
        <v>100</v>
      </c>
      <c r="X25" s="703"/>
      <c r="Y25" s="375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0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6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63"/>
      <c r="Q27" s="707" t="str">
        <f t="shared" si="11"/>
        <v>项目停车位配比</v>
      </c>
      <c r="R27" s="708" t="s">
        <v>14</v>
      </c>
      <c r="S27" s="709">
        <f t="shared" si="12"/>
        <v>100</v>
      </c>
      <c r="T27" s="708" t="s">
        <v>14</v>
      </c>
      <c r="U27" s="709">
        <f t="shared" si="13"/>
        <v>100</v>
      </c>
      <c r="V27" s="708" t="s">
        <v>14</v>
      </c>
      <c r="W27" s="709">
        <f t="shared" si="14"/>
        <v>100</v>
      </c>
      <c r="X27" s="710"/>
      <c r="Y27" s="376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63"/>
      <c r="Q28" s="1351" t="str">
        <f t="shared" si="11"/>
        <v>公共部分装修</v>
      </c>
      <c r="R28" s="705" t="s">
        <v>14</v>
      </c>
      <c r="S28" s="706">
        <f t="shared" si="12"/>
        <v>100</v>
      </c>
      <c r="T28" s="705" t="s">
        <v>14</v>
      </c>
      <c r="U28" s="706">
        <f t="shared" si="13"/>
        <v>100</v>
      </c>
      <c r="V28" s="705" t="s">
        <v>14</v>
      </c>
      <c r="W28" s="706">
        <f t="shared" si="14"/>
        <v>100</v>
      </c>
      <c r="X28" s="1354"/>
      <c r="Y28" s="376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63"/>
      <c r="Q29" s="1351" t="str">
        <f t="shared" si="11"/>
        <v>成新率</v>
      </c>
      <c r="R29" s="705" t="s">
        <v>14</v>
      </c>
      <c r="S29" s="706" t="e">
        <f t="shared" si="12"/>
        <v>#N/A</v>
      </c>
      <c r="T29" s="705" t="s">
        <v>14</v>
      </c>
      <c r="U29" s="706" t="e">
        <f t="shared" si="13"/>
        <v>#N/A</v>
      </c>
      <c r="V29" s="705" t="s">
        <v>14</v>
      </c>
      <c r="W29" s="706" t="e">
        <f t="shared" si="14"/>
        <v>#N/A</v>
      </c>
      <c r="X29" s="1354"/>
      <c r="Y29" s="376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63"/>
      <c r="Q30" s="1351" t="str">
        <f t="shared" si="11"/>
        <v>物业等级</v>
      </c>
      <c r="R30" s="705" t="s">
        <v>14</v>
      </c>
      <c r="S30" s="706">
        <f t="shared" si="12"/>
        <v>100</v>
      </c>
      <c r="T30" s="705" t="s">
        <v>14</v>
      </c>
      <c r="U30" s="706">
        <f t="shared" si="13"/>
        <v>100</v>
      </c>
      <c r="V30" s="705" t="s">
        <v>14</v>
      </c>
      <c r="W30" s="706">
        <f t="shared" si="14"/>
        <v>100</v>
      </c>
      <c r="X30" s="1354"/>
      <c r="Y30" s="376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63"/>
      <c r="Q31" s="1342" t="str">
        <f t="shared" si="11"/>
        <v>停车位面积</v>
      </c>
      <c r="R31" s="701" t="s">
        <v>14</v>
      </c>
      <c r="S31" s="702" t="e">
        <f t="shared" si="12"/>
        <v>#N/A</v>
      </c>
      <c r="T31" s="701" t="s">
        <v>14</v>
      </c>
      <c r="U31" s="702" t="e">
        <f t="shared" si="13"/>
        <v>#N/A</v>
      </c>
      <c r="V31" s="701" t="s">
        <v>14</v>
      </c>
      <c r="W31" s="702" t="e">
        <f t="shared" si="14"/>
        <v>#N/A</v>
      </c>
      <c r="X31" s="703"/>
      <c r="Y31" s="37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63" t="s">
        <v>1696</v>
      </c>
      <c r="Q32" s="1351" t="str">
        <f t="shared" si="11"/>
        <v>车位类型</v>
      </c>
      <c r="R32" s="705" t="s">
        <v>14</v>
      </c>
      <c r="S32" s="706">
        <f t="shared" si="12"/>
        <v>100</v>
      </c>
      <c r="T32" s="705" t="s">
        <v>14</v>
      </c>
      <c r="U32" s="706">
        <f t="shared" si="13"/>
        <v>100</v>
      </c>
      <c r="V32" s="705" t="s">
        <v>14</v>
      </c>
      <c r="W32" s="706">
        <f t="shared" si="14"/>
        <v>100</v>
      </c>
      <c r="X32" s="1354"/>
      <c r="Y32" s="376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63"/>
      <c r="Q33" s="1351" t="str">
        <f t="shared" si="11"/>
        <v>是否直接入户</v>
      </c>
      <c r="R33" s="705" t="s">
        <v>14</v>
      </c>
      <c r="S33" s="706">
        <f t="shared" si="12"/>
        <v>100</v>
      </c>
      <c r="T33" s="705" t="s">
        <v>14</v>
      </c>
      <c r="U33" s="706">
        <f t="shared" si="13"/>
        <v>100</v>
      </c>
      <c r="V33" s="705" t="s">
        <v>14</v>
      </c>
      <c r="W33" s="706">
        <f t="shared" si="14"/>
        <v>100</v>
      </c>
      <c r="X33" s="1354"/>
      <c r="Y33" s="376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63"/>
      <c r="Q34" s="1351">
        <f t="shared" si="11"/>
        <v>111</v>
      </c>
      <c r="R34" s="705" t="s">
        <v>14</v>
      </c>
      <c r="S34" s="706">
        <f t="shared" si="12"/>
        <v>100</v>
      </c>
      <c r="T34" s="705" t="s">
        <v>14</v>
      </c>
      <c r="U34" s="706">
        <f t="shared" si="13"/>
        <v>100</v>
      </c>
      <c r="V34" s="705" t="s">
        <v>14</v>
      </c>
      <c r="W34" s="706">
        <f t="shared" si="14"/>
        <v>100</v>
      </c>
      <c r="X34" s="1354"/>
      <c r="Y34" s="376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63"/>
      <c r="Q35" s="707">
        <f t="shared" si="11"/>
        <v>111</v>
      </c>
      <c r="R35" s="708" t="s">
        <v>14</v>
      </c>
      <c r="S35" s="709">
        <f t="shared" si="12"/>
        <v>100</v>
      </c>
      <c r="T35" s="708" t="s">
        <v>14</v>
      </c>
      <c r="U35" s="709">
        <f t="shared" si="13"/>
        <v>100</v>
      </c>
      <c r="V35" s="708" t="s">
        <v>14</v>
      </c>
      <c r="W35" s="709">
        <f t="shared" si="14"/>
        <v>100</v>
      </c>
      <c r="X35" s="710"/>
      <c r="Y35" s="376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63"/>
      <c r="Q36" s="1351">
        <f t="shared" si="11"/>
        <v>111</v>
      </c>
      <c r="R36" s="705" t="s">
        <v>14</v>
      </c>
      <c r="S36" s="706">
        <f t="shared" si="12"/>
        <v>100</v>
      </c>
      <c r="T36" s="705" t="s">
        <v>14</v>
      </c>
      <c r="U36" s="706">
        <f t="shared" si="13"/>
        <v>100</v>
      </c>
      <c r="V36" s="705" t="s">
        <v>14</v>
      </c>
      <c r="W36" s="706">
        <f t="shared" si="14"/>
        <v>100</v>
      </c>
      <c r="X36" s="1354"/>
      <c r="Y36" s="3763"/>
      <c r="Z36" s="1355">
        <f t="shared" si="15"/>
        <v>111</v>
      </c>
      <c r="AA36" s="1352">
        <f t="shared" si="3"/>
        <v>1</v>
      </c>
      <c r="AB36" s="1352">
        <f t="shared" si="4"/>
        <v>1</v>
      </c>
      <c r="AC36" s="1352">
        <f t="shared" si="5"/>
        <v>1</v>
      </c>
    </row>
    <row r="37" spans="1:29" ht="15">
      <c r="A37" s="430" t="s">
        <v>1844</v>
      </c>
      <c r="B37" s="1972" t="s">
        <v>3351</v>
      </c>
      <c r="C37" s="1154" t="s">
        <v>0</v>
      </c>
      <c r="D37" s="1155"/>
      <c r="E37" s="1156"/>
      <c r="F37" s="1157"/>
      <c r="G37" s="1158"/>
      <c r="H37" s="1159"/>
      <c r="I37" s="1156"/>
      <c r="J37" s="1159"/>
      <c r="K37" s="568"/>
      <c r="L37" s="2720"/>
      <c r="M37" s="2721"/>
      <c r="N37" s="2712"/>
      <c r="O37" s="2721"/>
      <c r="P37" s="3765" t="str">
        <f>A37</f>
        <v>成交单价</v>
      </c>
      <c r="Q37" s="3765"/>
      <c r="R37" s="3766">
        <f>E37</f>
        <v>0</v>
      </c>
      <c r="S37" s="3766"/>
      <c r="T37" s="3766">
        <f>G37</f>
        <v>0</v>
      </c>
      <c r="U37" s="3766"/>
      <c r="V37" s="3766">
        <f>I37</f>
        <v>0</v>
      </c>
      <c r="W37" s="3766"/>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0"/>
      <c r="M38" s="2721"/>
      <c r="N38" s="2721"/>
      <c r="O38" s="2721"/>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806" t="str">
        <f>A39</f>
        <v>估价对象XX用房的比较价值（楼面单价，元/平方米）</v>
      </c>
      <c r="Q39" s="3807"/>
      <c r="R39" s="3810" t="e">
        <f>IF(F1="售价",ROUND(IF(D38="简单平均",AVERAGE(R38:W38),R38*F38+T38*H38+V38*J38),0),ROUND(IF(D38="简单平均",AVERAGE(R38:V38),R38*F38+T38*H38+V38*J38),1))</f>
        <v>#DIV/0!</v>
      </c>
      <c r="S39" s="3810"/>
      <c r="T39" s="3810"/>
      <c r="U39" s="3810"/>
      <c r="V39" s="3810"/>
      <c r="W39" s="381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40" t="s">
        <v>1770</v>
      </c>
      <c r="D4" s="3741"/>
      <c r="E4" s="3742" t="s">
        <v>1771</v>
      </c>
      <c r="F4" s="3743"/>
      <c r="G4" s="3740" t="s">
        <v>1772</v>
      </c>
      <c r="H4" s="3741"/>
      <c r="I4" s="3740" t="s">
        <v>1773</v>
      </c>
      <c r="J4" s="3741"/>
      <c r="K4" s="559" t="s">
        <v>1774</v>
      </c>
      <c r="L4" s="2711"/>
      <c r="M4" s="2712"/>
      <c r="N4" s="2712"/>
      <c r="O4" s="2712"/>
      <c r="P4" s="3802" t="s">
        <v>1775</v>
      </c>
      <c r="Q4" s="3803"/>
      <c r="R4" s="3800" t="s">
        <v>1771</v>
      </c>
      <c r="S4" s="3801"/>
      <c r="T4" s="3800" t="s">
        <v>1772</v>
      </c>
      <c r="U4" s="3801"/>
      <c r="V4" s="3753" t="s">
        <v>1773</v>
      </c>
      <c r="W4" s="3753"/>
      <c r="X4" s="1354"/>
      <c r="Y4" s="3800" t="s">
        <v>1775</v>
      </c>
      <c r="Z4" s="3801"/>
      <c r="AA4" s="3799" t="s">
        <v>1771</v>
      </c>
      <c r="AB4" s="3720" t="s">
        <v>1772</v>
      </c>
      <c r="AC4" s="3799" t="s">
        <v>1773</v>
      </c>
    </row>
    <row r="5" spans="1:29" ht="15">
      <c r="A5" s="358"/>
      <c r="B5" s="359"/>
      <c r="C5" s="3730" t="s">
        <v>1673</v>
      </c>
      <c r="D5" s="3731"/>
      <c r="E5" s="3728" t="s">
        <v>1674</v>
      </c>
      <c r="F5" s="3729"/>
      <c r="G5" s="3730" t="s">
        <v>1675</v>
      </c>
      <c r="H5" s="3731"/>
      <c r="I5" s="3730" t="s">
        <v>1676</v>
      </c>
      <c r="J5" s="3731"/>
      <c r="K5" s="559"/>
      <c r="L5" s="2711"/>
      <c r="M5" s="2712"/>
      <c r="N5" s="2712"/>
      <c r="O5" s="2712"/>
      <c r="P5" s="3804"/>
      <c r="Q5" s="3747"/>
      <c r="R5" s="3726"/>
      <c r="S5" s="3727"/>
      <c r="T5" s="3726"/>
      <c r="U5" s="3727"/>
      <c r="V5" s="3753"/>
      <c r="W5" s="3753"/>
      <c r="X5" s="1354"/>
      <c r="Y5" s="3726"/>
      <c r="Z5" s="3727"/>
      <c r="AA5" s="3720"/>
      <c r="AB5" s="3720"/>
      <c r="AC5" s="3720"/>
    </row>
    <row r="6" spans="1:29" ht="15.75" thickBot="1">
      <c r="A6" s="360"/>
      <c r="B6" s="361"/>
      <c r="C6" s="3732" t="s">
        <v>1677</v>
      </c>
      <c r="D6" s="3733"/>
      <c r="E6" s="3734" t="s">
        <v>1677</v>
      </c>
      <c r="F6" s="3735"/>
      <c r="G6" s="3732" t="s">
        <v>1677</v>
      </c>
      <c r="H6" s="3733"/>
      <c r="I6" s="3732" t="s">
        <v>1677</v>
      </c>
      <c r="J6" s="3733"/>
      <c r="K6" s="559" t="s">
        <v>1678</v>
      </c>
      <c r="L6" s="2711"/>
      <c r="M6" s="2712"/>
      <c r="N6" s="2712"/>
      <c r="O6" s="2712"/>
      <c r="P6" s="3805"/>
      <c r="Q6" s="3749"/>
      <c r="R6" s="3726"/>
      <c r="S6" s="3727"/>
      <c r="T6" s="3750"/>
      <c r="U6" s="3751"/>
      <c r="V6" s="3753"/>
      <c r="W6" s="3753"/>
      <c r="X6" s="1354"/>
      <c r="Y6" s="3750"/>
      <c r="Z6" s="3751"/>
      <c r="AA6" s="3721"/>
      <c r="AB6" s="3721"/>
      <c r="AC6" s="3721"/>
    </row>
    <row r="7" spans="1:29" s="108" customFormat="1" ht="15.75" thickBot="1">
      <c r="A7" s="362" t="s">
        <v>1679</v>
      </c>
      <c r="B7" s="363"/>
      <c r="C7" s="364">
        <f>'数据-取费表'!B2</f>
        <v>45608</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722" t="s">
        <v>1680</v>
      </c>
      <c r="Q7" s="3755"/>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65" t="s">
        <v>1686</v>
      </c>
      <c r="Q9" s="1342" t="str">
        <f t="shared" ref="Q9:Q14" si="6">B9</f>
        <v>用途</v>
      </c>
      <c r="R9" s="701" t="s">
        <v>14</v>
      </c>
      <c r="S9" s="702">
        <f t="shared" si="0"/>
        <v>100</v>
      </c>
      <c r="T9" s="701" t="s">
        <v>14</v>
      </c>
      <c r="U9" s="702">
        <f t="shared" si="1"/>
        <v>100</v>
      </c>
      <c r="V9" s="701" t="s">
        <v>14</v>
      </c>
      <c r="W9" s="702">
        <f t="shared" si="2"/>
        <v>100</v>
      </c>
      <c r="X9" s="703"/>
      <c r="Y9" s="3695"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65"/>
      <c r="Q10" s="1342" t="str">
        <f t="shared" si="6"/>
        <v>土地使用年限（年）</v>
      </c>
      <c r="R10" s="701" t="s">
        <v>14</v>
      </c>
      <c r="S10" s="702">
        <f t="shared" si="0"/>
        <v>100</v>
      </c>
      <c r="T10" s="701" t="s">
        <v>14</v>
      </c>
      <c r="U10" s="702">
        <f t="shared" si="1"/>
        <v>100</v>
      </c>
      <c r="V10" s="701" t="s">
        <v>14</v>
      </c>
      <c r="W10" s="702">
        <f t="shared" si="2"/>
        <v>100</v>
      </c>
      <c r="X10" s="703"/>
      <c r="Y10" s="369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65"/>
      <c r="Q11" s="1342">
        <f t="shared" si="6"/>
        <v>111</v>
      </c>
      <c r="R11" s="701" t="s">
        <v>14</v>
      </c>
      <c r="S11" s="702">
        <f t="shared" si="0"/>
        <v>100</v>
      </c>
      <c r="T11" s="701" t="s">
        <v>14</v>
      </c>
      <c r="U11" s="702">
        <f t="shared" si="1"/>
        <v>100</v>
      </c>
      <c r="V11" s="701" t="s">
        <v>14</v>
      </c>
      <c r="W11" s="702">
        <f t="shared" si="2"/>
        <v>100</v>
      </c>
      <c r="X11" s="703"/>
      <c r="Y11" s="369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65"/>
      <c r="Q12" s="1342">
        <f t="shared" si="6"/>
        <v>111</v>
      </c>
      <c r="R12" s="701" t="s">
        <v>14</v>
      </c>
      <c r="S12" s="702">
        <f t="shared" si="0"/>
        <v>100</v>
      </c>
      <c r="T12" s="701" t="s">
        <v>14</v>
      </c>
      <c r="U12" s="702">
        <f t="shared" si="1"/>
        <v>100</v>
      </c>
      <c r="V12" s="701" t="s">
        <v>14</v>
      </c>
      <c r="W12" s="702">
        <f t="shared" si="2"/>
        <v>100</v>
      </c>
      <c r="X12" s="703"/>
      <c r="Y12" s="369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765"/>
      <c r="Q13" s="1342">
        <f t="shared" si="6"/>
        <v>111</v>
      </c>
      <c r="R13" s="701" t="s">
        <v>14</v>
      </c>
      <c r="S13" s="702">
        <f t="shared" si="0"/>
        <v>100</v>
      </c>
      <c r="T13" s="701" t="s">
        <v>14</v>
      </c>
      <c r="U13" s="702">
        <f t="shared" si="1"/>
        <v>100</v>
      </c>
      <c r="V13" s="701" t="s">
        <v>14</v>
      </c>
      <c r="W13" s="702">
        <f t="shared" si="2"/>
        <v>100</v>
      </c>
      <c r="X13" s="703"/>
      <c r="Y13" s="3695"/>
      <c r="Z13" s="52">
        <f t="shared" si="7"/>
        <v>111</v>
      </c>
      <c r="AA13" s="704">
        <f t="shared" si="3"/>
        <v>1</v>
      </c>
      <c r="AB13" s="704">
        <f t="shared" si="4"/>
        <v>1</v>
      </c>
      <c r="AC13" s="704">
        <f t="shared" si="5"/>
        <v>1</v>
      </c>
    </row>
    <row r="14" spans="1:29" ht="15">
      <c r="A14" s="391" t="s">
        <v>1690</v>
      </c>
      <c r="B14" s="61" t="s">
        <v>1833</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58" t="s">
        <v>1691</v>
      </c>
      <c r="Q14" s="1351" t="str">
        <f t="shared" si="6"/>
        <v>交通便捷度</v>
      </c>
      <c r="R14" s="705" t="s">
        <v>14</v>
      </c>
      <c r="S14" s="706">
        <f t="shared" si="0"/>
        <v>100</v>
      </c>
      <c r="T14" s="705" t="s">
        <v>14</v>
      </c>
      <c r="U14" s="706">
        <f t="shared" si="1"/>
        <v>100</v>
      </c>
      <c r="V14" s="705" t="s">
        <v>14</v>
      </c>
      <c r="W14" s="706">
        <f t="shared" si="2"/>
        <v>100</v>
      </c>
      <c r="X14" s="1354"/>
      <c r="Y14" s="375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59"/>
      <c r="Q15" s="1351"/>
      <c r="R15" s="705"/>
      <c r="S15" s="706"/>
      <c r="T15" s="705"/>
      <c r="U15" s="706"/>
      <c r="V15" s="705"/>
      <c r="W15" s="706"/>
      <c r="X15" s="1354"/>
      <c r="Y15" s="3759"/>
      <c r="Z15" s="1355"/>
      <c r="AA15" s="1352">
        <v>1</v>
      </c>
      <c r="AB15" s="1352">
        <v>1</v>
      </c>
      <c r="AC15" s="1352">
        <v>1</v>
      </c>
    </row>
    <row r="16" spans="1:29" ht="15">
      <c r="A16" s="379"/>
      <c r="B16" s="402" t="s">
        <v>1812</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59"/>
      <c r="Q16" s="1351" t="str">
        <f>B16</f>
        <v>公共配套设施</v>
      </c>
      <c r="R16" s="705" t="s">
        <v>14</v>
      </c>
      <c r="S16" s="706">
        <f>F16</f>
        <v>100</v>
      </c>
      <c r="T16" s="705" t="s">
        <v>14</v>
      </c>
      <c r="U16" s="706">
        <f>H16</f>
        <v>100</v>
      </c>
      <c r="V16" s="705" t="s">
        <v>14</v>
      </c>
      <c r="W16" s="706">
        <f>J16</f>
        <v>100</v>
      </c>
      <c r="X16" s="1354"/>
      <c r="Y16" s="375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759"/>
      <c r="Q17" s="1351"/>
      <c r="R17" s="705"/>
      <c r="S17" s="706"/>
      <c r="T17" s="705"/>
      <c r="U17" s="706"/>
      <c r="V17" s="705"/>
      <c r="W17" s="706"/>
      <c r="X17" s="1354"/>
      <c r="Y17" s="3759"/>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59"/>
      <c r="Q18" s="1351" t="str">
        <f>B18</f>
        <v>基础设施水平</v>
      </c>
      <c r="R18" s="705" t="s">
        <v>14</v>
      </c>
      <c r="S18" s="706">
        <f>F18</f>
        <v>100</v>
      </c>
      <c r="T18" s="705" t="s">
        <v>14</v>
      </c>
      <c r="U18" s="706">
        <f>H18</f>
        <v>100</v>
      </c>
      <c r="V18" s="705" t="s">
        <v>14</v>
      </c>
      <c r="W18" s="706">
        <f>J18</f>
        <v>100</v>
      </c>
      <c r="X18" s="1354"/>
      <c r="Y18" s="375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8"/>
      <c r="M19" s="2712"/>
      <c r="N19" s="2712"/>
      <c r="O19" s="2770"/>
      <c r="P19" s="3759"/>
      <c r="Q19" s="1351"/>
      <c r="R19" s="705"/>
      <c r="S19" s="706"/>
      <c r="T19" s="705"/>
      <c r="U19" s="706"/>
      <c r="V19" s="705"/>
      <c r="W19" s="706"/>
      <c r="X19" s="1354"/>
      <c r="Y19" s="3759"/>
      <c r="Z19" s="1355"/>
      <c r="AA19" s="1352">
        <v>1</v>
      </c>
      <c r="AB19" s="1352">
        <v>1</v>
      </c>
      <c r="AC19" s="1352">
        <v>1</v>
      </c>
    </row>
    <row r="20" spans="1:29" ht="15">
      <c r="A20" s="379"/>
      <c r="B20" s="402" t="s">
        <v>1834</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59"/>
      <c r="Q20" s="1351" t="str">
        <f>B20</f>
        <v>自然及人文环境</v>
      </c>
      <c r="R20" s="705" t="s">
        <v>14</v>
      </c>
      <c r="S20" s="706">
        <f>F20</f>
        <v>100</v>
      </c>
      <c r="T20" s="705" t="s">
        <v>14</v>
      </c>
      <c r="U20" s="706">
        <f>H20</f>
        <v>100</v>
      </c>
      <c r="V20" s="705" t="s">
        <v>14</v>
      </c>
      <c r="W20" s="706">
        <f>J20</f>
        <v>100</v>
      </c>
      <c r="X20" s="1354"/>
      <c r="Y20" s="375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59"/>
      <c r="Q21" s="1351"/>
      <c r="R21" s="705"/>
      <c r="S21" s="706"/>
      <c r="T21" s="705"/>
      <c r="U21" s="706"/>
      <c r="V21" s="705"/>
      <c r="W21" s="706"/>
      <c r="X21" s="1354"/>
      <c r="Y21" s="375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59"/>
      <c r="Q22" s="1351" t="str">
        <f>B22</f>
        <v>楼层</v>
      </c>
      <c r="R22" s="705" t="s">
        <v>14</v>
      </c>
      <c r="S22" s="706">
        <f>F22</f>
        <v>100</v>
      </c>
      <c r="T22" s="705" t="s">
        <v>14</v>
      </c>
      <c r="U22" s="706">
        <f>H22</f>
        <v>100</v>
      </c>
      <c r="V22" s="705" t="s">
        <v>14</v>
      </c>
      <c r="W22" s="706">
        <f>J22</f>
        <v>100</v>
      </c>
      <c r="X22" s="1354"/>
      <c r="Y22" s="375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59"/>
      <c r="Q23" s="1351">
        <f>B23</f>
        <v>111</v>
      </c>
      <c r="R23" s="705" t="s">
        <v>14</v>
      </c>
      <c r="S23" s="706">
        <f>F23</f>
        <v>100</v>
      </c>
      <c r="T23" s="705" t="s">
        <v>14</v>
      </c>
      <c r="U23" s="706">
        <f>H23</f>
        <v>100</v>
      </c>
      <c r="V23" s="705" t="s">
        <v>14</v>
      </c>
      <c r="W23" s="706">
        <f>J23</f>
        <v>100</v>
      </c>
      <c r="X23" s="1354"/>
      <c r="Y23" s="375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59"/>
      <c r="Q24" s="1351">
        <f t="shared" ref="Q24:Q34" si="11">B24</f>
        <v>111</v>
      </c>
      <c r="R24" s="705" t="s">
        <v>14</v>
      </c>
      <c r="S24" s="706">
        <f>F24</f>
        <v>100</v>
      </c>
      <c r="T24" s="705" t="s">
        <v>14</v>
      </c>
      <c r="U24" s="706">
        <f>H24</f>
        <v>100</v>
      </c>
      <c r="V24" s="705" t="s">
        <v>14</v>
      </c>
      <c r="W24" s="706">
        <f>J24</f>
        <v>100</v>
      </c>
      <c r="X24" s="1354"/>
      <c r="Y24" s="375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759"/>
      <c r="Q25" s="1342">
        <f t="shared" si="11"/>
        <v>111</v>
      </c>
      <c r="R25" s="701" t="s">
        <v>14</v>
      </c>
      <c r="S25" s="702">
        <f>F25</f>
        <v>100</v>
      </c>
      <c r="T25" s="701" t="s">
        <v>14</v>
      </c>
      <c r="U25" s="702">
        <f>H25</f>
        <v>100</v>
      </c>
      <c r="V25" s="701" t="s">
        <v>14</v>
      </c>
      <c r="W25" s="702">
        <f>J25</f>
        <v>100</v>
      </c>
      <c r="X25" s="703"/>
      <c r="Y25" s="375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8"/>
      <c r="M26" s="2712"/>
      <c r="N26" s="2712"/>
      <c r="O26" s="2770"/>
      <c r="P26" s="380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6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63"/>
      <c r="Q27" s="707" t="str">
        <f t="shared" si="11"/>
        <v>成新率</v>
      </c>
      <c r="R27" s="708" t="s">
        <v>14</v>
      </c>
      <c r="S27" s="709" t="e">
        <f t="shared" si="12"/>
        <v>#N/A</v>
      </c>
      <c r="T27" s="708" t="s">
        <v>14</v>
      </c>
      <c r="U27" s="709" t="e">
        <f t="shared" si="13"/>
        <v>#N/A</v>
      </c>
      <c r="V27" s="708" t="s">
        <v>14</v>
      </c>
      <c r="W27" s="709" t="e">
        <f t="shared" si="14"/>
        <v>#N/A</v>
      </c>
      <c r="X27" s="710"/>
      <c r="Y27" s="376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63"/>
      <c r="Q28" s="1351" t="str">
        <f t="shared" si="11"/>
        <v>物业等级</v>
      </c>
      <c r="R28" s="705" t="s">
        <v>14</v>
      </c>
      <c r="S28" s="706">
        <f t="shared" si="12"/>
        <v>100</v>
      </c>
      <c r="T28" s="705" t="s">
        <v>14</v>
      </c>
      <c r="U28" s="706">
        <f t="shared" si="13"/>
        <v>100</v>
      </c>
      <c r="V28" s="705" t="s">
        <v>14</v>
      </c>
      <c r="W28" s="706">
        <f t="shared" si="14"/>
        <v>100</v>
      </c>
      <c r="X28" s="1354"/>
      <c r="Y28" s="376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63"/>
      <c r="Q29" s="1351" t="str">
        <f t="shared" si="11"/>
        <v>有无电梯</v>
      </c>
      <c r="R29" s="705" t="s">
        <v>14</v>
      </c>
      <c r="S29" s="706">
        <f t="shared" si="12"/>
        <v>100</v>
      </c>
      <c r="T29" s="705" t="s">
        <v>14</v>
      </c>
      <c r="U29" s="706">
        <f t="shared" si="13"/>
        <v>100</v>
      </c>
      <c r="V29" s="705" t="s">
        <v>14</v>
      </c>
      <c r="W29" s="706">
        <f t="shared" si="14"/>
        <v>100</v>
      </c>
      <c r="X29" s="1354"/>
      <c r="Y29" s="376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63"/>
      <c r="Q30" s="1351" t="str">
        <f t="shared" si="11"/>
        <v>建筑面积</v>
      </c>
      <c r="R30" s="705" t="s">
        <v>14</v>
      </c>
      <c r="S30" s="706" t="e">
        <f t="shared" si="12"/>
        <v>#N/A</v>
      </c>
      <c r="T30" s="705" t="s">
        <v>14</v>
      </c>
      <c r="U30" s="706" t="e">
        <f t="shared" si="13"/>
        <v>#N/A</v>
      </c>
      <c r="V30" s="705" t="s">
        <v>14</v>
      </c>
      <c r="W30" s="706" t="e">
        <f t="shared" si="14"/>
        <v>#N/A</v>
      </c>
      <c r="X30" s="1354"/>
      <c r="Y30" s="376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63"/>
      <c r="Q31" s="1342" t="str">
        <f t="shared" si="11"/>
        <v>是否封闭</v>
      </c>
      <c r="R31" s="701" t="s">
        <v>14</v>
      </c>
      <c r="S31" s="702">
        <f t="shared" si="12"/>
        <v>100</v>
      </c>
      <c r="T31" s="701" t="s">
        <v>14</v>
      </c>
      <c r="U31" s="702">
        <f t="shared" si="13"/>
        <v>100</v>
      </c>
      <c r="V31" s="701" t="s">
        <v>14</v>
      </c>
      <c r="W31" s="702">
        <f t="shared" si="14"/>
        <v>100</v>
      </c>
      <c r="X31" s="703"/>
      <c r="Y31" s="376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63" t="s">
        <v>1696</v>
      </c>
      <c r="Q32" s="1351">
        <f t="shared" si="11"/>
        <v>111</v>
      </c>
      <c r="R32" s="705" t="s">
        <v>14</v>
      </c>
      <c r="S32" s="706">
        <f t="shared" si="12"/>
        <v>100</v>
      </c>
      <c r="T32" s="705" t="s">
        <v>14</v>
      </c>
      <c r="U32" s="706">
        <f t="shared" si="13"/>
        <v>100</v>
      </c>
      <c r="V32" s="705" t="s">
        <v>14</v>
      </c>
      <c r="W32" s="706">
        <f t="shared" si="14"/>
        <v>100</v>
      </c>
      <c r="X32" s="1354"/>
      <c r="Y32" s="376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63"/>
      <c r="Q33" s="1351">
        <f t="shared" si="11"/>
        <v>111</v>
      </c>
      <c r="R33" s="705" t="s">
        <v>14</v>
      </c>
      <c r="S33" s="706">
        <f t="shared" si="12"/>
        <v>100</v>
      </c>
      <c r="T33" s="705" t="s">
        <v>14</v>
      </c>
      <c r="U33" s="706">
        <f t="shared" si="13"/>
        <v>100</v>
      </c>
      <c r="V33" s="705" t="s">
        <v>14</v>
      </c>
      <c r="W33" s="706">
        <f t="shared" si="14"/>
        <v>100</v>
      </c>
      <c r="X33" s="1354"/>
      <c r="Y33" s="376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763"/>
      <c r="Q34" s="1351">
        <f t="shared" si="11"/>
        <v>111</v>
      </c>
      <c r="R34" s="705" t="s">
        <v>14</v>
      </c>
      <c r="S34" s="706">
        <f t="shared" si="12"/>
        <v>100</v>
      </c>
      <c r="T34" s="705" t="s">
        <v>14</v>
      </c>
      <c r="U34" s="706">
        <f t="shared" si="13"/>
        <v>100</v>
      </c>
      <c r="V34" s="705" t="s">
        <v>14</v>
      </c>
      <c r="W34" s="706">
        <f t="shared" si="14"/>
        <v>100</v>
      </c>
      <c r="X34" s="1354"/>
      <c r="Y34" s="376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765" t="str">
        <f>A35</f>
        <v>成交单价（元/平方米）</v>
      </c>
      <c r="Q35" s="3765"/>
      <c r="R35" s="3766">
        <f>E35</f>
        <v>0</v>
      </c>
      <c r="S35" s="3766"/>
      <c r="T35" s="3766">
        <f>G35</f>
        <v>0</v>
      </c>
      <c r="U35" s="3766"/>
      <c r="V35" s="3766">
        <f>I35</f>
        <v>0</v>
      </c>
      <c r="W35" s="3766"/>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0"/>
      <c r="M36" s="2721"/>
      <c r="N36" s="2712"/>
      <c r="O36" s="2721"/>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806" t="str">
        <f>A37</f>
        <v>估价对象XX用房的比较价值（楼面单价，元/平方米）</v>
      </c>
      <c r="Q37" s="3807"/>
      <c r="R37" s="3810" t="e">
        <f>IF(F1="售价",ROUND(IF(D36="简单平均",AVERAGE(R36:W36),R36*F36+T36*H36+V36*J36),0),ROUND(IF(D36="简单平均",AVERAGE(R36:V36),R36*F36+T36*H36+V36*J36),1))</f>
        <v>#DIV/0!</v>
      </c>
      <c r="S37" s="3810"/>
      <c r="T37" s="3810"/>
      <c r="U37" s="3810"/>
      <c r="V37" s="3810"/>
      <c r="W37" s="381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40" t="s">
        <v>1770</v>
      </c>
      <c r="D4" s="3741"/>
      <c r="E4" s="3742" t="s">
        <v>1771</v>
      </c>
      <c r="F4" s="3743"/>
      <c r="G4" s="3740" t="s">
        <v>1772</v>
      </c>
      <c r="H4" s="3741"/>
      <c r="I4" s="3740" t="s">
        <v>1773</v>
      </c>
      <c r="J4" s="3741"/>
      <c r="K4" s="559" t="s">
        <v>1774</v>
      </c>
      <c r="L4" s="2711"/>
      <c r="M4" s="2712"/>
      <c r="N4" s="2712"/>
      <c r="O4" s="2712"/>
      <c r="P4" s="3802" t="s">
        <v>1775</v>
      </c>
      <c r="Q4" s="3803"/>
      <c r="R4" s="3800" t="s">
        <v>1771</v>
      </c>
      <c r="S4" s="3801"/>
      <c r="T4" s="3800" t="s">
        <v>1772</v>
      </c>
      <c r="U4" s="3801"/>
      <c r="V4" s="3753" t="s">
        <v>1773</v>
      </c>
      <c r="W4" s="3753"/>
      <c r="X4" s="1354"/>
      <c r="Y4" s="3800" t="s">
        <v>1775</v>
      </c>
      <c r="Z4" s="3801"/>
      <c r="AA4" s="3799" t="s">
        <v>1771</v>
      </c>
      <c r="AB4" s="3720" t="s">
        <v>1772</v>
      </c>
      <c r="AC4" s="3799" t="s">
        <v>1773</v>
      </c>
    </row>
    <row r="5" spans="1:29" ht="15">
      <c r="A5" s="358"/>
      <c r="B5" s="359"/>
      <c r="C5" s="3730" t="s">
        <v>1673</v>
      </c>
      <c r="D5" s="3731"/>
      <c r="E5" s="3728" t="s">
        <v>1674</v>
      </c>
      <c r="F5" s="3729"/>
      <c r="G5" s="3730" t="s">
        <v>1675</v>
      </c>
      <c r="H5" s="3731"/>
      <c r="I5" s="3730" t="s">
        <v>1676</v>
      </c>
      <c r="J5" s="3731"/>
      <c r="K5" s="559"/>
      <c r="L5" s="2711"/>
      <c r="M5" s="2712"/>
      <c r="N5" s="2712"/>
      <c r="O5" s="2712"/>
      <c r="P5" s="3804"/>
      <c r="Q5" s="3747"/>
      <c r="R5" s="3726"/>
      <c r="S5" s="3727"/>
      <c r="T5" s="3726"/>
      <c r="U5" s="3727"/>
      <c r="V5" s="3753"/>
      <c r="W5" s="3753"/>
      <c r="X5" s="1354"/>
      <c r="Y5" s="3726"/>
      <c r="Z5" s="3727"/>
      <c r="AA5" s="3720"/>
      <c r="AB5" s="3720"/>
      <c r="AC5" s="3720"/>
    </row>
    <row r="6" spans="1:29" ht="15.75" thickBot="1">
      <c r="A6" s="360"/>
      <c r="B6" s="361"/>
      <c r="C6" s="3814" t="s">
        <v>1919</v>
      </c>
      <c r="D6" s="3815"/>
      <c r="E6" s="3816" t="s">
        <v>1919</v>
      </c>
      <c r="F6" s="3817"/>
      <c r="G6" s="3814" t="s">
        <v>1919</v>
      </c>
      <c r="H6" s="3815"/>
      <c r="I6" s="3814" t="s">
        <v>1919</v>
      </c>
      <c r="J6" s="3815"/>
      <c r="K6" s="559" t="s">
        <v>1678</v>
      </c>
      <c r="L6" s="2711"/>
      <c r="M6" s="2712"/>
      <c r="N6" s="2712"/>
      <c r="O6" s="2712"/>
      <c r="P6" s="3805"/>
      <c r="Q6" s="3749"/>
      <c r="R6" s="3726"/>
      <c r="S6" s="3727"/>
      <c r="T6" s="3750"/>
      <c r="U6" s="3751"/>
      <c r="V6" s="3753"/>
      <c r="W6" s="3753"/>
      <c r="X6" s="1354"/>
      <c r="Y6" s="3750"/>
      <c r="Z6" s="3751"/>
      <c r="AA6" s="3721"/>
      <c r="AB6" s="3721"/>
      <c r="AC6" s="3721"/>
    </row>
    <row r="7" spans="1:29" s="108" customFormat="1" ht="15.75" thickBot="1">
      <c r="A7" s="362" t="s">
        <v>1679</v>
      </c>
      <c r="B7" s="363"/>
      <c r="C7" s="364">
        <f>'数据-取费表'!B2</f>
        <v>45608</v>
      </c>
      <c r="D7" s="365">
        <v>100</v>
      </c>
      <c r="E7" s="366"/>
      <c r="F7" s="367">
        <f>SUMIF(65:65,YEAR(E7)&amp;"-"&amp;INT((MONTH(E7)+2)/3),66:66)</f>
        <v>0</v>
      </c>
      <c r="G7" s="1973"/>
      <c r="H7" s="365">
        <f>SUMIF(65:65,YEAR(G7)&amp;"-"&amp;INT((MONTH(G7)+2)/3),66:66)</f>
        <v>0</v>
      </c>
      <c r="I7" s="1973"/>
      <c r="J7" s="365">
        <f>SUMIF(65:65,YEAR(I7)&amp;"-"&amp;INT((MONTH(I7)+2)/3),66:66)</f>
        <v>0</v>
      </c>
      <c r="K7" s="560"/>
      <c r="L7" s="2713"/>
      <c r="M7" s="2714"/>
      <c r="N7" s="2714"/>
      <c r="O7" s="2714"/>
      <c r="P7" s="3722" t="s">
        <v>1680</v>
      </c>
      <c r="Q7" s="3755"/>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3"/>
      <c r="M9" s="2714"/>
      <c r="N9" s="2714"/>
      <c r="O9" s="2768"/>
      <c r="P9" s="3765" t="s">
        <v>1686</v>
      </c>
      <c r="Q9" s="1342" t="str">
        <f t="shared" ref="Q9:Q15" si="6">B9</f>
        <v>用途</v>
      </c>
      <c r="R9" s="701" t="s">
        <v>14</v>
      </c>
      <c r="S9" s="702">
        <f t="shared" si="0"/>
        <v>100</v>
      </c>
      <c r="T9" s="701" t="s">
        <v>14</v>
      </c>
      <c r="U9" s="702">
        <f t="shared" si="1"/>
        <v>100</v>
      </c>
      <c r="V9" s="701" t="s">
        <v>14</v>
      </c>
      <c r="W9" s="702">
        <f t="shared" si="2"/>
        <v>100</v>
      </c>
      <c r="X9" s="703"/>
      <c r="Y9" s="369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5"/>
      <c r="M10" s="2716"/>
      <c r="N10" s="2716"/>
      <c r="O10" s="2769"/>
      <c r="P10" s="3765"/>
      <c r="Q10" s="1342" t="str">
        <f t="shared" si="6"/>
        <v>土地使用年限（年）</v>
      </c>
      <c r="R10" s="701" t="s">
        <v>14</v>
      </c>
      <c r="S10" s="702">
        <f t="shared" si="0"/>
        <v>109</v>
      </c>
      <c r="T10" s="701" t="s">
        <v>14</v>
      </c>
      <c r="U10" s="702">
        <f t="shared" si="1"/>
        <v>109</v>
      </c>
      <c r="V10" s="701" t="s">
        <v>14</v>
      </c>
      <c r="W10" s="702">
        <f t="shared" si="2"/>
        <v>109</v>
      </c>
      <c r="X10" s="703"/>
      <c r="Y10" s="3695"/>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65"/>
      <c r="Q11" s="1342" t="str">
        <f t="shared" si="6"/>
        <v>容积率</v>
      </c>
      <c r="R11" s="701" t="s">
        <v>14</v>
      </c>
      <c r="S11" s="702" t="e">
        <f t="shared" si="0"/>
        <v>#N/A</v>
      </c>
      <c r="T11" s="701" t="s">
        <v>14</v>
      </c>
      <c r="U11" s="702" t="e">
        <f t="shared" si="1"/>
        <v>#N/A</v>
      </c>
      <c r="V11" s="701" t="s">
        <v>14</v>
      </c>
      <c r="W11" s="702" t="e">
        <f t="shared" si="2"/>
        <v>#N/A</v>
      </c>
      <c r="X11" s="703"/>
      <c r="Y11" s="369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65"/>
      <c r="Q12" s="1342">
        <f t="shared" si="6"/>
        <v>111</v>
      </c>
      <c r="R12" s="701" t="s">
        <v>14</v>
      </c>
      <c r="S12" s="702">
        <f t="shared" si="0"/>
        <v>100</v>
      </c>
      <c r="T12" s="701" t="s">
        <v>14</v>
      </c>
      <c r="U12" s="702">
        <f t="shared" si="1"/>
        <v>100</v>
      </c>
      <c r="V12" s="701" t="s">
        <v>14</v>
      </c>
      <c r="W12" s="702">
        <f t="shared" si="2"/>
        <v>100</v>
      </c>
      <c r="X12" s="703"/>
      <c r="Y12" s="369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65"/>
      <c r="Q13" s="1342">
        <f t="shared" si="6"/>
        <v>111</v>
      </c>
      <c r="R13" s="701" t="s">
        <v>14</v>
      </c>
      <c r="S13" s="702">
        <f t="shared" si="0"/>
        <v>100</v>
      </c>
      <c r="T13" s="701" t="s">
        <v>14</v>
      </c>
      <c r="U13" s="702">
        <f t="shared" si="1"/>
        <v>100</v>
      </c>
      <c r="V13" s="701" t="s">
        <v>14</v>
      </c>
      <c r="W13" s="702">
        <f t="shared" si="2"/>
        <v>100</v>
      </c>
      <c r="X13" s="703"/>
      <c r="Y13" s="369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65"/>
      <c r="Q14" s="1342">
        <f t="shared" si="6"/>
        <v>111</v>
      </c>
      <c r="R14" s="701" t="s">
        <v>14</v>
      </c>
      <c r="S14" s="702">
        <f t="shared" si="0"/>
        <v>100</v>
      </c>
      <c r="T14" s="701" t="s">
        <v>14</v>
      </c>
      <c r="U14" s="702">
        <f t="shared" si="1"/>
        <v>100</v>
      </c>
      <c r="V14" s="701" t="s">
        <v>14</v>
      </c>
      <c r="W14" s="702">
        <f t="shared" si="2"/>
        <v>100</v>
      </c>
      <c r="X14" s="703"/>
      <c r="Y14" s="369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58" t="s">
        <v>1691</v>
      </c>
      <c r="Q15" s="1351" t="str">
        <f t="shared" si="6"/>
        <v>产业集聚程度</v>
      </c>
      <c r="R15" s="705" t="s">
        <v>14</v>
      </c>
      <c r="S15" s="706">
        <f t="shared" si="0"/>
        <v>100</v>
      </c>
      <c r="T15" s="705" t="s">
        <v>14</v>
      </c>
      <c r="U15" s="706">
        <f t="shared" si="1"/>
        <v>100</v>
      </c>
      <c r="V15" s="705" t="s">
        <v>14</v>
      </c>
      <c r="W15" s="706">
        <f t="shared" si="2"/>
        <v>100</v>
      </c>
      <c r="X15" s="1354"/>
      <c r="Y15" s="375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759"/>
      <c r="Q16" s="1351"/>
      <c r="R16" s="705"/>
      <c r="S16" s="706"/>
      <c r="T16" s="705"/>
      <c r="U16" s="706"/>
      <c r="V16" s="705"/>
      <c r="W16" s="706"/>
      <c r="X16" s="1354"/>
      <c r="Y16" s="375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59"/>
      <c r="Q17" s="1351" t="str">
        <f>B17</f>
        <v>交通便捷度</v>
      </c>
      <c r="R17" s="705" t="s">
        <v>14</v>
      </c>
      <c r="S17" s="706">
        <f>F17</f>
        <v>100</v>
      </c>
      <c r="T17" s="705" t="s">
        <v>14</v>
      </c>
      <c r="U17" s="706">
        <f>H17</f>
        <v>100</v>
      </c>
      <c r="V17" s="705" t="s">
        <v>14</v>
      </c>
      <c r="W17" s="706">
        <f>J17</f>
        <v>100</v>
      </c>
      <c r="X17" s="1354"/>
      <c r="Y17" s="375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759"/>
      <c r="Q18" s="1351"/>
      <c r="R18" s="705"/>
      <c r="S18" s="706"/>
      <c r="T18" s="705"/>
      <c r="U18" s="706"/>
      <c r="V18" s="705"/>
      <c r="W18" s="706"/>
      <c r="X18" s="1354"/>
      <c r="Y18" s="375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59"/>
      <c r="Q19" s="1351" t="str">
        <f t="shared" ref="Q19:Q33" si="8">B19</f>
        <v>区域土地利用方向</v>
      </c>
      <c r="R19" s="705" t="s">
        <v>14</v>
      </c>
      <c r="S19" s="706">
        <f>F19</f>
        <v>100</v>
      </c>
      <c r="T19" s="705" t="s">
        <v>14</v>
      </c>
      <c r="U19" s="706">
        <f>H19</f>
        <v>100</v>
      </c>
      <c r="V19" s="705" t="s">
        <v>14</v>
      </c>
      <c r="W19" s="706">
        <f>J19</f>
        <v>100</v>
      </c>
      <c r="X19" s="1354"/>
      <c r="Y19" s="375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8"/>
      <c r="M20" s="2712"/>
      <c r="N20" s="2712"/>
      <c r="O20" s="2770"/>
      <c r="P20" s="3759"/>
      <c r="Q20" s="1351"/>
      <c r="R20" s="705"/>
      <c r="S20" s="706"/>
      <c r="T20" s="705"/>
      <c r="U20" s="706"/>
      <c r="V20" s="705"/>
      <c r="W20" s="706"/>
      <c r="X20" s="1354"/>
      <c r="Y20" s="375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59"/>
      <c r="Q21" s="1351" t="str">
        <f t="shared" si="8"/>
        <v>环境状况</v>
      </c>
      <c r="R21" s="705" t="s">
        <v>14</v>
      </c>
      <c r="S21" s="706">
        <f>F21</f>
        <v>100</v>
      </c>
      <c r="T21" s="705" t="s">
        <v>14</v>
      </c>
      <c r="U21" s="706">
        <f>H21</f>
        <v>100</v>
      </c>
      <c r="V21" s="705" t="s">
        <v>14</v>
      </c>
      <c r="W21" s="706">
        <f>J21</f>
        <v>100</v>
      </c>
      <c r="X21" s="1354"/>
      <c r="Y21" s="375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759"/>
      <c r="Q22" s="1351"/>
      <c r="R22" s="705"/>
      <c r="S22" s="706"/>
      <c r="T22" s="705"/>
      <c r="U22" s="706"/>
      <c r="V22" s="705"/>
      <c r="W22" s="706"/>
      <c r="X22" s="1354"/>
      <c r="Y22" s="375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59"/>
      <c r="Q23" s="1342" t="str">
        <f t="shared" si="8"/>
        <v>公共配套设施</v>
      </c>
      <c r="R23" s="701" t="s">
        <v>14</v>
      </c>
      <c r="S23" s="702">
        <f>F23</f>
        <v>100</v>
      </c>
      <c r="T23" s="701" t="s">
        <v>14</v>
      </c>
      <c r="U23" s="702">
        <f>H23</f>
        <v>100</v>
      </c>
      <c r="V23" s="701" t="s">
        <v>14</v>
      </c>
      <c r="W23" s="702">
        <f>J23</f>
        <v>100</v>
      </c>
      <c r="X23" s="703"/>
      <c r="Y23" s="375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3"/>
      <c r="M24" s="2714"/>
      <c r="N24" s="2714"/>
      <c r="O24" s="2768"/>
      <c r="P24" s="3759"/>
      <c r="Q24" s="1342"/>
      <c r="R24" s="701"/>
      <c r="S24" s="702"/>
      <c r="T24" s="701"/>
      <c r="U24" s="702"/>
      <c r="V24" s="701"/>
      <c r="W24" s="702"/>
      <c r="X24" s="703"/>
      <c r="Y24" s="375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59"/>
      <c r="Q25" s="1342" t="str">
        <f t="shared" ref="Q25" si="9">B25</f>
        <v>基础设施水平</v>
      </c>
      <c r="R25" s="701" t="s">
        <v>14</v>
      </c>
      <c r="S25" s="702">
        <f>F25</f>
        <v>100</v>
      </c>
      <c r="T25" s="701" t="s">
        <v>14</v>
      </c>
      <c r="U25" s="702">
        <f>H25</f>
        <v>100</v>
      </c>
      <c r="V25" s="701" t="s">
        <v>14</v>
      </c>
      <c r="W25" s="702">
        <f>J25</f>
        <v>100</v>
      </c>
      <c r="X25" s="703"/>
      <c r="Y25" s="375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3"/>
      <c r="M26" s="2714"/>
      <c r="N26" s="2714"/>
      <c r="O26" s="2768"/>
      <c r="P26" s="3759"/>
      <c r="Q26" s="1342"/>
      <c r="R26" s="701"/>
      <c r="S26" s="702"/>
      <c r="T26" s="701"/>
      <c r="U26" s="702"/>
      <c r="V26" s="701"/>
      <c r="W26" s="702"/>
      <c r="X26" s="703"/>
      <c r="Y26" s="375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5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59"/>
      <c r="Q28" s="1351" t="str">
        <f t="shared" si="8"/>
        <v>毗邻道路的类型与等级</v>
      </c>
      <c r="R28" s="705" t="s">
        <v>14</v>
      </c>
      <c r="S28" s="706">
        <f t="shared" si="10"/>
        <v>100</v>
      </c>
      <c r="T28" s="705" t="s">
        <v>14</v>
      </c>
      <c r="U28" s="706">
        <f t="shared" si="11"/>
        <v>100</v>
      </c>
      <c r="V28" s="705" t="s">
        <v>14</v>
      </c>
      <c r="W28" s="706">
        <f t="shared" si="12"/>
        <v>100</v>
      </c>
      <c r="X28" s="1354"/>
      <c r="Y28" s="375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759"/>
      <c r="Q29" s="1351"/>
      <c r="R29" s="705"/>
      <c r="S29" s="706"/>
      <c r="T29" s="705"/>
      <c r="U29" s="706"/>
      <c r="V29" s="705"/>
      <c r="W29" s="706"/>
      <c r="X29" s="1354"/>
      <c r="Y29" s="375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59"/>
      <c r="Q30" s="1351" t="str">
        <f t="shared" si="8"/>
        <v>土地级别</v>
      </c>
      <c r="R30" s="705" t="s">
        <v>14</v>
      </c>
      <c r="S30" s="706">
        <f t="shared" si="10"/>
        <v>100</v>
      </c>
      <c r="T30" s="705" t="s">
        <v>14</v>
      </c>
      <c r="U30" s="706">
        <f t="shared" si="11"/>
        <v>100</v>
      </c>
      <c r="V30" s="705" t="s">
        <v>14</v>
      </c>
      <c r="W30" s="706">
        <f t="shared" si="12"/>
        <v>100</v>
      </c>
      <c r="X30" s="1354"/>
      <c r="Y30" s="375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59"/>
      <c r="Q31" s="1351">
        <f t="shared" si="8"/>
        <v>111</v>
      </c>
      <c r="R31" s="705" t="s">
        <v>14</v>
      </c>
      <c r="S31" s="706">
        <f t="shared" si="10"/>
        <v>100</v>
      </c>
      <c r="T31" s="705" t="s">
        <v>14</v>
      </c>
      <c r="U31" s="706">
        <f t="shared" si="11"/>
        <v>100</v>
      </c>
      <c r="V31" s="705" t="s">
        <v>14</v>
      </c>
      <c r="W31" s="706">
        <f t="shared" si="12"/>
        <v>100</v>
      </c>
      <c r="X31" s="1354"/>
      <c r="Y31" s="375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09" t="s">
        <v>1696</v>
      </c>
      <c r="Q32" s="1351">
        <f t="shared" si="8"/>
        <v>111</v>
      </c>
      <c r="R32" s="705" t="s">
        <v>14</v>
      </c>
      <c r="S32" s="706">
        <f t="shared" si="10"/>
        <v>100</v>
      </c>
      <c r="T32" s="705" t="s">
        <v>14</v>
      </c>
      <c r="U32" s="706">
        <f t="shared" si="11"/>
        <v>100</v>
      </c>
      <c r="V32" s="705" t="s">
        <v>14</v>
      </c>
      <c r="W32" s="706">
        <f t="shared" si="12"/>
        <v>100</v>
      </c>
      <c r="X32" s="1354"/>
      <c r="Y32" s="376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63"/>
      <c r="Q33" s="1351">
        <f t="shared" si="8"/>
        <v>111</v>
      </c>
      <c r="R33" s="708" t="s">
        <v>14</v>
      </c>
      <c r="S33" s="709">
        <f t="shared" si="10"/>
        <v>100</v>
      </c>
      <c r="T33" s="708" t="s">
        <v>14</v>
      </c>
      <c r="U33" s="709">
        <f t="shared" si="11"/>
        <v>100</v>
      </c>
      <c r="V33" s="708" t="s">
        <v>14</v>
      </c>
      <c r="W33" s="709">
        <f t="shared" si="12"/>
        <v>100</v>
      </c>
      <c r="X33" s="710"/>
      <c r="Y33" s="376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63"/>
      <c r="Q34" s="1351" t="str">
        <f>B34</f>
        <v>宗地面积</v>
      </c>
      <c r="R34" s="705" t="s">
        <v>14</v>
      </c>
      <c r="S34" s="706" t="e">
        <f t="shared" si="10"/>
        <v>#N/A</v>
      </c>
      <c r="T34" s="705" t="s">
        <v>14</v>
      </c>
      <c r="U34" s="706" t="e">
        <f t="shared" si="11"/>
        <v>#N/A</v>
      </c>
      <c r="V34" s="705" t="s">
        <v>14</v>
      </c>
      <c r="W34" s="706" t="e">
        <f t="shared" si="12"/>
        <v>#N/A</v>
      </c>
      <c r="X34" s="1354"/>
      <c r="Y34" s="376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63"/>
      <c r="Q35" s="1351" t="str">
        <f t="shared" ref="Q35:Q40" si="14">B35</f>
        <v>宗地形状</v>
      </c>
      <c r="R35" s="705" t="s">
        <v>14</v>
      </c>
      <c r="S35" s="706">
        <f t="shared" si="10"/>
        <v>100</v>
      </c>
      <c r="T35" s="705" t="s">
        <v>14</v>
      </c>
      <c r="U35" s="706">
        <f t="shared" si="11"/>
        <v>100</v>
      </c>
      <c r="V35" s="705" t="s">
        <v>14</v>
      </c>
      <c r="W35" s="706">
        <f t="shared" si="12"/>
        <v>100</v>
      </c>
      <c r="X35" s="1354"/>
      <c r="Y35" s="376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763"/>
      <c r="Q36" s="1351" t="str">
        <f t="shared" si="14"/>
        <v>宗地开发程度</v>
      </c>
      <c r="R36" s="701" t="s">
        <v>14</v>
      </c>
      <c r="S36" s="702">
        <f t="shared" si="10"/>
        <v>100</v>
      </c>
      <c r="T36" s="701" t="s">
        <v>14</v>
      </c>
      <c r="U36" s="702">
        <f t="shared" si="11"/>
        <v>100</v>
      </c>
      <c r="V36" s="701" t="s">
        <v>14</v>
      </c>
      <c r="W36" s="702">
        <f t="shared" si="12"/>
        <v>100</v>
      </c>
      <c r="X36" s="703"/>
      <c r="Y36" s="376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63" t="s">
        <v>1696</v>
      </c>
      <c r="Q37" s="1351" t="str">
        <f t="shared" si="14"/>
        <v>工程地质条件</v>
      </c>
      <c r="R37" s="705" t="s">
        <v>14</v>
      </c>
      <c r="S37" s="706">
        <f t="shared" si="10"/>
        <v>100</v>
      </c>
      <c r="T37" s="705" t="s">
        <v>14</v>
      </c>
      <c r="U37" s="706">
        <f t="shared" si="11"/>
        <v>100</v>
      </c>
      <c r="V37" s="705" t="s">
        <v>14</v>
      </c>
      <c r="W37" s="706">
        <f t="shared" si="12"/>
        <v>100</v>
      </c>
      <c r="X37" s="1354"/>
      <c r="Y37" s="376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63"/>
      <c r="Q38" s="1351">
        <f t="shared" si="14"/>
        <v>111</v>
      </c>
      <c r="R38" s="705" t="s">
        <v>14</v>
      </c>
      <c r="S38" s="706">
        <f t="shared" si="10"/>
        <v>100</v>
      </c>
      <c r="T38" s="705" t="s">
        <v>14</v>
      </c>
      <c r="U38" s="706">
        <f t="shared" si="11"/>
        <v>100</v>
      </c>
      <c r="V38" s="705" t="s">
        <v>14</v>
      </c>
      <c r="W38" s="706">
        <f t="shared" si="12"/>
        <v>100</v>
      </c>
      <c r="X38" s="1354"/>
      <c r="Y38" s="376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63"/>
      <c r="Q39" s="1351">
        <f t="shared" si="14"/>
        <v>111</v>
      </c>
      <c r="R39" s="705" t="s">
        <v>14</v>
      </c>
      <c r="S39" s="706">
        <f t="shared" si="10"/>
        <v>100</v>
      </c>
      <c r="T39" s="705" t="s">
        <v>14</v>
      </c>
      <c r="U39" s="706">
        <f t="shared" si="11"/>
        <v>100</v>
      </c>
      <c r="V39" s="705" t="s">
        <v>14</v>
      </c>
      <c r="W39" s="706">
        <f t="shared" si="12"/>
        <v>100</v>
      </c>
      <c r="X39" s="1354"/>
      <c r="Y39" s="3763"/>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63"/>
      <c r="Q40" s="1351">
        <f t="shared" si="14"/>
        <v>111</v>
      </c>
      <c r="R40" s="708" t="s">
        <v>14</v>
      </c>
      <c r="S40" s="709">
        <f t="shared" si="10"/>
        <v>100</v>
      </c>
      <c r="T40" s="708" t="s">
        <v>14</v>
      </c>
      <c r="U40" s="709">
        <f t="shared" si="11"/>
        <v>100</v>
      </c>
      <c r="V40" s="708" t="s">
        <v>14</v>
      </c>
      <c r="W40" s="709">
        <f t="shared" si="12"/>
        <v>100</v>
      </c>
      <c r="X40" s="710"/>
      <c r="Y40" s="3763"/>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0"/>
      <c r="M41" s="2712"/>
      <c r="N41" s="2712"/>
      <c r="O41" s="2721"/>
      <c r="P41" s="3765" t="str">
        <f>A41</f>
        <v>成交单价</v>
      </c>
      <c r="Q41" s="3765"/>
      <c r="R41" s="3753">
        <f>E41</f>
        <v>0</v>
      </c>
      <c r="S41" s="3753"/>
      <c r="T41" s="3753">
        <f>G41</f>
        <v>0</v>
      </c>
      <c r="U41" s="3753"/>
      <c r="V41" s="3753">
        <f>I41</f>
        <v>0</v>
      </c>
      <c r="W41" s="375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0"/>
      <c r="M42" s="2712"/>
      <c r="N42" s="2712"/>
      <c r="O42" s="2721"/>
      <c r="P42" s="3765" t="str">
        <f>A42</f>
        <v>比较价值（元/平方米）</v>
      </c>
      <c r="Q42" s="3765"/>
      <c r="R42" s="3812" t="e">
        <f>ROUND(PRODUCT(R41,AA7:AA40),0)</f>
        <v>#DIV/0!</v>
      </c>
      <c r="S42" s="3812"/>
      <c r="T42" s="3812" t="e">
        <f>ROUND(PRODUCT(T41,AB7:AB40),0)</f>
        <v>#DIV/0!</v>
      </c>
      <c r="U42" s="3812"/>
      <c r="V42" s="3812" t="e">
        <f>ROUND(PRODUCT(V41,AC7:AC40),0)</f>
        <v>#DIV/0!</v>
      </c>
      <c r="W42" s="381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806" t="str">
        <f>A43</f>
        <v>估价对象XX用房的比较价值（楼面单价，元/平方米）</v>
      </c>
      <c r="Q43" s="3807"/>
      <c r="R43" s="3811" t="e">
        <f>ROUND(IF(D42="简单平均",AVERAGE(R42:W42),R42*F42+T42*H42+V42*J42),0)</f>
        <v>#DIV/0!</v>
      </c>
      <c r="S43" s="3811"/>
      <c r="T43" s="3811"/>
      <c r="U43" s="3811"/>
      <c r="V43" s="3811"/>
      <c r="W43" s="3811"/>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2" t="s">
        <v>1883</v>
      </c>
      <c r="D50" s="1983" t="s">
        <v>1884</v>
      </c>
      <c r="E50" s="634" t="s">
        <v>1885</v>
      </c>
      <c r="F50" s="635" t="s">
        <v>1886</v>
      </c>
      <c r="G50" s="3740" t="s">
        <v>1887</v>
      </c>
      <c r="H50" s="3813"/>
      <c r="I50" s="1355" t="s">
        <v>1923</v>
      </c>
      <c r="J50" s="1355">
        <f>项目基本情况!F35</f>
        <v>0</v>
      </c>
      <c r="K50" s="1985"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13579.42</v>
      </c>
      <c r="F51" s="639" t="e">
        <f t="shared" ref="F51:F60" si="15">ROUND(B51*E51/10000,0)</f>
        <v>#DIV/0!</v>
      </c>
      <c r="G51" s="3736"/>
      <c r="H51" s="3765"/>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七级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七级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七级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2715.88</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七级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8" t="s">
        <v>1904</v>
      </c>
      <c r="B65" s="1109"/>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1" t="s">
        <v>2084</v>
      </c>
      <c r="D1" s="3822"/>
      <c r="E1" s="3822"/>
      <c r="F1" s="3822"/>
      <c r="G1" s="3822"/>
      <c r="H1" s="3822"/>
      <c r="I1" s="3822"/>
      <c r="J1" s="3822"/>
      <c r="K1" s="3822"/>
      <c r="L1" s="3822"/>
      <c r="M1" s="3822"/>
      <c r="N1" s="3822"/>
      <c r="O1" s="3822"/>
      <c r="P1" s="3822"/>
      <c r="Q1" s="3822"/>
      <c r="R1" s="3822"/>
      <c r="S1" s="382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8" t="s">
        <v>27</v>
      </c>
      <c r="D22" s="3819"/>
      <c r="E22" s="3819"/>
      <c r="F22" s="3819"/>
      <c r="G22" s="3819"/>
      <c r="H22" s="3819"/>
      <c r="I22" s="3819"/>
      <c r="J22" s="3819"/>
      <c r="K22" s="3819"/>
      <c r="L22" s="3819"/>
      <c r="M22" s="3819"/>
      <c r="N22" s="3819"/>
      <c r="O22" s="3819"/>
      <c r="P22" s="3819"/>
      <c r="Q22" s="382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89"/>
      <c r="G1" s="2789"/>
      <c r="H1" s="2789"/>
      <c r="I1" s="2789"/>
      <c r="J1" s="2789"/>
      <c r="K1" s="2789"/>
      <c r="L1" s="2789"/>
      <c r="M1" s="2789"/>
      <c r="N1" s="2789"/>
      <c r="O1" s="2789"/>
      <c r="P1" s="2789"/>
    </row>
    <row r="2" spans="1:16" ht="15.75">
      <c r="A2" s="2144" t="s">
        <v>2073</v>
      </c>
      <c r="B2" s="2598">
        <f ca="1">SUMIF(B6:B13,"&lt;&gt;#ref!",B6:B13)</f>
        <v>6079</v>
      </c>
      <c r="C2" s="2144" t="s">
        <v>2074</v>
      </c>
      <c r="D2" s="2144" t="s">
        <v>2075</v>
      </c>
      <c r="E2" s="2608">
        <f ca="1">SUMIF(E6:E13,"&lt;&gt;#ref!",E6:E13)</f>
        <v>16295.3</v>
      </c>
      <c r="F2" s="2789"/>
      <c r="G2" s="2789"/>
      <c r="H2" s="2789"/>
      <c r="I2" s="2789"/>
      <c r="J2" s="2789"/>
      <c r="K2" s="2789"/>
      <c r="L2" s="2789"/>
      <c r="M2" s="2789"/>
      <c r="N2" s="2789"/>
      <c r="O2" s="2789"/>
      <c r="P2" s="2789"/>
    </row>
    <row r="3" spans="1:16" ht="15.75">
      <c r="A3" s="2144" t="s">
        <v>2076</v>
      </c>
      <c r="B3" s="2598">
        <f ca="1">ROUND(B2*10000/E2,0)</f>
        <v>3731</v>
      </c>
      <c r="C3" s="2144"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5"/>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6079</v>
      </c>
      <c r="C6" s="2144" t="s">
        <v>2074</v>
      </c>
      <c r="D6" s="2789"/>
      <c r="E6" s="2608">
        <f ca="1">SUMIF(INDIRECT("'"&amp;A6&amp;"'"&amp;"!C:C"),"建筑面积",INDIRECT("'"&amp;A6&amp;"'"&amp;"!D:D"))</f>
        <v>16295.3</v>
      </c>
      <c r="F6" s="2789"/>
      <c r="G6" s="2789"/>
      <c r="H6" s="2789"/>
      <c r="I6" s="2789"/>
      <c r="J6" s="2789"/>
      <c r="K6" s="2789"/>
      <c r="L6" s="2789"/>
      <c r="M6" s="2789"/>
      <c r="N6" s="2789"/>
      <c r="O6" s="2789"/>
      <c r="P6" s="2789"/>
    </row>
    <row r="7" spans="1:16" ht="15.75">
      <c r="A7" s="2605"/>
      <c r="B7" s="2598" t="e">
        <f ca="1">SUMIF(INDIRECT("'"&amp;A7&amp;"'"&amp;"!A:A"),"总价",INDIRECT("'"&amp;A7&amp;"'"&amp;"!B:B"))</f>
        <v>#REF!</v>
      </c>
      <c r="C7" s="2144"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831" t="s">
        <v>2605</v>
      </c>
      <c r="B20" s="3824" t="s">
        <v>2626</v>
      </c>
      <c r="C20" s="3099" t="s">
        <v>2437</v>
      </c>
      <c r="D20" s="3100"/>
      <c r="E20" s="3101">
        <v>1</v>
      </c>
      <c r="F20" s="3102" t="s">
        <v>2438</v>
      </c>
      <c r="G20" s="3102"/>
    </row>
    <row r="21" spans="1:13" ht="19.5" customHeight="1">
      <c r="A21" s="3832"/>
      <c r="B21" s="3825"/>
      <c r="C21" s="3103" t="s">
        <v>2439</v>
      </c>
      <c r="D21" s="3104"/>
      <c r="E21" s="3105">
        <v>1</v>
      </c>
      <c r="F21" s="3102" t="s">
        <v>2440</v>
      </c>
      <c r="G21" s="3102"/>
    </row>
    <row r="22" spans="1:13" ht="19.5" customHeight="1">
      <c r="A22" s="3832"/>
      <c r="B22" s="3825"/>
      <c r="C22" s="3103" t="s">
        <v>2441</v>
      </c>
      <c r="D22" s="3104"/>
      <c r="E22" s="3105">
        <v>0.9</v>
      </c>
      <c r="F22" s="3102" t="s">
        <v>2442</v>
      </c>
      <c r="G22" s="3102"/>
    </row>
    <row r="23" spans="1:13" ht="19.5" customHeight="1">
      <c r="A23" s="3832"/>
      <c r="B23" s="3825"/>
      <c r="C23" s="3103" t="s">
        <v>2443</v>
      </c>
      <c r="D23" s="3104"/>
      <c r="E23" s="3105">
        <v>0.9</v>
      </c>
      <c r="F23" s="3102" t="s">
        <v>2444</v>
      </c>
      <c r="G23" s="3102"/>
    </row>
    <row r="24" spans="1:13" ht="19.5" customHeight="1">
      <c r="A24" s="3832"/>
      <c r="B24" s="3825"/>
      <c r="C24" s="3103" t="s">
        <v>2445</v>
      </c>
      <c r="D24" s="3104"/>
      <c r="E24" s="3105">
        <v>0.8</v>
      </c>
      <c r="F24" s="3102" t="s">
        <v>2446</v>
      </c>
      <c r="G24" s="3102"/>
    </row>
    <row r="25" spans="1:13" ht="19.5" customHeight="1" thickBot="1">
      <c r="A25" s="3833"/>
      <c r="B25" s="3826"/>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827" t="s">
        <v>2629</v>
      </c>
      <c r="B27" s="3824" t="s">
        <v>2610</v>
      </c>
      <c r="C27" s="3099" t="s">
        <v>2450</v>
      </c>
      <c r="D27" s="3100"/>
      <c r="E27" s="3101">
        <v>1</v>
      </c>
      <c r="F27" s="3102" t="s">
        <v>2451</v>
      </c>
      <c r="G27" s="3102"/>
    </row>
    <row r="28" spans="1:13" ht="19.5" customHeight="1">
      <c r="A28" s="3828"/>
      <c r="B28" s="3825"/>
      <c r="C28" s="3103" t="s">
        <v>2452</v>
      </c>
      <c r="D28" s="3104"/>
      <c r="E28" s="3105">
        <v>1</v>
      </c>
      <c r="F28" s="3102" t="s">
        <v>2453</v>
      </c>
      <c r="G28" s="3102"/>
    </row>
    <row r="29" spans="1:13" ht="19.5" customHeight="1">
      <c r="A29" s="3828"/>
      <c r="B29" s="3825"/>
      <c r="C29" s="3103" t="s">
        <v>2454</v>
      </c>
      <c r="D29" s="3104"/>
      <c r="E29" s="3105">
        <v>0.8</v>
      </c>
      <c r="F29" s="3102" t="s">
        <v>2455</v>
      </c>
      <c r="G29" s="3102"/>
    </row>
    <row r="30" spans="1:13" ht="19.5" customHeight="1">
      <c r="A30" s="3828"/>
      <c r="B30" s="3825"/>
      <c r="C30" s="3103" t="s">
        <v>2456</v>
      </c>
      <c r="D30" s="3104"/>
      <c r="E30" s="3105">
        <v>0.8</v>
      </c>
      <c r="F30" s="3102" t="s">
        <v>2457</v>
      </c>
      <c r="G30" s="3102"/>
    </row>
    <row r="31" spans="1:13" ht="19.5" customHeight="1">
      <c r="A31" s="3828"/>
      <c r="B31" s="3825"/>
      <c r="C31" s="3103" t="s">
        <v>2458</v>
      </c>
      <c r="D31" s="3104"/>
      <c r="E31" s="3105">
        <v>0.8</v>
      </c>
      <c r="F31" s="3102" t="s">
        <v>2459</v>
      </c>
      <c r="G31" s="3102"/>
    </row>
    <row r="32" spans="1:13" ht="19.5" customHeight="1">
      <c r="A32" s="3828"/>
      <c r="B32" s="3825"/>
      <c r="C32" s="3103" t="s">
        <v>2460</v>
      </c>
      <c r="D32" s="3104"/>
      <c r="E32" s="3105">
        <v>0.7</v>
      </c>
      <c r="F32" s="3102" t="s">
        <v>2461</v>
      </c>
      <c r="G32" s="3102"/>
    </row>
    <row r="33" spans="1:7" ht="19.5" customHeight="1">
      <c r="A33" s="3828"/>
      <c r="B33" s="3825"/>
      <c r="C33" s="3103" t="s">
        <v>2462</v>
      </c>
      <c r="D33" s="3104"/>
      <c r="E33" s="3105">
        <v>0.8</v>
      </c>
      <c r="F33" s="3102" t="s">
        <v>2463</v>
      </c>
      <c r="G33" s="3102"/>
    </row>
    <row r="34" spans="1:7" ht="19.5" customHeight="1">
      <c r="A34" s="3828"/>
      <c r="B34" s="3825"/>
      <c r="C34" s="3103" t="s">
        <v>2464</v>
      </c>
      <c r="D34" s="3104"/>
      <c r="E34" s="3105">
        <v>0.6</v>
      </c>
      <c r="F34" s="3102" t="s">
        <v>2465</v>
      </c>
      <c r="G34" s="3102"/>
    </row>
    <row r="35" spans="1:7" ht="19.5" customHeight="1">
      <c r="A35" s="3828"/>
      <c r="B35" s="3825"/>
      <c r="C35" s="3103" t="s">
        <v>2466</v>
      </c>
      <c r="D35" s="3104"/>
      <c r="E35" s="3105">
        <v>0.2</v>
      </c>
      <c r="F35" s="3102" t="s">
        <v>2467</v>
      </c>
      <c r="G35" s="3102"/>
    </row>
    <row r="36" spans="1:7" ht="19.5" customHeight="1">
      <c r="A36" s="3828"/>
      <c r="B36" s="3825"/>
      <c r="C36" s="3103" t="s">
        <v>2468</v>
      </c>
      <c r="D36" s="3104"/>
      <c r="E36" s="3105">
        <v>0.2</v>
      </c>
      <c r="F36" s="3102" t="s">
        <v>2469</v>
      </c>
      <c r="G36" s="3102"/>
    </row>
    <row r="37" spans="1:7" ht="19.5" customHeight="1">
      <c r="A37" s="3828"/>
      <c r="B37" s="3830" t="s">
        <v>2630</v>
      </c>
      <c r="C37" s="3103" t="s">
        <v>2470</v>
      </c>
      <c r="D37" s="3104"/>
      <c r="E37" s="3105">
        <v>0.6</v>
      </c>
      <c r="F37" s="3102" t="s">
        <v>2471</v>
      </c>
      <c r="G37" s="3102"/>
    </row>
    <row r="38" spans="1:7" ht="19.5" customHeight="1">
      <c r="A38" s="3828"/>
      <c r="B38" s="3825"/>
      <c r="C38" s="3103" t="s">
        <v>2472</v>
      </c>
      <c r="D38" s="3104"/>
      <c r="E38" s="3105">
        <v>0.6</v>
      </c>
      <c r="F38" s="3102" t="s">
        <v>2473</v>
      </c>
      <c r="G38" s="3102"/>
    </row>
    <row r="39" spans="1:7" ht="19.5" customHeight="1" thickBot="1">
      <c r="A39" s="3829"/>
      <c r="B39" s="3826"/>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831" t="s">
        <v>2608</v>
      </c>
      <c r="B41" s="3824" t="s">
        <v>2632</v>
      </c>
      <c r="C41" s="3099" t="s">
        <v>2477</v>
      </c>
      <c r="D41" s="3100"/>
      <c r="E41" s="3101">
        <v>1</v>
      </c>
      <c r="F41" s="3102" t="s">
        <v>2478</v>
      </c>
      <c r="G41" s="3102"/>
    </row>
    <row r="42" spans="1:7" ht="19.5" customHeight="1">
      <c r="A42" s="3832"/>
      <c r="B42" s="3825"/>
      <c r="C42" s="3103" t="s">
        <v>2479</v>
      </c>
      <c r="D42" s="3104"/>
      <c r="E42" s="3105">
        <v>1</v>
      </c>
      <c r="F42" s="3102" t="s">
        <v>2480</v>
      </c>
      <c r="G42" s="3102"/>
    </row>
    <row r="43" spans="1:7" ht="19.5" customHeight="1">
      <c r="A43" s="3832"/>
      <c r="B43" s="3834"/>
      <c r="C43" s="3103" t="s">
        <v>2481</v>
      </c>
      <c r="D43" s="3104"/>
      <c r="E43" s="3105">
        <v>1.5</v>
      </c>
      <c r="F43" s="3102" t="s">
        <v>2482</v>
      </c>
      <c r="G43" s="3102"/>
    </row>
    <row r="44" spans="1:7" ht="19.5" customHeight="1">
      <c r="A44" s="3832"/>
      <c r="B44" s="3114" t="s">
        <v>2633</v>
      </c>
      <c r="C44" s="3103" t="s">
        <v>2634</v>
      </c>
      <c r="D44" s="3104"/>
      <c r="E44" s="3105">
        <v>2</v>
      </c>
      <c r="F44" s="3102" t="s">
        <v>2483</v>
      </c>
      <c r="G44" s="3102"/>
    </row>
    <row r="45" spans="1:7" ht="19.5" customHeight="1">
      <c r="A45" s="3832"/>
      <c r="B45" s="3830" t="s">
        <v>2635</v>
      </c>
      <c r="C45" s="3103" t="s">
        <v>2484</v>
      </c>
      <c r="D45" s="3104"/>
      <c r="E45" s="3105">
        <v>1</v>
      </c>
      <c r="F45" s="3102" t="s">
        <v>2485</v>
      </c>
      <c r="G45" s="3102"/>
    </row>
    <row r="46" spans="1:7" ht="19.5" customHeight="1">
      <c r="A46" s="3832"/>
      <c r="B46" s="3825"/>
      <c r="C46" s="3103" t="s">
        <v>2486</v>
      </c>
      <c r="D46" s="3104"/>
      <c r="E46" s="3105">
        <v>1</v>
      </c>
      <c r="F46" s="3102" t="s">
        <v>2487</v>
      </c>
      <c r="G46" s="3102"/>
    </row>
    <row r="47" spans="1:7" ht="19.5" customHeight="1">
      <c r="A47" s="3832"/>
      <c r="B47" s="3825"/>
      <c r="C47" s="3103" t="s">
        <v>2488</v>
      </c>
      <c r="D47" s="3104"/>
      <c r="E47" s="3105">
        <v>1</v>
      </c>
      <c r="F47" s="3102" t="s">
        <v>2489</v>
      </c>
      <c r="G47" s="3102"/>
    </row>
    <row r="48" spans="1:7" ht="19.5" customHeight="1">
      <c r="A48" s="3832"/>
      <c r="B48" s="3825"/>
      <c r="C48" s="3103" t="s">
        <v>2490</v>
      </c>
      <c r="D48" s="3104"/>
      <c r="E48" s="3105">
        <v>1</v>
      </c>
      <c r="F48" s="3102" t="s">
        <v>2491</v>
      </c>
      <c r="G48" s="3102"/>
    </row>
    <row r="49" spans="1:7" ht="19.5" customHeight="1">
      <c r="A49" s="3832"/>
      <c r="B49" s="3825"/>
      <c r="C49" s="3103" t="s">
        <v>2492</v>
      </c>
      <c r="D49" s="3104"/>
      <c r="E49" s="3105">
        <v>1</v>
      </c>
      <c r="F49" s="3102" t="s">
        <v>2493</v>
      </c>
      <c r="G49" s="3102"/>
    </row>
    <row r="50" spans="1:7" ht="19.5" customHeight="1">
      <c r="A50" s="3832"/>
      <c r="B50" s="3825"/>
      <c r="C50" s="3103" t="s">
        <v>2494</v>
      </c>
      <c r="D50" s="3104"/>
      <c r="E50" s="3105">
        <v>1</v>
      </c>
      <c r="F50" s="3102" t="s">
        <v>2495</v>
      </c>
      <c r="G50" s="3102"/>
    </row>
    <row r="51" spans="1:7" ht="19.5" customHeight="1" thickBot="1">
      <c r="A51" s="3833"/>
      <c r="B51" s="3826"/>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830" t="s">
        <v>2649</v>
      </c>
      <c r="C73" s="3088" t="s">
        <v>2650</v>
      </c>
      <c r="D73" s="3088" t="s">
        <v>2651</v>
      </c>
      <c r="E73" s="3114">
        <v>0.2</v>
      </c>
      <c r="F73" s="3114">
        <v>25</v>
      </c>
    </row>
    <row r="74" spans="1:7" ht="24">
      <c r="A74" s="3114">
        <v>2</v>
      </c>
      <c r="B74" s="3825"/>
      <c r="C74" s="3088" t="s">
        <v>2652</v>
      </c>
      <c r="D74" s="3088" t="s">
        <v>2653</v>
      </c>
      <c r="E74" s="3114">
        <v>0.2</v>
      </c>
      <c r="F74" s="3114">
        <v>25</v>
      </c>
    </row>
    <row r="75" spans="1:7" ht="24">
      <c r="A75" s="3114">
        <v>3</v>
      </c>
      <c r="B75" s="3825"/>
      <c r="C75" s="3088" t="s">
        <v>2654</v>
      </c>
      <c r="D75" s="3088" t="s">
        <v>2655</v>
      </c>
      <c r="E75" s="3114">
        <v>0.2</v>
      </c>
      <c r="F75" s="3114">
        <v>25</v>
      </c>
    </row>
    <row r="76" spans="1:7" ht="13.5">
      <c r="A76" s="3114">
        <v>4</v>
      </c>
      <c r="B76" s="3825"/>
      <c r="C76" s="3088" t="s">
        <v>2656</v>
      </c>
      <c r="D76" s="3088" t="s">
        <v>2657</v>
      </c>
      <c r="E76" s="3114">
        <v>0.15</v>
      </c>
      <c r="F76" s="3114">
        <v>20</v>
      </c>
    </row>
    <row r="77" spans="1:7" ht="24">
      <c r="A77" s="3114">
        <v>5</v>
      </c>
      <c r="B77" s="3825"/>
      <c r="C77" s="3088" t="s">
        <v>2658</v>
      </c>
      <c r="D77" s="3088" t="s">
        <v>2659</v>
      </c>
      <c r="E77" s="3114">
        <v>0.15</v>
      </c>
      <c r="F77" s="3114">
        <v>20</v>
      </c>
    </row>
    <row r="78" spans="1:7" ht="24">
      <c r="A78" s="3114">
        <v>6</v>
      </c>
      <c r="B78" s="3825"/>
      <c r="C78" s="3088" t="s">
        <v>2660</v>
      </c>
      <c r="D78" s="3088" t="s">
        <v>2661</v>
      </c>
      <c r="E78" s="3114">
        <v>0.15</v>
      </c>
      <c r="F78" s="3114">
        <v>20</v>
      </c>
    </row>
    <row r="79" spans="1:7" ht="24">
      <c r="A79" s="3114">
        <v>7</v>
      </c>
      <c r="B79" s="3825"/>
      <c r="C79" s="3088" t="s">
        <v>2662</v>
      </c>
      <c r="D79" s="3088" t="s">
        <v>2663</v>
      </c>
      <c r="E79" s="3114">
        <v>0.15</v>
      </c>
      <c r="F79" s="3114">
        <v>20</v>
      </c>
    </row>
    <row r="80" spans="1:7" ht="24">
      <c r="A80" s="3114">
        <v>8</v>
      </c>
      <c r="B80" s="3825"/>
      <c r="C80" s="3088" t="s">
        <v>2664</v>
      </c>
      <c r="D80" s="3088" t="s">
        <v>2665</v>
      </c>
      <c r="E80" s="3114">
        <v>0.1</v>
      </c>
      <c r="F80" s="3114">
        <v>15</v>
      </c>
    </row>
    <row r="81" spans="1:6" ht="24">
      <c r="A81" s="3114">
        <v>9</v>
      </c>
      <c r="B81" s="3825"/>
      <c r="C81" s="3088" t="s">
        <v>2666</v>
      </c>
      <c r="D81" s="3088" t="s">
        <v>2667</v>
      </c>
      <c r="E81" s="3114">
        <v>0.1</v>
      </c>
      <c r="F81" s="3114">
        <v>15</v>
      </c>
    </row>
    <row r="82" spans="1:6" ht="24">
      <c r="A82" s="3114">
        <v>10</v>
      </c>
      <c r="B82" s="3825"/>
      <c r="C82" s="3088" t="s">
        <v>2668</v>
      </c>
      <c r="D82" s="3088" t="s">
        <v>2669</v>
      </c>
      <c r="E82" s="3114">
        <v>0.1</v>
      </c>
      <c r="F82" s="3114">
        <v>15</v>
      </c>
    </row>
    <row r="83" spans="1:6" ht="24">
      <c r="A83" s="3114">
        <v>11</v>
      </c>
      <c r="B83" s="3825"/>
      <c r="C83" s="3088" t="s">
        <v>2670</v>
      </c>
      <c r="D83" s="3088" t="s">
        <v>2671</v>
      </c>
      <c r="E83" s="3114">
        <v>0.1</v>
      </c>
      <c r="F83" s="3114">
        <v>15</v>
      </c>
    </row>
    <row r="84" spans="1:6" ht="24">
      <c r="A84" s="3114">
        <v>12</v>
      </c>
      <c r="B84" s="3825"/>
      <c r="C84" s="3088" t="s">
        <v>2672</v>
      </c>
      <c r="D84" s="3088" t="s">
        <v>2673</v>
      </c>
      <c r="E84" s="3114">
        <v>0.1</v>
      </c>
      <c r="F84" s="3114">
        <v>15</v>
      </c>
    </row>
    <row r="85" spans="1:6" ht="13.5">
      <c r="A85" s="3114">
        <v>13</v>
      </c>
      <c r="B85" s="3825"/>
      <c r="C85" s="3088" t="s">
        <v>2674</v>
      </c>
      <c r="D85" s="3088" t="s">
        <v>2675</v>
      </c>
      <c r="E85" s="3114">
        <v>0.1</v>
      </c>
      <c r="F85" s="3114">
        <v>15</v>
      </c>
    </row>
    <row r="86" spans="1:6" ht="13.5">
      <c r="A86" s="3114">
        <v>14</v>
      </c>
      <c r="B86" s="3825"/>
      <c r="C86" s="3088" t="s">
        <v>2676</v>
      </c>
      <c r="D86" s="3088" t="s">
        <v>2677</v>
      </c>
      <c r="E86" s="3114">
        <v>0.1</v>
      </c>
      <c r="F86" s="3114">
        <v>15</v>
      </c>
    </row>
    <row r="87" spans="1:6" ht="13.5">
      <c r="A87" s="3114">
        <v>15</v>
      </c>
      <c r="B87" s="3825"/>
      <c r="C87" s="3088" t="s">
        <v>2678</v>
      </c>
      <c r="D87" s="3088" t="s">
        <v>2679</v>
      </c>
      <c r="E87" s="3114">
        <v>0.1</v>
      </c>
      <c r="F87" s="3114">
        <v>15</v>
      </c>
    </row>
    <row r="88" spans="1:6" ht="24">
      <c r="A88" s="3114">
        <v>16</v>
      </c>
      <c r="B88" s="3825"/>
      <c r="C88" s="3088" t="s">
        <v>2680</v>
      </c>
      <c r="D88" s="3088" t="s">
        <v>2681</v>
      </c>
      <c r="E88" s="3114">
        <v>0.1</v>
      </c>
      <c r="F88" s="3114">
        <v>15</v>
      </c>
    </row>
    <row r="89" spans="1:6" ht="24">
      <c r="A89" s="3114">
        <v>17</v>
      </c>
      <c r="B89" s="3834"/>
      <c r="C89" s="3088" t="s">
        <v>2682</v>
      </c>
      <c r="D89" s="3088" t="s">
        <v>2683</v>
      </c>
      <c r="E89" s="3114">
        <v>0.1</v>
      </c>
      <c r="F89" s="3114">
        <v>15</v>
      </c>
    </row>
    <row r="90" spans="1:6" ht="13.5">
      <c r="A90" s="3114">
        <v>18</v>
      </c>
      <c r="B90" s="3830" t="s">
        <v>2684</v>
      </c>
      <c r="C90" s="3088" t="s">
        <v>2685</v>
      </c>
      <c r="D90" s="3088" t="s">
        <v>2686</v>
      </c>
      <c r="E90" s="3114">
        <v>0.2</v>
      </c>
      <c r="F90" s="3114">
        <v>25</v>
      </c>
    </row>
    <row r="91" spans="1:6" ht="24">
      <c r="A91" s="3114">
        <v>19</v>
      </c>
      <c r="B91" s="3825"/>
      <c r="C91" s="3088" t="s">
        <v>2687</v>
      </c>
      <c r="D91" s="3088" t="s">
        <v>2688</v>
      </c>
      <c r="E91" s="3114">
        <v>0.2</v>
      </c>
      <c r="F91" s="3114">
        <v>25</v>
      </c>
    </row>
    <row r="92" spans="1:6" ht="13.5">
      <c r="A92" s="3114">
        <v>20</v>
      </c>
      <c r="B92" s="3825"/>
      <c r="C92" s="3088" t="s">
        <v>2689</v>
      </c>
      <c r="D92" s="3088" t="s">
        <v>2690</v>
      </c>
      <c r="E92" s="3114">
        <v>0.15</v>
      </c>
      <c r="F92" s="3114">
        <v>20</v>
      </c>
    </row>
    <row r="93" spans="1:6" ht="13.5">
      <c r="A93" s="3114">
        <v>21</v>
      </c>
      <c r="B93" s="3825"/>
      <c r="C93" s="3088" t="s">
        <v>2691</v>
      </c>
      <c r="D93" s="3088" t="s">
        <v>2692</v>
      </c>
      <c r="E93" s="3114">
        <v>0.15</v>
      </c>
      <c r="F93" s="3114">
        <v>20</v>
      </c>
    </row>
    <row r="94" spans="1:6" ht="13.5">
      <c r="A94" s="3114">
        <v>22</v>
      </c>
      <c r="B94" s="3825"/>
      <c r="C94" s="3088" t="s">
        <v>2693</v>
      </c>
      <c r="D94" s="3088" t="s">
        <v>2694</v>
      </c>
      <c r="E94" s="3114">
        <v>0.15</v>
      </c>
      <c r="F94" s="3114">
        <v>20</v>
      </c>
    </row>
    <row r="95" spans="1:6" ht="36">
      <c r="A95" s="3114">
        <v>23</v>
      </c>
      <c r="B95" s="3825"/>
      <c r="C95" s="3088" t="s">
        <v>2695</v>
      </c>
      <c r="D95" s="3088" t="s">
        <v>2696</v>
      </c>
      <c r="E95" s="3114">
        <v>0.15</v>
      </c>
      <c r="F95" s="3114">
        <v>20</v>
      </c>
    </row>
    <row r="96" spans="1:6" ht="13.5">
      <c r="A96" s="3114">
        <v>24</v>
      </c>
      <c r="B96" s="3825"/>
      <c r="C96" s="3088" t="s">
        <v>2697</v>
      </c>
      <c r="D96" s="3088" t="s">
        <v>2698</v>
      </c>
      <c r="E96" s="3114">
        <v>0.1</v>
      </c>
      <c r="F96" s="3114">
        <v>15</v>
      </c>
    </row>
    <row r="97" spans="1:6" ht="13.5">
      <c r="A97" s="3114">
        <v>25</v>
      </c>
      <c r="B97" s="3825"/>
      <c r="C97" s="3088" t="s">
        <v>2699</v>
      </c>
      <c r="D97" s="3088" t="s">
        <v>2700</v>
      </c>
      <c r="E97" s="3114">
        <v>0.1</v>
      </c>
      <c r="F97" s="3114">
        <v>15</v>
      </c>
    </row>
    <row r="98" spans="1:6" ht="24">
      <c r="A98" s="3114">
        <v>26</v>
      </c>
      <c r="B98" s="3825"/>
      <c r="C98" s="3088" t="s">
        <v>2701</v>
      </c>
      <c r="D98" s="3088" t="s">
        <v>2702</v>
      </c>
      <c r="E98" s="3114">
        <v>0.1</v>
      </c>
      <c r="F98" s="3114">
        <v>15</v>
      </c>
    </row>
    <row r="99" spans="1:6" ht="24">
      <c r="A99" s="3114">
        <v>27</v>
      </c>
      <c r="B99" s="3825"/>
      <c r="C99" s="3088" t="s">
        <v>2703</v>
      </c>
      <c r="D99" s="3088" t="s">
        <v>2704</v>
      </c>
      <c r="E99" s="3114">
        <v>0.1</v>
      </c>
      <c r="F99" s="3114">
        <v>15</v>
      </c>
    </row>
    <row r="100" spans="1:6" ht="13.5">
      <c r="A100" s="3114">
        <v>28</v>
      </c>
      <c r="B100" s="3825"/>
      <c r="C100" s="3088" t="s">
        <v>2705</v>
      </c>
      <c r="D100" s="3088" t="s">
        <v>2706</v>
      </c>
      <c r="E100" s="3114">
        <v>0.1</v>
      </c>
      <c r="F100" s="3114">
        <v>15</v>
      </c>
    </row>
    <row r="101" spans="1:6" ht="13.5">
      <c r="A101" s="3114">
        <v>29</v>
      </c>
      <c r="B101" s="3825"/>
      <c r="C101" s="3088" t="s">
        <v>2707</v>
      </c>
      <c r="D101" s="3088" t="s">
        <v>2708</v>
      </c>
      <c r="E101" s="3114">
        <v>0.1</v>
      </c>
      <c r="F101" s="3114">
        <v>15</v>
      </c>
    </row>
    <row r="102" spans="1:6" ht="13.5">
      <c r="A102" s="3114">
        <v>30</v>
      </c>
      <c r="B102" s="3825"/>
      <c r="C102" s="3088" t="s">
        <v>2709</v>
      </c>
      <c r="D102" s="3088" t="s">
        <v>2710</v>
      </c>
      <c r="E102" s="3114">
        <v>0.1</v>
      </c>
      <c r="F102" s="3114">
        <v>15</v>
      </c>
    </row>
    <row r="103" spans="1:6" ht="24">
      <c r="A103" s="3114">
        <v>31</v>
      </c>
      <c r="B103" s="3825"/>
      <c r="C103" s="3088" t="s">
        <v>2711</v>
      </c>
      <c r="D103" s="3088" t="s">
        <v>2712</v>
      </c>
      <c r="E103" s="3114">
        <v>0.1</v>
      </c>
      <c r="F103" s="3114">
        <v>15</v>
      </c>
    </row>
    <row r="104" spans="1:6" ht="24">
      <c r="A104" s="3114">
        <v>32</v>
      </c>
      <c r="B104" s="3825"/>
      <c r="C104" s="3088" t="s">
        <v>2713</v>
      </c>
      <c r="D104" s="3088" t="s">
        <v>2714</v>
      </c>
      <c r="E104" s="3114">
        <v>0.1</v>
      </c>
      <c r="F104" s="3114">
        <v>15</v>
      </c>
    </row>
    <row r="105" spans="1:6" ht="24">
      <c r="A105" s="3114">
        <v>33</v>
      </c>
      <c r="B105" s="3825"/>
      <c r="C105" s="3088" t="s">
        <v>2715</v>
      </c>
      <c r="D105" s="3088" t="s">
        <v>2716</v>
      </c>
      <c r="E105" s="3114">
        <v>0.1</v>
      </c>
      <c r="F105" s="3114">
        <v>15</v>
      </c>
    </row>
    <row r="106" spans="1:6" ht="24">
      <c r="A106" s="3114">
        <v>34</v>
      </c>
      <c r="B106" s="3834"/>
      <c r="C106" s="3088" t="s">
        <v>2717</v>
      </c>
      <c r="D106" s="3088" t="s">
        <v>2718</v>
      </c>
      <c r="E106" s="3114">
        <v>0.1</v>
      </c>
      <c r="F106" s="3114">
        <v>15</v>
      </c>
    </row>
    <row r="107" spans="1:6" ht="24">
      <c r="A107" s="3114">
        <v>35</v>
      </c>
      <c r="B107" s="3830" t="s">
        <v>2719</v>
      </c>
      <c r="C107" s="3114" t="s">
        <v>2720</v>
      </c>
      <c r="D107" s="3088" t="s">
        <v>2721</v>
      </c>
      <c r="E107" s="3114">
        <v>0.15</v>
      </c>
      <c r="F107" s="3114">
        <v>20</v>
      </c>
    </row>
    <row r="108" spans="1:6" ht="13.5">
      <c r="A108" s="3114">
        <v>36</v>
      </c>
      <c r="B108" s="3825"/>
      <c r="C108" s="3114" t="s">
        <v>2722</v>
      </c>
      <c r="D108" s="3088" t="s">
        <v>2723</v>
      </c>
      <c r="E108" s="3114">
        <v>0.15</v>
      </c>
      <c r="F108" s="3114">
        <v>20</v>
      </c>
    </row>
    <row r="109" spans="1:6" ht="13.5">
      <c r="A109" s="3114">
        <v>37</v>
      </c>
      <c r="B109" s="3825"/>
      <c r="C109" s="3114" t="s">
        <v>2724</v>
      </c>
      <c r="D109" s="3088" t="s">
        <v>2725</v>
      </c>
      <c r="E109" s="3114">
        <v>0.15</v>
      </c>
      <c r="F109" s="3114">
        <v>20</v>
      </c>
    </row>
    <row r="110" spans="1:6" ht="13.5">
      <c r="A110" s="3114">
        <v>38</v>
      </c>
      <c r="B110" s="3825"/>
      <c r="C110" s="3114" t="s">
        <v>2726</v>
      </c>
      <c r="D110" s="3088" t="s">
        <v>2727</v>
      </c>
      <c r="E110" s="3114">
        <v>0.1</v>
      </c>
      <c r="F110" s="3114">
        <v>15</v>
      </c>
    </row>
    <row r="111" spans="1:6" ht="24">
      <c r="A111" s="3114">
        <v>39</v>
      </c>
      <c r="B111" s="3825"/>
      <c r="C111" s="3114" t="s">
        <v>2728</v>
      </c>
      <c r="D111" s="3088" t="s">
        <v>2729</v>
      </c>
      <c r="E111" s="3114">
        <v>0.1</v>
      </c>
      <c r="F111" s="3114">
        <v>15</v>
      </c>
    </row>
    <row r="112" spans="1:6" ht="24">
      <c r="A112" s="3114">
        <v>40</v>
      </c>
      <c r="B112" s="3834"/>
      <c r="C112" s="3114" t="s">
        <v>2730</v>
      </c>
      <c r="D112" s="3088" t="s">
        <v>2731</v>
      </c>
      <c r="E112" s="3114">
        <v>0.1</v>
      </c>
      <c r="F112" s="3114">
        <v>15</v>
      </c>
    </row>
    <row r="113" spans="1:6" ht="13.5">
      <c r="A113" s="3114">
        <v>41</v>
      </c>
      <c r="B113" s="3835" t="s">
        <v>2732</v>
      </c>
      <c r="C113" s="3114" t="s">
        <v>2733</v>
      </c>
      <c r="D113" s="3088" t="s">
        <v>2734</v>
      </c>
      <c r="E113" s="3114">
        <v>0.1</v>
      </c>
      <c r="F113" s="3114">
        <v>15</v>
      </c>
    </row>
    <row r="114" spans="1:6" ht="13.5">
      <c r="A114" s="3114">
        <v>42</v>
      </c>
      <c r="B114" s="3835"/>
      <c r="C114" s="3114" t="s">
        <v>2735</v>
      </c>
      <c r="D114" s="3088" t="s">
        <v>2736</v>
      </c>
      <c r="E114" s="3114">
        <v>0.1</v>
      </c>
      <c r="F114" s="3114">
        <v>15</v>
      </c>
    </row>
    <row r="115" spans="1:6" ht="24">
      <c r="A115" s="3114">
        <v>43</v>
      </c>
      <c r="B115" s="3835"/>
      <c r="C115" s="3114" t="s">
        <v>2737</v>
      </c>
      <c r="D115" s="3088" t="s">
        <v>2738</v>
      </c>
      <c r="E115" s="3114">
        <v>0.1</v>
      </c>
      <c r="F115" s="3114">
        <v>15</v>
      </c>
    </row>
    <row r="116" spans="1:6" ht="13.5">
      <c r="A116" s="3114">
        <v>44</v>
      </c>
      <c r="B116" s="3830" t="s">
        <v>2739</v>
      </c>
      <c r="C116" s="3114" t="s">
        <v>2740</v>
      </c>
      <c r="D116" s="3088" t="s">
        <v>2741</v>
      </c>
      <c r="E116" s="3114">
        <v>0.1</v>
      </c>
      <c r="F116" s="3114">
        <v>15</v>
      </c>
    </row>
    <row r="117" spans="1:6" ht="24">
      <c r="A117" s="3114">
        <v>45</v>
      </c>
      <c r="B117" s="3834"/>
      <c r="C117" s="3088" t="s">
        <v>2742</v>
      </c>
      <c r="D117" s="3088" t="s">
        <v>2743</v>
      </c>
      <c r="E117" s="3114">
        <v>0.1</v>
      </c>
      <c r="F117" s="3114">
        <v>15</v>
      </c>
    </row>
    <row r="118" spans="1:6" ht="24">
      <c r="A118" s="3114">
        <v>46</v>
      </c>
      <c r="B118" s="3830" t="s">
        <v>2744</v>
      </c>
      <c r="C118" s="3114" t="s">
        <v>2745</v>
      </c>
      <c r="D118" s="3088" t="s">
        <v>2746</v>
      </c>
      <c r="E118" s="3114">
        <v>0.1</v>
      </c>
      <c r="F118" s="3114">
        <v>15</v>
      </c>
    </row>
    <row r="119" spans="1:6" ht="24">
      <c r="A119" s="3114">
        <v>47</v>
      </c>
      <c r="B119" s="3834"/>
      <c r="C119" s="3114" t="s">
        <v>2747</v>
      </c>
      <c r="D119" s="3088" t="s">
        <v>2748</v>
      </c>
      <c r="E119" s="3114">
        <v>0.1</v>
      </c>
      <c r="F119" s="3114">
        <v>15</v>
      </c>
    </row>
    <row r="120" spans="1:6" ht="13.5">
      <c r="A120" s="3114">
        <v>48</v>
      </c>
      <c r="B120" s="3830" t="s">
        <v>2749</v>
      </c>
      <c r="C120" s="3114" t="s">
        <v>2750</v>
      </c>
      <c r="D120" s="3088" t="s">
        <v>2751</v>
      </c>
      <c r="E120" s="3114">
        <v>0.1</v>
      </c>
      <c r="F120" s="3114">
        <v>15</v>
      </c>
    </row>
    <row r="121" spans="1:6" ht="13.5">
      <c r="A121" s="3114">
        <v>49</v>
      </c>
      <c r="B121" s="3834"/>
      <c r="C121" s="3114" t="s">
        <v>2752</v>
      </c>
      <c r="D121" s="3088" t="s">
        <v>2753</v>
      </c>
      <c r="E121" s="3114">
        <v>0.1</v>
      </c>
      <c r="F121" s="3114">
        <v>15</v>
      </c>
    </row>
    <row r="122" spans="1:6" ht="24">
      <c r="A122" s="3114">
        <v>50</v>
      </c>
      <c r="B122" s="3835" t="s">
        <v>2754</v>
      </c>
      <c r="C122" s="3114" t="s">
        <v>2755</v>
      </c>
      <c r="D122" s="3088" t="s">
        <v>2756</v>
      </c>
      <c r="E122" s="3114">
        <v>0.1</v>
      </c>
      <c r="F122" s="3114">
        <v>15</v>
      </c>
    </row>
    <row r="123" spans="1:6" ht="24">
      <c r="A123" s="3114">
        <v>51</v>
      </c>
      <c r="B123" s="3835"/>
      <c r="C123" s="3114" t="s">
        <v>2757</v>
      </c>
      <c r="D123" s="3088" t="s">
        <v>2758</v>
      </c>
      <c r="E123" s="3114">
        <v>0.1</v>
      </c>
      <c r="F123" s="3114">
        <v>15</v>
      </c>
    </row>
    <row r="124" spans="1:6" ht="24">
      <c r="A124" s="3114">
        <v>52</v>
      </c>
      <c r="B124" s="3835" t="s">
        <v>2759</v>
      </c>
      <c r="C124" s="3114" t="s">
        <v>2760</v>
      </c>
      <c r="D124" s="3088" t="s">
        <v>2761</v>
      </c>
      <c r="E124" s="3114">
        <v>0.1</v>
      </c>
      <c r="F124" s="3114">
        <v>15</v>
      </c>
    </row>
    <row r="125" spans="1:6" ht="24">
      <c r="A125" s="3114">
        <v>53</v>
      </c>
      <c r="B125" s="3835"/>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835" t="s">
        <v>2767</v>
      </c>
      <c r="C127" s="3114" t="s">
        <v>2768</v>
      </c>
      <c r="D127" s="3088" t="s">
        <v>2769</v>
      </c>
      <c r="E127" s="3114">
        <v>0.1</v>
      </c>
      <c r="F127" s="3114">
        <v>15</v>
      </c>
    </row>
    <row r="128" spans="1:6" ht="13.5">
      <c r="A128" s="3114">
        <v>56</v>
      </c>
      <c r="B128" s="3835"/>
      <c r="C128" s="3114" t="s">
        <v>2770</v>
      </c>
      <c r="D128" s="3088" t="s">
        <v>2771</v>
      </c>
      <c r="E128" s="3114">
        <v>0.1</v>
      </c>
      <c r="F128" s="3114">
        <v>15</v>
      </c>
    </row>
    <row r="129" spans="1:6" ht="24">
      <c r="A129" s="3114">
        <v>57</v>
      </c>
      <c r="B129" s="3835"/>
      <c r="C129" s="3114" t="s">
        <v>2772</v>
      </c>
      <c r="D129" s="3088" t="s">
        <v>2773</v>
      </c>
      <c r="E129" s="3114">
        <v>0.1</v>
      </c>
      <c r="F129" s="3114">
        <v>15</v>
      </c>
    </row>
    <row r="130" spans="1:6" ht="24">
      <c r="A130" s="3114">
        <v>58</v>
      </c>
      <c r="B130" s="3835" t="s">
        <v>2774</v>
      </c>
      <c r="C130" s="3114" t="s">
        <v>2775</v>
      </c>
      <c r="D130" s="3088" t="s">
        <v>2776</v>
      </c>
      <c r="E130" s="3114">
        <v>0.1</v>
      </c>
      <c r="F130" s="3114">
        <v>15</v>
      </c>
    </row>
    <row r="131" spans="1:6" ht="13.5">
      <c r="A131" s="3114">
        <v>59</v>
      </c>
      <c r="B131" s="3835"/>
      <c r="C131" s="3114" t="s">
        <v>2777</v>
      </c>
      <c r="D131" s="3088" t="s">
        <v>2778</v>
      </c>
      <c r="E131" s="3114">
        <v>0.1</v>
      </c>
      <c r="F131" s="3114">
        <v>15</v>
      </c>
    </row>
    <row r="132" spans="1:6" ht="13.5">
      <c r="A132" s="3114">
        <v>60</v>
      </c>
      <c r="B132" s="3830" t="s">
        <v>2779</v>
      </c>
      <c r="C132" s="3114" t="s">
        <v>2780</v>
      </c>
      <c r="D132" s="3088" t="s">
        <v>2781</v>
      </c>
      <c r="E132" s="3114">
        <v>0.1</v>
      </c>
      <c r="F132" s="3114">
        <v>15</v>
      </c>
    </row>
    <row r="133" spans="1:6" ht="13.5">
      <c r="A133" s="3114">
        <v>61</v>
      </c>
      <c r="B133" s="3834"/>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835" t="s">
        <v>2787</v>
      </c>
      <c r="C135" s="3114" t="s">
        <v>2788</v>
      </c>
      <c r="D135" s="3088" t="s">
        <v>2789</v>
      </c>
      <c r="E135" s="3114">
        <v>0.1</v>
      </c>
      <c r="F135" s="3114">
        <v>15</v>
      </c>
    </row>
    <row r="136" spans="1:6" ht="13.5">
      <c r="A136" s="3114">
        <v>64</v>
      </c>
      <c r="B136" s="3835"/>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1.0512999999999999</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1</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44247</v>
      </c>
      <c r="C2" s="2" t="s">
        <v>106</v>
      </c>
      <c r="D2" s="199"/>
      <c r="E2" s="199"/>
      <c r="F2" s="199"/>
      <c r="G2" s="199"/>
    </row>
    <row r="3" spans="1:7" s="200" customFormat="1" ht="18" customHeight="1" thickBot="1">
      <c r="A3" s="203" t="s">
        <v>58</v>
      </c>
      <c r="B3" s="204">
        <f ca="1">ROUND(B2*10000/'数据-汇总表'!E3,0)</f>
        <v>27153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326</v>
      </c>
      <c r="D10" s="845">
        <f>'数据-汇总表'!E6</f>
        <v>16295.3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326</v>
      </c>
      <c r="D19" s="849">
        <f>'数据-汇总表'!E3</f>
        <v>16295.3</v>
      </c>
      <c r="E19" s="211">
        <f>'数据-取费表'!B31</f>
        <v>200</v>
      </c>
      <c r="F19" s="231"/>
      <c r="G19" s="1" t="s">
        <v>436</v>
      </c>
    </row>
    <row r="20" spans="1:7" s="214" customFormat="1" ht="13.5" customHeight="1">
      <c r="A20" s="777" t="s">
        <v>419</v>
      </c>
      <c r="B20" s="210" t="s">
        <v>77</v>
      </c>
      <c r="C20" s="232">
        <f>ROUND((C5+C19)*F20,0)</f>
        <v>628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1338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3235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3235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10592</v>
      </c>
      <c r="D34" s="217"/>
      <c r="E34" s="220"/>
      <c r="F34" s="257">
        <f>IF('数据-取费表'!B24=0,1,'数据-取费表'!N16)</f>
        <v>1</v>
      </c>
      <c r="G34" s="219" t="s">
        <v>89</v>
      </c>
    </row>
    <row r="35" spans="1:7" ht="13.5" customHeight="1">
      <c r="A35" s="780" t="s">
        <v>351</v>
      </c>
      <c r="B35" s="215" t="s">
        <v>33</v>
      </c>
      <c r="C35" s="220">
        <f>ROUND(C34*F35,0)</f>
        <v>530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326</v>
      </c>
      <c r="D37" s="217">
        <f>'数据-汇总表'!E3</f>
        <v>16295.3</v>
      </c>
      <c r="E37" s="249">
        <f>'数据-取费表'!B35</f>
        <v>200</v>
      </c>
      <c r="F37" s="259"/>
      <c r="G37" s="261" t="s">
        <v>92</v>
      </c>
    </row>
    <row r="38" spans="1:7" ht="13.5" customHeight="1">
      <c r="A38" s="780" t="s">
        <v>354</v>
      </c>
      <c r="B38" s="215" t="s">
        <v>36</v>
      </c>
      <c r="C38" s="220">
        <f>ROUND(C34*F38,0)</f>
        <v>212</v>
      </c>
      <c r="D38" s="220"/>
      <c r="E38" s="220"/>
      <c r="F38" s="259">
        <f>'数据-取费表'!B36</f>
        <v>0.02</v>
      </c>
      <c r="G38" s="219" t="s">
        <v>90</v>
      </c>
    </row>
    <row r="39" spans="1:7" s="214" customFormat="1" ht="13.5" customHeight="1">
      <c r="A39" s="777" t="s">
        <v>338</v>
      </c>
      <c r="B39" s="210" t="s">
        <v>77</v>
      </c>
      <c r="C39" s="232">
        <f>ROUND(C33*F20,0)</f>
        <v>350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372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361</v>
      </c>
      <c r="D42" s="238"/>
      <c r="E42" s="238"/>
      <c r="F42" s="239"/>
      <c r="G42" s="3770" t="s">
        <v>94</v>
      </c>
    </row>
    <row r="43" spans="1:7" ht="13.5" customHeight="1">
      <c r="A43" s="780" t="s">
        <v>347</v>
      </c>
      <c r="B43" s="215" t="s">
        <v>426</v>
      </c>
      <c r="C43" s="238">
        <f ca="1">ROUND(IF('数据-取费表'!B22&lt;=1,C39*F22*'数据-取费表'!B21/2,C39*(POWER((1+F22),'数据-取费表'!B21/2)-1)),0)</f>
        <v>11</v>
      </c>
      <c r="D43" s="238"/>
      <c r="E43" s="238"/>
      <c r="F43" s="239"/>
      <c r="G43" s="3771"/>
    </row>
    <row r="44" spans="1:7" ht="13.5" customHeight="1">
      <c r="A44" s="780" t="s">
        <v>348</v>
      </c>
      <c r="B44" s="215" t="s">
        <v>428</v>
      </c>
      <c r="C44" s="238">
        <f ca="1">ROUND(IF('数据-取费表'!B22&lt;=1,C40*F22*'数据-取费表'!B21/2,C40*(POWER((1+F22),'数据-取费表'!B21/2)-1)),4)</f>
        <v>8.9999999999999998E-4</v>
      </c>
      <c r="D44" s="238"/>
      <c r="E44" s="238"/>
      <c r="F44" s="239"/>
      <c r="G44" s="3772"/>
    </row>
    <row r="45" spans="1:7" s="214" customFormat="1" ht="13.5" customHeight="1">
      <c r="A45" s="777" t="s">
        <v>341</v>
      </c>
      <c r="B45" s="244" t="s">
        <v>85</v>
      </c>
      <c r="C45" s="245">
        <f>C46</f>
        <v>1802</v>
      </c>
      <c r="D45" s="235">
        <f>C47</f>
        <v>4.4999999999999997E-3</v>
      </c>
      <c r="E45" s="236" t="s">
        <v>102</v>
      </c>
      <c r="F45" s="246"/>
      <c r="G45" s="247" t="s">
        <v>434</v>
      </c>
    </row>
    <row r="46" spans="1:7" s="214" customFormat="1" ht="13.5" customHeight="1">
      <c r="A46" s="780" t="s">
        <v>349</v>
      </c>
      <c r="B46" s="248" t="s">
        <v>427</v>
      </c>
      <c r="C46" s="249">
        <f>ROUND((C33+C39)*F27,0)</f>
        <v>1802</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15565</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15565</v>
      </c>
      <c r="D51" s="232"/>
      <c r="E51" s="232"/>
      <c r="F51" s="264"/>
      <c r="G51" s="234" t="s">
        <v>37</v>
      </c>
    </row>
    <row r="52" spans="1:7" s="208" customFormat="1" ht="16.5" thickBot="1">
      <c r="A52" s="265" t="s">
        <v>38</v>
      </c>
      <c r="B52" s="266"/>
      <c r="C52" s="267">
        <f ca="1">C31+C51</f>
        <v>44247</v>
      </c>
      <c r="D52" s="266"/>
      <c r="E52" s="266"/>
      <c r="F52" s="266"/>
      <c r="G52" s="268"/>
    </row>
    <row r="55" spans="1:7" ht="15">
      <c r="B55" s="270" t="s">
        <v>39</v>
      </c>
      <c r="C55" s="271"/>
    </row>
    <row r="56" spans="1:7">
      <c r="B56" s="273" t="s">
        <v>40</v>
      </c>
      <c r="C56" s="274">
        <f ca="1">ROUND(C51/C52,3)</f>
        <v>0.35199999999999998</v>
      </c>
    </row>
    <row r="57" spans="1:7">
      <c r="B57" s="273" t="s">
        <v>41</v>
      </c>
      <c r="C57" s="275">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8" t="s">
        <v>2837</v>
      </c>
      <c r="B1" s="3838"/>
      <c r="C1" s="3838"/>
      <c r="D1" s="3838"/>
      <c r="E1" s="3838"/>
      <c r="F1" s="3838"/>
      <c r="G1" s="3839"/>
      <c r="I1" s="3219" t="s">
        <v>2838</v>
      </c>
      <c r="J1" s="3220" t="s">
        <v>2839</v>
      </c>
      <c r="K1" s="3220" t="s">
        <v>2840</v>
      </c>
      <c r="L1" s="3220" t="s">
        <v>2841</v>
      </c>
      <c r="M1" s="3220" t="s">
        <v>2842</v>
      </c>
      <c r="N1" s="3220" t="s">
        <v>2843</v>
      </c>
      <c r="O1" s="3220" t="s">
        <v>2844</v>
      </c>
      <c r="P1" s="3220" t="s">
        <v>2845</v>
      </c>
      <c r="Q1" s="3220" t="s">
        <v>2846</v>
      </c>
      <c r="R1" s="3220" t="s">
        <v>2847</v>
      </c>
      <c r="S1" s="3220" t="s">
        <v>2848</v>
      </c>
      <c r="T1" s="3221" t="s">
        <v>2849</v>
      </c>
    </row>
    <row r="2" spans="1:20" ht="12" thickBot="1">
      <c r="A2" s="3223" t="s">
        <v>2850</v>
      </c>
      <c r="B2" s="3223"/>
      <c r="C2" s="3223"/>
      <c r="D2" s="3223"/>
      <c r="E2" s="3223"/>
      <c r="F2" s="3223"/>
      <c r="G2" s="3224" t="s">
        <v>2851</v>
      </c>
      <c r="I2" s="3225" t="s">
        <v>2852</v>
      </c>
      <c r="J2" s="3225" t="s">
        <v>2853</v>
      </c>
      <c r="K2" s="3225" t="s">
        <v>2854</v>
      </c>
      <c r="L2" s="3225" t="s">
        <v>2855</v>
      </c>
      <c r="M2" s="3225" t="s">
        <v>2856</v>
      </c>
      <c r="N2" s="3225" t="s">
        <v>2857</v>
      </c>
      <c r="O2" s="3225" t="s">
        <v>2858</v>
      </c>
      <c r="P2" s="3225" t="s">
        <v>2859</v>
      </c>
      <c r="Q2" s="3225" t="s">
        <v>2860</v>
      </c>
      <c r="R2" s="3225" t="s">
        <v>2861</v>
      </c>
      <c r="S2" s="3225" t="s">
        <v>2862</v>
      </c>
      <c r="T2" s="3225" t="s">
        <v>2863</v>
      </c>
    </row>
    <row r="3" spans="1:20" s="3231" customFormat="1">
      <c r="A3" s="3836" t="s">
        <v>2864</v>
      </c>
      <c r="B3" s="3226"/>
      <c r="C3" s="3227" t="s">
        <v>2809</v>
      </c>
      <c r="D3" s="3227" t="s">
        <v>2865</v>
      </c>
      <c r="E3" s="3227" t="s">
        <v>2811</v>
      </c>
      <c r="F3" s="3227" t="s">
        <v>2866</v>
      </c>
      <c r="G3" s="3227" t="s">
        <v>2629</v>
      </c>
      <c r="H3" s="3228"/>
      <c r="I3" s="3229" t="s">
        <v>2867</v>
      </c>
      <c r="J3" s="3230" t="s">
        <v>128</v>
      </c>
      <c r="K3" s="3230" t="s">
        <v>129</v>
      </c>
      <c r="L3" s="3229" t="s">
        <v>130</v>
      </c>
      <c r="M3" s="3229" t="s">
        <v>131</v>
      </c>
      <c r="N3" s="3229" t="s">
        <v>132</v>
      </c>
      <c r="O3" s="3229" t="s">
        <v>133</v>
      </c>
      <c r="P3" s="3229" t="s">
        <v>134</v>
      </c>
      <c r="Q3" s="3229" t="s">
        <v>135</v>
      </c>
      <c r="R3" s="3229" t="s">
        <v>136</v>
      </c>
      <c r="S3" s="3229" t="s">
        <v>2868</v>
      </c>
      <c r="T3" s="3229" t="s">
        <v>2869</v>
      </c>
    </row>
    <row r="4" spans="1:20" s="3231" customFormat="1" ht="12" thickBot="1">
      <c r="A4" s="3837"/>
      <c r="B4" s="3232" t="s">
        <v>2870</v>
      </c>
      <c r="C4" s="3232" t="s">
        <v>2871</v>
      </c>
      <c r="D4" s="3232" t="s">
        <v>2871</v>
      </c>
      <c r="E4" s="3232" t="s">
        <v>2871</v>
      </c>
      <c r="F4" s="3233" t="s">
        <v>2871</v>
      </c>
      <c r="G4" s="3233" t="s">
        <v>2871</v>
      </c>
      <c r="H4" s="3228"/>
      <c r="I4" s="3230" t="s">
        <v>137</v>
      </c>
      <c r="J4" s="3230" t="s">
        <v>111</v>
      </c>
      <c r="K4" s="3230" t="s">
        <v>138</v>
      </c>
      <c r="L4" s="3229" t="s">
        <v>139</v>
      </c>
      <c r="M4" s="3229" t="s">
        <v>140</v>
      </c>
      <c r="N4" s="3229" t="s">
        <v>141</v>
      </c>
      <c r="O4" s="3229" t="s">
        <v>142</v>
      </c>
      <c r="P4" s="3229" t="s">
        <v>143</v>
      </c>
      <c r="Q4" s="3229" t="s">
        <v>2872</v>
      </c>
      <c r="R4" s="3229" t="s">
        <v>2873</v>
      </c>
      <c r="S4" s="3229" t="s">
        <v>2874</v>
      </c>
      <c r="T4" s="3229" t="s">
        <v>2875</v>
      </c>
    </row>
    <row r="5" spans="1:20">
      <c r="A5" s="3234" t="s">
        <v>2838</v>
      </c>
      <c r="B5" s="3225" t="s">
        <v>2852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2876</v>
      </c>
      <c r="R5" s="3229" t="s">
        <v>2877</v>
      </c>
      <c r="S5" s="3229" t="s">
        <v>153</v>
      </c>
      <c r="T5" s="3229" t="s">
        <v>2878</v>
      </c>
    </row>
    <row r="6" spans="1:20" ht="12" thickBot="1">
      <c r="A6" s="3229" t="s">
        <v>144</v>
      </c>
      <c r="B6" s="3229" t="s">
        <v>2867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2879</v>
      </c>
      <c r="Q6" s="3229" t="s">
        <v>2880</v>
      </c>
      <c r="R6" s="3229" t="s">
        <v>161</v>
      </c>
      <c r="S6" s="3229" t="s">
        <v>2881</v>
      </c>
      <c r="T6" s="3229" t="s">
        <v>2882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2883</v>
      </c>
      <c r="Q7" s="3229" t="s">
        <v>2884</v>
      </c>
      <c r="R7" s="3229" t="s">
        <v>2885</v>
      </c>
      <c r="S7" s="3229" t="s">
        <v>2886</v>
      </c>
      <c r="T7" s="3229" t="s">
        <v>2887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2888</v>
      </c>
      <c r="Q8" s="3229" t="s">
        <v>174</v>
      </c>
      <c r="R8" s="3229" t="s">
        <v>2889</v>
      </c>
      <c r="S8" s="3229" t="s">
        <v>2890</v>
      </c>
      <c r="T8" s="3236" t="s">
        <v>2891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2892</v>
      </c>
      <c r="Q9" s="3229" t="s">
        <v>182</v>
      </c>
      <c r="R9" s="3229" t="s">
        <v>183</v>
      </c>
      <c r="S9" s="3229" t="s">
        <v>200</v>
      </c>
    </row>
    <row r="10" spans="1:20">
      <c r="A10" s="3234" t="s">
        <v>184</v>
      </c>
      <c r="B10" s="3225" t="s">
        <v>2853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2894</v>
      </c>
      <c r="P11" s="3229" t="s">
        <v>191</v>
      </c>
      <c r="Q11" s="3229" t="s">
        <v>199</v>
      </c>
      <c r="R11" s="3229" t="s">
        <v>2895</v>
      </c>
      <c r="S11" s="3229" t="s">
        <v>2896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2897</v>
      </c>
      <c r="P12" s="3229" t="s">
        <v>2898</v>
      </c>
      <c r="Q12" s="3229" t="s">
        <v>2899</v>
      </c>
      <c r="R12" s="3229" t="s">
        <v>2900</v>
      </c>
      <c r="S12" s="3229" t="s">
        <v>2901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2903</v>
      </c>
      <c r="K14" s="3230" t="s">
        <v>215</v>
      </c>
      <c r="L14" s="3229" t="s">
        <v>216</v>
      </c>
      <c r="M14" s="3229" t="s">
        <v>217</v>
      </c>
      <c r="N14" s="3229" t="s">
        <v>218</v>
      </c>
      <c r="O14" s="3229" t="s">
        <v>240</v>
      </c>
      <c r="P14" s="3229" t="s">
        <v>213</v>
      </c>
      <c r="Q14" s="3229" t="s">
        <v>2904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2905</v>
      </c>
      <c r="P15" s="3229" t="s">
        <v>2906</v>
      </c>
      <c r="Q15" s="3229" t="s">
        <v>242</v>
      </c>
      <c r="R15" s="3229" t="s">
        <v>2907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2908</v>
      </c>
      <c r="P16" s="3229" t="s">
        <v>227</v>
      </c>
      <c r="Q16" s="3229" t="s">
        <v>250</v>
      </c>
      <c r="R16" s="3229" t="s">
        <v>207</v>
      </c>
      <c r="S16" s="3229" t="s">
        <v>2909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2910</v>
      </c>
      <c r="P17" s="3229" t="s">
        <v>2911</v>
      </c>
      <c r="Q17" s="3229" t="s">
        <v>256</v>
      </c>
      <c r="R17" s="3229" t="s">
        <v>2912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2913</v>
      </c>
      <c r="P18" s="3229" t="s">
        <v>241</v>
      </c>
      <c r="Q18" s="3229" t="s">
        <v>2914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2915</v>
      </c>
      <c r="P19" s="3229" t="s">
        <v>249</v>
      </c>
      <c r="Q19" s="3229" t="s">
        <v>2916</v>
      </c>
      <c r="R19" s="3229" t="s">
        <v>265</v>
      </c>
      <c r="S19" s="3229" t="s">
        <v>2917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2918</v>
      </c>
      <c r="P20" s="3229" t="s">
        <v>2919</v>
      </c>
      <c r="Q20" s="3229" t="s">
        <v>290</v>
      </c>
      <c r="R20" s="3229" t="s">
        <v>2920</v>
      </c>
      <c r="S20" s="3229" t="s">
        <v>277</v>
      </c>
    </row>
    <row r="21" spans="1:19" ht="14.25" customHeight="1" thickBot="1">
      <c r="A21" s="3229" t="s">
        <v>184</v>
      </c>
      <c r="B21" s="3230" t="s">
        <v>208</v>
      </c>
      <c r="C21" s="3229">
        <v>32370</v>
      </c>
      <c r="D21" s="3229">
        <v>26730</v>
      </c>
      <c r="E21" s="3229">
        <v>26640</v>
      </c>
      <c r="F21" s="3229"/>
      <c r="G21" s="3229">
        <v>19440</v>
      </c>
      <c r="J21" s="3236" t="s">
        <v>2921</v>
      </c>
      <c r="K21" s="3230" t="s">
        <v>267</v>
      </c>
      <c r="L21" s="3229" t="s">
        <v>268</v>
      </c>
      <c r="M21" s="3229" t="s">
        <v>269</v>
      </c>
      <c r="N21" s="3229" t="s">
        <v>270</v>
      </c>
      <c r="O21" s="3229" t="s">
        <v>264</v>
      </c>
      <c r="P21" s="3229" t="s">
        <v>283</v>
      </c>
      <c r="Q21" s="3229" t="s">
        <v>293</v>
      </c>
      <c r="R21" s="3229" t="s">
        <v>2922</v>
      </c>
      <c r="S21" s="3236" t="s">
        <v>2923</v>
      </c>
    </row>
    <row r="22" spans="1:19" ht="14.25" customHeight="1">
      <c r="A22" s="3229" t="s">
        <v>184</v>
      </c>
      <c r="B22" s="3230" t="s">
        <v>2903</v>
      </c>
      <c r="C22" s="3229">
        <v>29830</v>
      </c>
      <c r="D22" s="3229">
        <v>27600</v>
      </c>
      <c r="E22" s="3229">
        <v>28150</v>
      </c>
      <c r="F22" s="3229"/>
      <c r="G22" s="3229">
        <v>20080</v>
      </c>
      <c r="K22" s="3230" t="s">
        <v>2924</v>
      </c>
      <c r="L22" s="3229" t="s">
        <v>272</v>
      </c>
      <c r="M22" s="3229" t="s">
        <v>273</v>
      </c>
      <c r="N22" s="3229" t="s">
        <v>274</v>
      </c>
      <c r="O22" s="3229" t="s">
        <v>2925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2926</v>
      </c>
      <c r="L23" s="3229" t="s">
        <v>278</v>
      </c>
      <c r="M23" s="3229" t="s">
        <v>279</v>
      </c>
      <c r="N23" s="3229" t="s">
        <v>2927</v>
      </c>
      <c r="O23" s="3229" t="s">
        <v>2928</v>
      </c>
      <c r="P23" s="3229" t="s">
        <v>289</v>
      </c>
      <c r="Q23" s="3229" t="s">
        <v>298</v>
      </c>
      <c r="R23" s="3229" t="s">
        <v>2929</v>
      </c>
    </row>
    <row r="24" spans="1:19" ht="14.25" customHeight="1">
      <c r="A24" s="3229" t="s">
        <v>184</v>
      </c>
      <c r="B24" s="3230" t="s">
        <v>230</v>
      </c>
      <c r="C24" s="3229">
        <v>27930</v>
      </c>
      <c r="D24" s="3229">
        <v>32260</v>
      </c>
      <c r="E24" s="3229">
        <v>32120</v>
      </c>
      <c r="F24" s="3229"/>
      <c r="G24" s="3229">
        <v>23470</v>
      </c>
      <c r="K24" s="3230" t="s">
        <v>2930</v>
      </c>
      <c r="L24" s="3229" t="s">
        <v>281</v>
      </c>
      <c r="M24" s="3229" t="s">
        <v>282</v>
      </c>
      <c r="N24" s="3229" t="s">
        <v>2931</v>
      </c>
      <c r="O24" s="3229" t="s">
        <v>285</v>
      </c>
      <c r="P24" s="3229" t="s">
        <v>2932</v>
      </c>
      <c r="Q24" s="3238" t="s">
        <v>2933</v>
      </c>
      <c r="R24" s="3229" t="s">
        <v>2934</v>
      </c>
    </row>
    <row r="25" spans="1:19" ht="14.25" customHeight="1">
      <c r="A25" s="3229" t="s">
        <v>184</v>
      </c>
      <c r="B25" s="3230" t="s">
        <v>235</v>
      </c>
      <c r="C25" s="3229">
        <v>32230</v>
      </c>
      <c r="D25" s="3229">
        <v>29640</v>
      </c>
      <c r="E25" s="3229">
        <v>29510</v>
      </c>
      <c r="F25" s="3229"/>
      <c r="G25" s="3229">
        <v>21560</v>
      </c>
      <c r="K25" s="3230" t="s">
        <v>2935</v>
      </c>
      <c r="L25" s="3229" t="s">
        <v>2936</v>
      </c>
      <c r="M25" s="3229" t="s">
        <v>284</v>
      </c>
      <c r="N25" s="3229" t="s">
        <v>292</v>
      </c>
      <c r="O25" s="3229" t="s">
        <v>288</v>
      </c>
      <c r="P25" s="3229" t="s">
        <v>275</v>
      </c>
      <c r="Q25" s="3238" t="s">
        <v>271</v>
      </c>
      <c r="R25" s="3229" t="s">
        <v>2937</v>
      </c>
    </row>
    <row r="26" spans="1:19" ht="14.25" customHeight="1" thickBot="1">
      <c r="A26" s="3229" t="s">
        <v>184</v>
      </c>
      <c r="B26" s="3230" t="s">
        <v>244</v>
      </c>
      <c r="C26" s="3229">
        <v>31690</v>
      </c>
      <c r="D26" s="3229">
        <v>27650</v>
      </c>
      <c r="E26" s="3229">
        <v>28200</v>
      </c>
      <c r="F26" s="3229"/>
      <c r="G26" s="3229">
        <v>20110</v>
      </c>
      <c r="K26" s="3235" t="s">
        <v>2938</v>
      </c>
      <c r="L26" s="3229" t="s">
        <v>2939</v>
      </c>
      <c r="M26" s="3229" t="s">
        <v>287</v>
      </c>
      <c r="N26" s="3229" t="s">
        <v>294</v>
      </c>
      <c r="O26" s="3229" t="s">
        <v>2940</v>
      </c>
      <c r="P26" s="3229" t="s">
        <v>2941</v>
      </c>
      <c r="Q26" s="3238" t="s">
        <v>276</v>
      </c>
      <c r="R26" s="3229" t="s">
        <v>2942</v>
      </c>
    </row>
    <row r="27" spans="1:19" ht="14.25" customHeight="1">
      <c r="A27" s="3229" t="s">
        <v>184</v>
      </c>
      <c r="B27" s="3230" t="s">
        <v>251</v>
      </c>
      <c r="C27" s="3229">
        <v>29610</v>
      </c>
      <c r="D27" s="3229">
        <v>27770</v>
      </c>
      <c r="E27" s="3229">
        <v>28300</v>
      </c>
      <c r="F27" s="3229"/>
      <c r="G27" s="3229">
        <v>20210</v>
      </c>
      <c r="L27" s="3229" t="s">
        <v>2943</v>
      </c>
      <c r="M27" s="3229" t="s">
        <v>291</v>
      </c>
      <c r="N27" s="3229" t="s">
        <v>297</v>
      </c>
      <c r="O27" s="3229" t="s">
        <v>2944</v>
      </c>
      <c r="P27" s="3229" t="s">
        <v>2945</v>
      </c>
      <c r="Q27" s="3229" t="s">
        <v>2946</v>
      </c>
      <c r="R27" s="3229" t="s">
        <v>2947</v>
      </c>
    </row>
    <row r="28" spans="1:19" ht="14.25" customHeight="1">
      <c r="A28" s="3229" t="s">
        <v>184</v>
      </c>
      <c r="B28" s="3230" t="s">
        <v>259</v>
      </c>
      <c r="C28" s="3229"/>
      <c r="D28" s="3229">
        <v>31520</v>
      </c>
      <c r="E28" s="3229">
        <v>31410</v>
      </c>
      <c r="F28" s="3229"/>
      <c r="G28" s="3229">
        <v>22940</v>
      </c>
      <c r="L28" s="3229" t="s">
        <v>2948</v>
      </c>
      <c r="M28" s="3229" t="s">
        <v>2949</v>
      </c>
      <c r="N28" s="3229" t="s">
        <v>2950</v>
      </c>
      <c r="O28" s="3229" t="s">
        <v>2951</v>
      </c>
      <c r="P28" s="3229" t="s">
        <v>2952</v>
      </c>
      <c r="Q28" s="3229" t="s">
        <v>2953</v>
      </c>
      <c r="R28" s="3229" t="s">
        <v>2954</v>
      </c>
    </row>
    <row r="29" spans="1:19" ht="14.25" customHeight="1" thickBot="1">
      <c r="A29" s="3237" t="s">
        <v>184</v>
      </c>
      <c r="B29" s="3239" t="s">
        <v>2921</v>
      </c>
      <c r="C29" s="3240"/>
      <c r="D29" s="3240">
        <v>29460</v>
      </c>
      <c r="E29" s="3240">
        <v>28640</v>
      </c>
      <c r="F29" s="3240"/>
      <c r="G29" s="3240">
        <v>21430</v>
      </c>
      <c r="L29" s="3229" t="s">
        <v>2955</v>
      </c>
      <c r="M29" s="3229" t="s">
        <v>2956</v>
      </c>
      <c r="N29" s="3229" t="s">
        <v>2957</v>
      </c>
      <c r="O29" s="3229" t="s">
        <v>2958</v>
      </c>
      <c r="P29" s="3229" t="s">
        <v>2959</v>
      </c>
      <c r="Q29" s="3229" t="s">
        <v>2960</v>
      </c>
      <c r="R29" s="3229" t="s">
        <v>280</v>
      </c>
    </row>
    <row r="30" spans="1:19" ht="14.25" customHeight="1">
      <c r="A30" s="3234" t="s">
        <v>296</v>
      </c>
      <c r="B30" s="3225" t="s">
        <v>2854</v>
      </c>
      <c r="C30" s="3225">
        <v>26890</v>
      </c>
      <c r="D30" s="3225">
        <v>26770</v>
      </c>
      <c r="E30" s="3225">
        <v>25700</v>
      </c>
      <c r="F30" s="3225">
        <v>8180</v>
      </c>
      <c r="G30" s="3241">
        <v>18740</v>
      </c>
      <c r="L30" s="3229" t="s">
        <v>2961</v>
      </c>
      <c r="M30" s="3229" t="s">
        <v>2962</v>
      </c>
      <c r="N30" s="3229" t="s">
        <v>2963</v>
      </c>
      <c r="O30" s="3229" t="s">
        <v>2964</v>
      </c>
      <c r="P30" s="3229" t="s">
        <v>2965</v>
      </c>
      <c r="Q30" s="3229" t="s">
        <v>2966</v>
      </c>
      <c r="R30" s="3229" t="s">
        <v>2967</v>
      </c>
    </row>
    <row r="31" spans="1:19" ht="14.25" customHeight="1">
      <c r="A31" s="3229" t="s">
        <v>296</v>
      </c>
      <c r="B31" s="3230" t="s">
        <v>129</v>
      </c>
      <c r="C31" s="3229">
        <v>24550</v>
      </c>
      <c r="D31" s="3229">
        <v>23990</v>
      </c>
      <c r="E31" s="3229">
        <v>22930</v>
      </c>
      <c r="F31" s="3229">
        <v>7470</v>
      </c>
      <c r="G31" s="3242">
        <v>16790</v>
      </c>
      <c r="L31" s="3229" t="s">
        <v>2968</v>
      </c>
      <c r="M31" s="3229" t="s">
        <v>2969</v>
      </c>
      <c r="N31" s="3229" t="s">
        <v>2970</v>
      </c>
      <c r="O31" s="3229" t="s">
        <v>2971</v>
      </c>
      <c r="P31" s="3229" t="s">
        <v>2972</v>
      </c>
      <c r="Q31" s="3229" t="s">
        <v>2973</v>
      </c>
      <c r="R31" s="3229" t="s">
        <v>2974</v>
      </c>
    </row>
    <row r="32" spans="1:19" ht="14.25" customHeight="1" thickBot="1">
      <c r="A32" s="3229" t="s">
        <v>296</v>
      </c>
      <c r="B32" s="3230" t="s">
        <v>138</v>
      </c>
      <c r="C32" s="3229">
        <v>27210</v>
      </c>
      <c r="D32" s="3229">
        <v>23240</v>
      </c>
      <c r="E32" s="3229">
        <v>23260</v>
      </c>
      <c r="F32" s="3229">
        <v>7130</v>
      </c>
      <c r="G32" s="3242">
        <v>16270</v>
      </c>
      <c r="L32" s="3229" t="s">
        <v>2975</v>
      </c>
      <c r="M32" s="3229" t="s">
        <v>2976</v>
      </c>
      <c r="N32" s="3229" t="s">
        <v>300</v>
      </c>
      <c r="O32" s="3229" t="s">
        <v>2977</v>
      </c>
      <c r="P32" s="3229" t="s">
        <v>299</v>
      </c>
      <c r="Q32" s="3229" t="s">
        <v>2978</v>
      </c>
      <c r="R32" s="3236" t="s">
        <v>2979</v>
      </c>
    </row>
    <row r="33" spans="1:17" ht="14.25" customHeight="1" thickBot="1">
      <c r="A33" s="3229" t="s">
        <v>296</v>
      </c>
      <c r="B33" s="3230" t="s">
        <v>147</v>
      </c>
      <c r="C33" s="3229">
        <v>27300</v>
      </c>
      <c r="D33" s="3229">
        <v>22980</v>
      </c>
      <c r="E33" s="3229">
        <v>24260</v>
      </c>
      <c r="F33" s="3229">
        <v>5860</v>
      </c>
      <c r="G33" s="3242">
        <v>16090</v>
      </c>
      <c r="L33" s="3236" t="s">
        <v>2980</v>
      </c>
      <c r="M33" s="3229" t="s">
        <v>2981</v>
      </c>
      <c r="N33" s="3229" t="s">
        <v>301</v>
      </c>
      <c r="O33" s="3229" t="s">
        <v>2982</v>
      </c>
      <c r="P33" s="3229" t="s">
        <v>2983</v>
      </c>
      <c r="Q33" s="3229" t="s">
        <v>2984</v>
      </c>
    </row>
    <row r="34" spans="1:17" ht="14.25" customHeight="1">
      <c r="A34" s="3229" t="s">
        <v>296</v>
      </c>
      <c r="B34" s="3230" t="s">
        <v>156</v>
      </c>
      <c r="C34" s="3229">
        <v>23090</v>
      </c>
      <c r="D34" s="3229">
        <v>23390</v>
      </c>
      <c r="E34" s="3229">
        <v>23510</v>
      </c>
      <c r="F34" s="3229">
        <v>6700</v>
      </c>
      <c r="G34" s="3242">
        <v>16370</v>
      </c>
      <c r="M34" s="3229" t="s">
        <v>2985</v>
      </c>
      <c r="N34" s="3229" t="s">
        <v>302</v>
      </c>
      <c r="O34" s="3229" t="s">
        <v>2986</v>
      </c>
      <c r="P34" s="3229" t="s">
        <v>2987</v>
      </c>
      <c r="Q34" s="3229" t="s">
        <v>2988</v>
      </c>
    </row>
    <row r="35" spans="1:17" ht="14.25" customHeight="1">
      <c r="A35" s="3229" t="s">
        <v>296</v>
      </c>
      <c r="B35" s="3230" t="s">
        <v>163</v>
      </c>
      <c r="C35" s="3229">
        <v>27270</v>
      </c>
      <c r="D35" s="3229">
        <v>24270</v>
      </c>
      <c r="E35" s="3229">
        <v>24950</v>
      </c>
      <c r="F35" s="3229">
        <v>6600</v>
      </c>
      <c r="G35" s="3242">
        <v>16990</v>
      </c>
      <c r="M35" s="3229" t="s">
        <v>2989</v>
      </c>
      <c r="N35" s="3229" t="s">
        <v>2990</v>
      </c>
      <c r="O35" s="3229" t="s">
        <v>2991</v>
      </c>
      <c r="P35" s="3229" t="s">
        <v>2992</v>
      </c>
      <c r="Q35" s="3229" t="s">
        <v>2993</v>
      </c>
    </row>
    <row r="36" spans="1:17" ht="14.25" customHeight="1">
      <c r="A36" s="3229" t="s">
        <v>296</v>
      </c>
      <c r="B36" s="3230" t="s">
        <v>169</v>
      </c>
      <c r="C36" s="3229">
        <v>23490</v>
      </c>
      <c r="D36" s="3229">
        <v>23020</v>
      </c>
      <c r="E36" s="3229">
        <v>25230</v>
      </c>
      <c r="F36" s="3229">
        <v>6780</v>
      </c>
      <c r="G36" s="3242">
        <v>16120</v>
      </c>
      <c r="M36" s="3229" t="s">
        <v>2994</v>
      </c>
      <c r="N36" s="3229" t="s">
        <v>2995</v>
      </c>
      <c r="O36" s="3229" t="s">
        <v>2996</v>
      </c>
      <c r="P36" s="3229" t="s">
        <v>2997</v>
      </c>
      <c r="Q36" s="3229" t="s">
        <v>2998</v>
      </c>
    </row>
    <row r="37" spans="1:17" ht="14.25" customHeight="1">
      <c r="A37" s="3229" t="s">
        <v>296</v>
      </c>
      <c r="B37" s="3230" t="s">
        <v>176</v>
      </c>
      <c r="C37" s="3229">
        <v>24380</v>
      </c>
      <c r="D37" s="3229">
        <v>22240</v>
      </c>
      <c r="E37" s="3229">
        <v>25980</v>
      </c>
      <c r="F37" s="3229">
        <v>8160</v>
      </c>
      <c r="G37" s="3242">
        <v>15570</v>
      </c>
      <c r="M37" s="3229" t="s">
        <v>2999</v>
      </c>
      <c r="N37" s="3229" t="s">
        <v>3000</v>
      </c>
      <c r="O37" s="3229" t="s">
        <v>3001</v>
      </c>
      <c r="P37" s="3229" t="s">
        <v>3002</v>
      </c>
      <c r="Q37" s="3229" t="s">
        <v>3003</v>
      </c>
    </row>
    <row r="38" spans="1:17" ht="14.25" customHeight="1">
      <c r="A38" s="3229" t="s">
        <v>296</v>
      </c>
      <c r="B38" s="3230" t="s">
        <v>186</v>
      </c>
      <c r="C38" s="3229">
        <v>23120</v>
      </c>
      <c r="D38" s="3229">
        <v>24630</v>
      </c>
      <c r="E38" s="3229">
        <v>25030</v>
      </c>
      <c r="F38" s="3229">
        <v>7710</v>
      </c>
      <c r="G38" s="3242">
        <v>17240</v>
      </c>
      <c r="M38" s="3229" t="s">
        <v>3004</v>
      </c>
      <c r="N38" s="3229" t="s">
        <v>3005</v>
      </c>
      <c r="O38" s="3229" t="s">
        <v>3006</v>
      </c>
      <c r="P38" s="3229" t="s">
        <v>3007</v>
      </c>
      <c r="Q38" s="3229" t="s">
        <v>3008</v>
      </c>
    </row>
    <row r="39" spans="1:17" ht="14.25" customHeight="1">
      <c r="A39" s="3229" t="s">
        <v>296</v>
      </c>
      <c r="B39" s="3230" t="s">
        <v>195</v>
      </c>
      <c r="C39" s="3229">
        <v>22330</v>
      </c>
      <c r="D39" s="3229">
        <v>21140</v>
      </c>
      <c r="E39" s="3229">
        <v>23970</v>
      </c>
      <c r="F39" s="3229">
        <v>7940</v>
      </c>
      <c r="G39" s="3242">
        <v>14790</v>
      </c>
      <c r="M39" s="3229" t="s">
        <v>3009</v>
      </c>
      <c r="N39" s="3229" t="s">
        <v>3010</v>
      </c>
      <c r="O39" s="3229" t="s">
        <v>3011</v>
      </c>
      <c r="P39" s="3229" t="s">
        <v>3012</v>
      </c>
      <c r="Q39" s="3229" t="s">
        <v>3013</v>
      </c>
    </row>
    <row r="40" spans="1:17" ht="14.25" customHeight="1">
      <c r="A40" s="3229" t="s">
        <v>296</v>
      </c>
      <c r="B40" s="3230" t="s">
        <v>202</v>
      </c>
      <c r="C40" s="3229">
        <v>24740</v>
      </c>
      <c r="D40" s="3229">
        <v>24690</v>
      </c>
      <c r="E40" s="3229">
        <v>22610</v>
      </c>
      <c r="F40" s="3229"/>
      <c r="G40" s="3242">
        <v>17280</v>
      </c>
      <c r="M40" s="3229" t="s">
        <v>3014</v>
      </c>
      <c r="N40" s="3229" t="s">
        <v>3015</v>
      </c>
      <c r="O40" s="3229" t="s">
        <v>3016</v>
      </c>
      <c r="P40" s="3229" t="s">
        <v>3017</v>
      </c>
      <c r="Q40" s="3229" t="s">
        <v>3018</v>
      </c>
    </row>
    <row r="41" spans="1:17" ht="14.25" customHeight="1" thickBot="1">
      <c r="A41" s="3229" t="s">
        <v>296</v>
      </c>
      <c r="B41" s="3230" t="s">
        <v>209</v>
      </c>
      <c r="C41" s="3229">
        <v>21220</v>
      </c>
      <c r="D41" s="3229">
        <v>21120</v>
      </c>
      <c r="E41" s="3229">
        <v>22590</v>
      </c>
      <c r="F41" s="3229"/>
      <c r="G41" s="3242">
        <v>14780</v>
      </c>
      <c r="M41" s="3236" t="s">
        <v>3019</v>
      </c>
      <c r="N41" s="3229" t="s">
        <v>3020</v>
      </c>
      <c r="O41" s="3229" t="s">
        <v>3021</v>
      </c>
      <c r="P41" s="3229" t="s">
        <v>3022</v>
      </c>
      <c r="Q41" s="3229" t="s">
        <v>3023</v>
      </c>
    </row>
    <row r="42" spans="1:17" ht="14.25" customHeight="1">
      <c r="A42" s="3229" t="s">
        <v>296</v>
      </c>
      <c r="B42" s="3230" t="s">
        <v>215</v>
      </c>
      <c r="C42" s="3229">
        <v>24800</v>
      </c>
      <c r="D42" s="3229">
        <v>22280</v>
      </c>
      <c r="E42" s="3229">
        <v>24350</v>
      </c>
      <c r="F42" s="3229"/>
      <c r="G42" s="3242">
        <v>15590</v>
      </c>
      <c r="N42" s="3229" t="s">
        <v>3024</v>
      </c>
      <c r="O42" s="3229" t="s">
        <v>3025</v>
      </c>
      <c r="P42" s="3229" t="s">
        <v>3026</v>
      </c>
      <c r="Q42" s="3229" t="s">
        <v>3027</v>
      </c>
    </row>
    <row r="43" spans="1:17" ht="14.25" customHeight="1">
      <c r="A43" s="3229" t="s">
        <v>3028</v>
      </c>
      <c r="B43" s="3230" t="s">
        <v>223</v>
      </c>
      <c r="C43" s="3229">
        <v>21210</v>
      </c>
      <c r="D43" s="3229">
        <v>21160</v>
      </c>
      <c r="E43" s="3229">
        <v>22650</v>
      </c>
      <c r="F43" s="3229"/>
      <c r="G43" s="3242">
        <v>14800</v>
      </c>
      <c r="N43" s="3229" t="s">
        <v>3029</v>
      </c>
      <c r="O43" s="3229" t="s">
        <v>3030</v>
      </c>
      <c r="P43" s="3229" t="s">
        <v>3031</v>
      </c>
      <c r="Q43" s="3229" t="s">
        <v>3032</v>
      </c>
    </row>
    <row r="44" spans="1:17" ht="14.25" customHeight="1" thickBot="1">
      <c r="A44" s="3229" t="s">
        <v>296</v>
      </c>
      <c r="B44" s="3230" t="s">
        <v>231</v>
      </c>
      <c r="C44" s="3229">
        <v>22370</v>
      </c>
      <c r="D44" s="3229">
        <v>23140</v>
      </c>
      <c r="E44" s="3229">
        <v>25090</v>
      </c>
      <c r="F44" s="3229"/>
      <c r="G44" s="3242">
        <v>16190</v>
      </c>
      <c r="N44" s="3229" t="s">
        <v>3033</v>
      </c>
      <c r="O44" s="3229" t="s">
        <v>3034</v>
      </c>
      <c r="P44" s="3236" t="s">
        <v>3035</v>
      </c>
      <c r="Q44" s="3229" t="s">
        <v>3036</v>
      </c>
    </row>
    <row r="45" spans="1:17" ht="14.25" customHeight="1" thickBot="1">
      <c r="A45" s="3229" t="s">
        <v>296</v>
      </c>
      <c r="B45" s="3230" t="s">
        <v>236</v>
      </c>
      <c r="C45" s="3229">
        <v>21240</v>
      </c>
      <c r="D45" s="3229">
        <v>27050</v>
      </c>
      <c r="E45" s="3229">
        <v>28000</v>
      </c>
      <c r="F45" s="3229"/>
      <c r="G45" s="3242">
        <v>18940</v>
      </c>
      <c r="N45" s="3229" t="s">
        <v>3037</v>
      </c>
      <c r="O45" s="3236" t="s">
        <v>3038</v>
      </c>
      <c r="Q45" s="3229" t="s">
        <v>3039</v>
      </c>
    </row>
    <row r="46" spans="1:17" ht="14.25" customHeight="1">
      <c r="A46" s="3229" t="s">
        <v>296</v>
      </c>
      <c r="B46" s="3230" t="s">
        <v>245</v>
      </c>
      <c r="C46" s="3229">
        <v>23240</v>
      </c>
      <c r="D46" s="3229">
        <v>23000</v>
      </c>
      <c r="E46" s="3229">
        <v>24980</v>
      </c>
      <c r="F46" s="3229"/>
      <c r="G46" s="3242">
        <v>16100</v>
      </c>
      <c r="N46" s="3229" t="s">
        <v>3040</v>
      </c>
      <c r="Q46" s="3229" t="s">
        <v>3041</v>
      </c>
    </row>
    <row r="47" spans="1:17" ht="14.25" customHeight="1">
      <c r="A47" s="3229" t="s">
        <v>296</v>
      </c>
      <c r="B47" s="3230" t="s">
        <v>252</v>
      </c>
      <c r="C47" s="3229">
        <v>27150</v>
      </c>
      <c r="D47" s="3229">
        <v>23310</v>
      </c>
      <c r="E47" s="3229">
        <v>25150</v>
      </c>
      <c r="F47" s="3229"/>
      <c r="G47" s="3242">
        <v>16310</v>
      </c>
      <c r="N47" s="3229" t="s">
        <v>3042</v>
      </c>
      <c r="Q47" s="3229" t="s">
        <v>3043</v>
      </c>
    </row>
    <row r="48" spans="1:17" ht="14.25" customHeight="1">
      <c r="A48" s="3229" t="s">
        <v>296</v>
      </c>
      <c r="B48" s="3230" t="s">
        <v>260</v>
      </c>
      <c r="C48" s="3229">
        <v>23100</v>
      </c>
      <c r="D48" s="3229">
        <v>21110</v>
      </c>
      <c r="E48" s="3229">
        <v>23080</v>
      </c>
      <c r="F48" s="3229"/>
      <c r="G48" s="3242">
        <v>14780</v>
      </c>
      <c r="N48" s="3229" t="s">
        <v>3044</v>
      </c>
      <c r="Q48" s="3229" t="s">
        <v>3045</v>
      </c>
    </row>
    <row r="49" spans="1:17" ht="14.25" customHeight="1">
      <c r="A49" s="3229" t="s">
        <v>296</v>
      </c>
      <c r="B49" s="3230" t="s">
        <v>267</v>
      </c>
      <c r="C49" s="3229">
        <v>23400</v>
      </c>
      <c r="D49" s="3229">
        <v>22920</v>
      </c>
      <c r="E49" s="3229">
        <v>24900</v>
      </c>
      <c r="F49" s="3229"/>
      <c r="G49" s="3242">
        <v>16040</v>
      </c>
      <c r="N49" s="3229" t="s">
        <v>3046</v>
      </c>
      <c r="Q49" s="3229" t="s">
        <v>3047</v>
      </c>
    </row>
    <row r="50" spans="1:17" ht="14.25" customHeight="1">
      <c r="A50" s="3229" t="s">
        <v>296</v>
      </c>
      <c r="B50" s="3230" t="s">
        <v>2924</v>
      </c>
      <c r="C50" s="3229">
        <v>21200</v>
      </c>
      <c r="D50" s="3229">
        <v>26540</v>
      </c>
      <c r="E50" s="3229">
        <v>23200</v>
      </c>
      <c r="F50" s="3229"/>
      <c r="G50" s="3242">
        <v>18580</v>
      </c>
      <c r="N50" s="3229" t="s">
        <v>3048</v>
      </c>
      <c r="Q50" s="3230" t="s">
        <v>3049</v>
      </c>
    </row>
    <row r="51" spans="1:17" ht="14.25" customHeight="1" thickBot="1">
      <c r="A51" s="3229" t="s">
        <v>296</v>
      </c>
      <c r="B51" s="3230" t="s">
        <v>2926</v>
      </c>
      <c r="C51" s="3229">
        <v>23000</v>
      </c>
      <c r="D51" s="3229">
        <v>23460</v>
      </c>
      <c r="E51" s="3229">
        <v>25290</v>
      </c>
      <c r="F51" s="3229"/>
      <c r="G51" s="3242">
        <v>16420</v>
      </c>
      <c r="N51" s="3229" t="s">
        <v>3050</v>
      </c>
      <c r="Q51" s="3236" t="s">
        <v>3051</v>
      </c>
    </row>
    <row r="52" spans="1:17" ht="14.25" customHeight="1">
      <c r="A52" s="3229" t="s">
        <v>296</v>
      </c>
      <c r="B52" s="3230" t="s">
        <v>2930</v>
      </c>
      <c r="C52" s="3229">
        <v>26660</v>
      </c>
      <c r="D52" s="3229">
        <v>22350</v>
      </c>
      <c r="E52" s="3229">
        <v>22920</v>
      </c>
      <c r="F52" s="3229"/>
      <c r="G52" s="3242">
        <v>15640</v>
      </c>
      <c r="N52" s="3229" t="s">
        <v>3052</v>
      </c>
    </row>
    <row r="53" spans="1:17" ht="14.25" customHeight="1">
      <c r="A53" s="3229" t="s">
        <v>296</v>
      </c>
      <c r="B53" s="3230" t="s">
        <v>2935</v>
      </c>
      <c r="C53" s="3229">
        <v>23580</v>
      </c>
      <c r="D53" s="3229"/>
      <c r="E53" s="3229">
        <v>24280</v>
      </c>
      <c r="F53" s="3229"/>
      <c r="G53" s="3242"/>
      <c r="N53" s="3229" t="s">
        <v>3053</v>
      </c>
    </row>
    <row r="54" spans="1:17" ht="14.25" customHeight="1" thickBot="1">
      <c r="A54" s="3243" t="s">
        <v>296</v>
      </c>
      <c r="B54" s="3235" t="s">
        <v>2938</v>
      </c>
      <c r="C54" s="3236">
        <v>22460</v>
      </c>
      <c r="D54" s="3236"/>
      <c r="E54" s="3236"/>
      <c r="F54" s="3236"/>
      <c r="G54" s="3244"/>
      <c r="N54" s="3229" t="s">
        <v>3054</v>
      </c>
    </row>
    <row r="55" spans="1:17" ht="14.25" customHeight="1">
      <c r="A55" s="3234" t="s">
        <v>110</v>
      </c>
      <c r="B55" s="3225" t="s">
        <v>3055</v>
      </c>
      <c r="C55" s="3229">
        <v>21970</v>
      </c>
      <c r="D55" s="3229">
        <v>20370</v>
      </c>
      <c r="E55" s="3229">
        <v>20180</v>
      </c>
      <c r="F55" s="3229">
        <v>5730</v>
      </c>
      <c r="G55" s="3229">
        <v>13820</v>
      </c>
      <c r="N55" s="3229" t="s">
        <v>3056</v>
      </c>
    </row>
    <row r="56" spans="1:17" ht="14.25" customHeight="1">
      <c r="A56" s="3229" t="s">
        <v>110</v>
      </c>
      <c r="B56" s="3229" t="s">
        <v>130</v>
      </c>
      <c r="C56" s="3229">
        <v>20470</v>
      </c>
      <c r="D56" s="3229">
        <v>20700</v>
      </c>
      <c r="E56" s="3229">
        <v>20380</v>
      </c>
      <c r="F56" s="3229">
        <v>4760</v>
      </c>
      <c r="G56" s="3229">
        <v>14050</v>
      </c>
      <c r="N56" s="3229" t="s">
        <v>3057</v>
      </c>
    </row>
    <row r="57" spans="1:17" ht="14.25" customHeight="1">
      <c r="A57" s="3229" t="s">
        <v>110</v>
      </c>
      <c r="B57" s="3229" t="s">
        <v>139</v>
      </c>
      <c r="C57" s="3229">
        <v>20790</v>
      </c>
      <c r="D57" s="3229">
        <v>21370</v>
      </c>
      <c r="E57" s="3229">
        <v>20890</v>
      </c>
      <c r="F57" s="3229">
        <v>4910</v>
      </c>
      <c r="G57" s="3229">
        <v>14510</v>
      </c>
      <c r="N57" s="3229" t="s">
        <v>3058</v>
      </c>
    </row>
    <row r="58" spans="1:17" ht="14.25" customHeight="1">
      <c r="A58" s="3229" t="s">
        <v>110</v>
      </c>
      <c r="B58" s="3229" t="s">
        <v>148</v>
      </c>
      <c r="C58" s="3229">
        <v>21460</v>
      </c>
      <c r="D58" s="3229">
        <v>20920</v>
      </c>
      <c r="E58" s="3229">
        <v>23410</v>
      </c>
      <c r="F58" s="3229">
        <v>5100</v>
      </c>
      <c r="G58" s="3229">
        <v>14200</v>
      </c>
      <c r="N58" s="3229" t="s">
        <v>3059</v>
      </c>
    </row>
    <row r="59" spans="1:17" ht="14.25" customHeight="1">
      <c r="A59" s="3229" t="s">
        <v>110</v>
      </c>
      <c r="B59" s="3229" t="s">
        <v>157</v>
      </c>
      <c r="C59" s="3229">
        <v>21000</v>
      </c>
      <c r="D59" s="3229">
        <v>21550</v>
      </c>
      <c r="E59" s="3229">
        <v>21150</v>
      </c>
      <c r="F59" s="3229">
        <v>5250</v>
      </c>
      <c r="G59" s="3229">
        <v>14630</v>
      </c>
      <c r="N59" s="3229" t="s">
        <v>3060</v>
      </c>
    </row>
    <row r="60" spans="1:17" ht="14.25" customHeight="1">
      <c r="A60" s="3229" t="s">
        <v>110</v>
      </c>
      <c r="B60" s="3229" t="s">
        <v>164</v>
      </c>
      <c r="C60" s="3229">
        <v>21640</v>
      </c>
      <c r="D60" s="3229">
        <v>21260</v>
      </c>
      <c r="E60" s="3229">
        <v>24040</v>
      </c>
      <c r="F60" s="3229">
        <v>4470</v>
      </c>
      <c r="G60" s="3229">
        <v>14430</v>
      </c>
      <c r="N60" s="3229" t="s">
        <v>3061</v>
      </c>
    </row>
    <row r="61" spans="1:17" ht="14.25" customHeight="1">
      <c r="A61" s="3229" t="s">
        <v>110</v>
      </c>
      <c r="B61" s="3229" t="s">
        <v>170</v>
      </c>
      <c r="C61" s="3229">
        <v>21330</v>
      </c>
      <c r="D61" s="3229">
        <v>18640</v>
      </c>
      <c r="E61" s="3229">
        <v>21190</v>
      </c>
      <c r="F61" s="3229">
        <v>4180</v>
      </c>
      <c r="G61" s="3229">
        <v>12650</v>
      </c>
      <c r="N61" s="3229" t="s">
        <v>3062</v>
      </c>
    </row>
    <row r="62" spans="1:17" ht="14.25" customHeight="1">
      <c r="A62" s="3229" t="s">
        <v>110</v>
      </c>
      <c r="B62" s="3229" t="s">
        <v>177</v>
      </c>
      <c r="C62" s="3229">
        <v>18710</v>
      </c>
      <c r="D62" s="3229">
        <v>19400</v>
      </c>
      <c r="E62" s="3229">
        <v>23750</v>
      </c>
      <c r="F62" s="3229">
        <v>4860</v>
      </c>
      <c r="G62" s="3229">
        <v>13170</v>
      </c>
      <c r="N62" s="3229" t="s">
        <v>3063</v>
      </c>
    </row>
    <row r="63" spans="1:17" ht="14.25" customHeight="1">
      <c r="A63" s="3229" t="s">
        <v>110</v>
      </c>
      <c r="B63" s="3229" t="s">
        <v>187</v>
      </c>
      <c r="C63" s="3229">
        <v>19480</v>
      </c>
      <c r="D63" s="3229">
        <v>16830</v>
      </c>
      <c r="E63" s="3229">
        <v>21590</v>
      </c>
      <c r="F63" s="3229">
        <v>4560</v>
      </c>
      <c r="G63" s="3229">
        <v>11420</v>
      </c>
      <c r="N63" s="3229" t="s">
        <v>3064</v>
      </c>
    </row>
    <row r="64" spans="1:17" ht="14.25" customHeight="1" thickBot="1">
      <c r="A64" s="3229" t="s">
        <v>110</v>
      </c>
      <c r="B64" s="3229" t="s">
        <v>196</v>
      </c>
      <c r="C64" s="3229">
        <v>16920</v>
      </c>
      <c r="D64" s="3229">
        <v>19190</v>
      </c>
      <c r="E64" s="3229">
        <v>22200</v>
      </c>
      <c r="F64" s="3229">
        <v>4390</v>
      </c>
      <c r="G64" s="3229">
        <v>13030</v>
      </c>
      <c r="N64" s="3236" t="s">
        <v>3065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2936</v>
      </c>
      <c r="C78" s="3229">
        <v>19820</v>
      </c>
      <c r="D78" s="3229">
        <v>19780</v>
      </c>
      <c r="E78" s="3229">
        <v>18560</v>
      </c>
      <c r="F78" s="3229"/>
      <c r="G78" s="3229">
        <v>13430</v>
      </c>
    </row>
    <row r="79" spans="1:7" s="3218" customFormat="1" ht="14.25" customHeight="1">
      <c r="A79" s="3229" t="s">
        <v>110</v>
      </c>
      <c r="B79" s="3229" t="s">
        <v>2939</v>
      </c>
      <c r="C79" s="3229">
        <v>21660</v>
      </c>
      <c r="D79" s="3229">
        <v>18000</v>
      </c>
      <c r="E79" s="3229">
        <v>22570</v>
      </c>
      <c r="F79" s="3229"/>
      <c r="G79" s="3229">
        <v>12220</v>
      </c>
    </row>
    <row r="80" spans="1:7" s="3218" customFormat="1" ht="14.25" customHeight="1">
      <c r="A80" s="3229" t="s">
        <v>110</v>
      </c>
      <c r="B80" s="3229" t="s">
        <v>2943</v>
      </c>
      <c r="C80" s="3229">
        <v>19850</v>
      </c>
      <c r="D80" s="3229"/>
      <c r="E80" s="3229">
        <v>21700</v>
      </c>
      <c r="F80" s="3229"/>
      <c r="G80" s="3229"/>
    </row>
    <row r="81" spans="1:7" s="3218" customFormat="1" ht="14.25" customHeight="1">
      <c r="A81" s="3229" t="s">
        <v>110</v>
      </c>
      <c r="B81" s="3229" t="s">
        <v>2948</v>
      </c>
      <c r="C81" s="3229">
        <v>18080</v>
      </c>
      <c r="D81" s="3229"/>
      <c r="E81" s="3229">
        <v>20900</v>
      </c>
      <c r="F81" s="3229"/>
      <c r="G81" s="3229"/>
    </row>
    <row r="82" spans="1:7" s="3218" customFormat="1" ht="14.25" customHeight="1">
      <c r="A82" s="3229" t="s">
        <v>110</v>
      </c>
      <c r="B82" s="3229" t="s">
        <v>2955</v>
      </c>
      <c r="C82" s="3229"/>
      <c r="D82" s="3229"/>
      <c r="E82" s="3229">
        <v>20840</v>
      </c>
      <c r="F82" s="3229"/>
      <c r="G82" s="3229"/>
    </row>
    <row r="83" spans="1:7" s="3218" customFormat="1" ht="14.25" customHeight="1">
      <c r="A83" s="3229" t="s">
        <v>110</v>
      </c>
      <c r="B83" s="3229" t="s">
        <v>3066</v>
      </c>
      <c r="C83" s="3229"/>
      <c r="D83" s="3229"/>
      <c r="E83" s="3229"/>
      <c r="F83" s="3229">
        <v>4770</v>
      </c>
      <c r="G83" s="3229"/>
    </row>
    <row r="84" spans="1:7" s="3218" customFormat="1" ht="14.25" customHeight="1">
      <c r="A84" s="3229" t="s">
        <v>110</v>
      </c>
      <c r="B84" s="3229" t="s">
        <v>3067</v>
      </c>
      <c r="C84" s="3229"/>
      <c r="D84" s="3229"/>
      <c r="E84" s="3229"/>
      <c r="F84" s="3229">
        <v>4600</v>
      </c>
      <c r="G84" s="3229"/>
    </row>
    <row r="85" spans="1:7" s="3218" customFormat="1" ht="14.25" customHeight="1">
      <c r="A85" s="3229" t="s">
        <v>110</v>
      </c>
      <c r="B85" s="3229" t="s">
        <v>3068</v>
      </c>
      <c r="C85" s="3229"/>
      <c r="D85" s="3229"/>
      <c r="E85" s="3229"/>
      <c r="F85" s="3229">
        <v>4680</v>
      </c>
      <c r="G85" s="3229"/>
    </row>
    <row r="86" spans="1:7" s="3218" customFormat="1" ht="14.25" customHeight="1" thickBot="1">
      <c r="A86" s="3237" t="s">
        <v>110</v>
      </c>
      <c r="B86" s="3239" t="s">
        <v>3069</v>
      </c>
      <c r="C86" s="3240">
        <v>16610</v>
      </c>
      <c r="D86" s="3240">
        <v>16540</v>
      </c>
      <c r="E86" s="3240">
        <v>18850</v>
      </c>
      <c r="F86" s="3240"/>
      <c r="G86" s="3240">
        <v>11220</v>
      </c>
    </row>
    <row r="87" spans="1:7" s="3218" customFormat="1" ht="14.25" customHeight="1">
      <c r="A87" s="3234" t="s">
        <v>303</v>
      </c>
      <c r="B87" s="3225" t="s">
        <v>3070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2949</v>
      </c>
      <c r="C113" s="3229">
        <v>15520</v>
      </c>
      <c r="D113" s="3229">
        <v>15450</v>
      </c>
      <c r="E113" s="3229"/>
      <c r="F113" s="3229"/>
      <c r="G113" s="3242">
        <v>10210</v>
      </c>
    </row>
    <row r="114" spans="1:7" s="3218" customFormat="1" ht="14.25" customHeight="1">
      <c r="A114" s="3229" t="s">
        <v>303</v>
      </c>
      <c r="B114" s="3229" t="s">
        <v>2956</v>
      </c>
      <c r="C114" s="3229">
        <v>13110</v>
      </c>
      <c r="D114" s="3229">
        <v>13050</v>
      </c>
      <c r="E114" s="3229"/>
      <c r="F114" s="3229"/>
      <c r="G114" s="3242">
        <v>8620</v>
      </c>
    </row>
    <row r="115" spans="1:7" s="3218" customFormat="1" ht="14.25" customHeight="1">
      <c r="A115" s="3229" t="s">
        <v>303</v>
      </c>
      <c r="B115" s="3229" t="s">
        <v>2962</v>
      </c>
      <c r="C115" s="3229">
        <v>12460</v>
      </c>
      <c r="D115" s="3229">
        <v>12390</v>
      </c>
      <c r="E115" s="3229"/>
      <c r="F115" s="3229"/>
      <c r="G115" s="3242">
        <v>8190</v>
      </c>
    </row>
    <row r="116" spans="1:7" s="3218" customFormat="1" ht="14.25" customHeight="1">
      <c r="A116" s="3229" t="s">
        <v>303</v>
      </c>
      <c r="B116" s="3229" t="s">
        <v>2969</v>
      </c>
      <c r="C116" s="3229">
        <v>13580</v>
      </c>
      <c r="D116" s="3229">
        <v>13520</v>
      </c>
      <c r="E116" s="3229"/>
      <c r="F116" s="3229"/>
      <c r="G116" s="3242">
        <v>8930</v>
      </c>
    </row>
    <row r="117" spans="1:7" s="3218" customFormat="1" ht="14.25" customHeight="1">
      <c r="A117" s="3229" t="s">
        <v>303</v>
      </c>
      <c r="B117" s="3229" t="s">
        <v>2976</v>
      </c>
      <c r="C117" s="3229">
        <v>17120</v>
      </c>
      <c r="D117" s="3229">
        <v>17040</v>
      </c>
      <c r="E117" s="3229"/>
      <c r="F117" s="3229"/>
      <c r="G117" s="3242">
        <v>11260</v>
      </c>
    </row>
    <row r="118" spans="1:7" s="3218" customFormat="1" ht="14.25" customHeight="1">
      <c r="A118" s="3229" t="s">
        <v>303</v>
      </c>
      <c r="B118" s="3229" t="s">
        <v>2981</v>
      </c>
      <c r="C118" s="3229">
        <v>14860</v>
      </c>
      <c r="D118" s="3229">
        <v>14790</v>
      </c>
      <c r="E118" s="3229"/>
      <c r="F118" s="3229"/>
      <c r="G118" s="3242">
        <v>9780</v>
      </c>
    </row>
    <row r="119" spans="1:7" s="3218" customFormat="1" ht="14.25" customHeight="1">
      <c r="A119" s="3229" t="s">
        <v>303</v>
      </c>
      <c r="B119" s="3229" t="s">
        <v>2985</v>
      </c>
      <c r="C119" s="3229">
        <v>16470</v>
      </c>
      <c r="D119" s="3229">
        <v>16400</v>
      </c>
      <c r="E119" s="3229"/>
      <c r="F119" s="3229"/>
      <c r="G119" s="3242">
        <v>10840</v>
      </c>
    </row>
    <row r="120" spans="1:7" s="3218" customFormat="1" ht="14.25" customHeight="1">
      <c r="A120" s="3229" t="s">
        <v>303</v>
      </c>
      <c r="B120" s="3229" t="s">
        <v>3071</v>
      </c>
      <c r="C120" s="3229"/>
      <c r="D120" s="3229"/>
      <c r="E120" s="3229"/>
      <c r="F120" s="3229">
        <v>4160</v>
      </c>
      <c r="G120" s="3242"/>
    </row>
    <row r="121" spans="1:7" s="3218" customFormat="1" ht="14.25" customHeight="1">
      <c r="A121" s="3229" t="s">
        <v>303</v>
      </c>
      <c r="B121" s="3229" t="s">
        <v>3072</v>
      </c>
      <c r="C121" s="3229"/>
      <c r="D121" s="3229"/>
      <c r="E121" s="3229"/>
      <c r="F121" s="3229">
        <v>3880</v>
      </c>
      <c r="G121" s="3242"/>
    </row>
    <row r="122" spans="1:7" s="3218" customFormat="1" ht="14.25" customHeight="1">
      <c r="A122" s="3229" t="s">
        <v>303</v>
      </c>
      <c r="B122" s="3229" t="s">
        <v>3073</v>
      </c>
      <c r="C122" s="3229">
        <v>13750</v>
      </c>
      <c r="D122" s="3229">
        <v>13680</v>
      </c>
      <c r="E122" s="3229">
        <v>16460</v>
      </c>
      <c r="F122" s="3229">
        <v>2880</v>
      </c>
      <c r="G122" s="3242">
        <v>9040</v>
      </c>
    </row>
    <row r="123" spans="1:7" s="3218" customFormat="1" ht="14.25" customHeight="1">
      <c r="A123" s="3229" t="s">
        <v>303</v>
      </c>
      <c r="B123" s="3229" t="s">
        <v>3004</v>
      </c>
      <c r="C123" s="3229">
        <v>13590</v>
      </c>
      <c r="D123" s="3229">
        <v>13520</v>
      </c>
      <c r="E123" s="3229">
        <v>16290</v>
      </c>
      <c r="F123" s="3229">
        <v>2790</v>
      </c>
      <c r="G123" s="3242">
        <v>8930</v>
      </c>
    </row>
    <row r="124" spans="1:7" s="3218" customFormat="1" ht="14.25" customHeight="1">
      <c r="A124" s="3229" t="s">
        <v>303</v>
      </c>
      <c r="B124" s="3229" t="s">
        <v>3009</v>
      </c>
      <c r="C124" s="3229">
        <v>13400</v>
      </c>
      <c r="D124" s="3229">
        <v>13320</v>
      </c>
      <c r="E124" s="3229">
        <v>16100</v>
      </c>
      <c r="F124" s="3229">
        <v>2320</v>
      </c>
      <c r="G124" s="3242">
        <v>8800</v>
      </c>
    </row>
    <row r="125" spans="1:7" s="3218" customFormat="1" ht="14.25" customHeight="1">
      <c r="A125" s="3229" t="s">
        <v>303</v>
      </c>
      <c r="B125" s="3229" t="s">
        <v>3014</v>
      </c>
      <c r="C125" s="3229">
        <v>12860</v>
      </c>
      <c r="D125" s="3229">
        <v>12790</v>
      </c>
      <c r="E125" s="3229">
        <v>15370</v>
      </c>
      <c r="F125" s="3229">
        <v>2280</v>
      </c>
      <c r="G125" s="3242">
        <v>8450</v>
      </c>
    </row>
    <row r="126" spans="1:7" s="3218" customFormat="1" ht="14.25" customHeight="1" thickBot="1">
      <c r="A126" s="3243" t="s">
        <v>303</v>
      </c>
      <c r="B126" s="3236" t="s">
        <v>3019</v>
      </c>
      <c r="C126" s="3236">
        <v>12960</v>
      </c>
      <c r="D126" s="3236">
        <v>12890</v>
      </c>
      <c r="E126" s="3236">
        <v>15530</v>
      </c>
      <c r="F126" s="3236">
        <v>2910</v>
      </c>
      <c r="G126" s="3244">
        <v>8520</v>
      </c>
    </row>
    <row r="127" spans="1:7" s="3218" customFormat="1" ht="14.25" customHeight="1">
      <c r="A127" s="3234" t="s">
        <v>29</v>
      </c>
      <c r="B127" s="3225" t="s">
        <v>3074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3075</v>
      </c>
      <c r="C148" s="3229">
        <v>10370</v>
      </c>
      <c r="D148" s="3229">
        <v>10310</v>
      </c>
      <c r="E148" s="3229">
        <v>12970</v>
      </c>
      <c r="F148" s="3229"/>
      <c r="G148" s="3229">
        <v>6630</v>
      </c>
    </row>
    <row r="149" spans="1:7" s="3218" customFormat="1" ht="14.25" customHeight="1">
      <c r="A149" s="3229" t="s">
        <v>29</v>
      </c>
      <c r="B149" s="3229" t="s">
        <v>3076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2950</v>
      </c>
      <c r="C153" s="3229">
        <v>10880</v>
      </c>
      <c r="D153" s="3229">
        <v>10820</v>
      </c>
      <c r="E153" s="3229">
        <v>13660</v>
      </c>
      <c r="F153" s="3229">
        <v>2260</v>
      </c>
      <c r="G153" s="3229">
        <v>6970</v>
      </c>
    </row>
    <row r="154" spans="1:7" s="3218" customFormat="1" ht="14.25" customHeight="1">
      <c r="A154" s="3229" t="s">
        <v>29</v>
      </c>
      <c r="B154" s="3229" t="s">
        <v>3077</v>
      </c>
      <c r="C154" s="3229">
        <v>11220</v>
      </c>
      <c r="D154" s="3229">
        <v>11160</v>
      </c>
      <c r="E154" s="3229">
        <v>14130</v>
      </c>
      <c r="F154" s="3229">
        <v>2230</v>
      </c>
      <c r="G154" s="3229">
        <v>7180</v>
      </c>
    </row>
    <row r="155" spans="1:7" s="3218" customFormat="1" ht="14.25" customHeight="1">
      <c r="A155" s="3229" t="s">
        <v>29</v>
      </c>
      <c r="B155" s="3229" t="s">
        <v>2963</v>
      </c>
      <c r="C155" s="3229">
        <v>10430</v>
      </c>
      <c r="D155" s="3229">
        <v>10380</v>
      </c>
      <c r="E155" s="3229">
        <v>13140</v>
      </c>
      <c r="F155" s="3229">
        <v>2080</v>
      </c>
      <c r="G155" s="3229">
        <v>6650</v>
      </c>
    </row>
    <row r="156" spans="1:7" s="3218" customFormat="1" ht="14.25" customHeight="1">
      <c r="A156" s="3229" t="s">
        <v>29</v>
      </c>
      <c r="B156" s="3229" t="s">
        <v>3078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3079</v>
      </c>
      <c r="C160" s="3229">
        <v>11180</v>
      </c>
      <c r="D160" s="3229">
        <v>11140</v>
      </c>
      <c r="E160" s="3229">
        <v>14050</v>
      </c>
      <c r="F160" s="3229">
        <v>2270</v>
      </c>
      <c r="G160" s="3229">
        <v>7170</v>
      </c>
    </row>
    <row r="161" spans="1:7" s="3218" customFormat="1" ht="14.25" customHeight="1">
      <c r="A161" s="3229" t="s">
        <v>29</v>
      </c>
      <c r="B161" s="3229" t="s">
        <v>2995</v>
      </c>
      <c r="C161" s="3229">
        <v>11160</v>
      </c>
      <c r="D161" s="3229">
        <v>11120</v>
      </c>
      <c r="E161" s="3229">
        <v>14020</v>
      </c>
      <c r="F161" s="3229">
        <v>2150</v>
      </c>
      <c r="G161" s="3229">
        <v>7160</v>
      </c>
    </row>
    <row r="162" spans="1:7" s="3218" customFormat="1" ht="14.25" customHeight="1">
      <c r="A162" s="3229" t="s">
        <v>29</v>
      </c>
      <c r="B162" s="3229" t="s">
        <v>3000</v>
      </c>
      <c r="C162" s="3229">
        <v>9620</v>
      </c>
      <c r="D162" s="3229">
        <v>9570</v>
      </c>
      <c r="E162" s="3229">
        <v>12320</v>
      </c>
      <c r="F162" s="3229">
        <v>2010</v>
      </c>
      <c r="G162" s="3229">
        <v>6160</v>
      </c>
    </row>
    <row r="163" spans="1:7" s="3218" customFormat="1" ht="14.25" customHeight="1">
      <c r="A163" s="3229" t="s">
        <v>29</v>
      </c>
      <c r="B163" s="3229" t="s">
        <v>3005</v>
      </c>
      <c r="C163" s="3229">
        <v>9320</v>
      </c>
      <c r="D163" s="3229">
        <v>9270</v>
      </c>
      <c r="E163" s="3229">
        <v>11790</v>
      </c>
      <c r="F163" s="3229">
        <v>1920</v>
      </c>
      <c r="G163" s="3229">
        <v>5960</v>
      </c>
    </row>
    <row r="164" spans="1:7" s="3218" customFormat="1" ht="14.25" customHeight="1">
      <c r="A164" s="3229" t="s">
        <v>29</v>
      </c>
      <c r="B164" s="3229" t="s">
        <v>3010</v>
      </c>
      <c r="C164" s="3229"/>
      <c r="D164" s="3229"/>
      <c r="E164" s="3229"/>
      <c r="F164" s="3229">
        <v>1980</v>
      </c>
      <c r="G164" s="3229"/>
    </row>
    <row r="165" spans="1:7" s="3218" customFormat="1" ht="14.25" customHeight="1">
      <c r="A165" s="3229" t="s">
        <v>29</v>
      </c>
      <c r="B165" s="3229" t="s">
        <v>3080</v>
      </c>
      <c r="C165" s="3229">
        <v>11060</v>
      </c>
      <c r="D165" s="3229">
        <v>11030</v>
      </c>
      <c r="E165" s="3229">
        <v>13850</v>
      </c>
      <c r="F165" s="3229">
        <v>2170</v>
      </c>
      <c r="G165" s="3229">
        <v>7090</v>
      </c>
    </row>
    <row r="166" spans="1:7" s="3218" customFormat="1" ht="14.25" customHeight="1">
      <c r="A166" s="3229" t="s">
        <v>29</v>
      </c>
      <c r="B166" s="3229" t="s">
        <v>3020</v>
      </c>
      <c r="C166" s="3229">
        <v>11050</v>
      </c>
      <c r="D166" s="3229">
        <v>11010</v>
      </c>
      <c r="E166" s="3229">
        <v>13920</v>
      </c>
      <c r="F166" s="3229">
        <v>2140</v>
      </c>
      <c r="G166" s="3229">
        <v>7080</v>
      </c>
    </row>
    <row r="167" spans="1:7" s="3218" customFormat="1" ht="14.25" customHeight="1">
      <c r="A167" s="3229" t="s">
        <v>29</v>
      </c>
      <c r="B167" s="3229" t="s">
        <v>3024</v>
      </c>
      <c r="C167" s="3229">
        <v>10930</v>
      </c>
      <c r="D167" s="3229">
        <v>10890</v>
      </c>
      <c r="E167" s="3229">
        <v>13790</v>
      </c>
      <c r="F167" s="3229">
        <v>2010</v>
      </c>
      <c r="G167" s="3229">
        <v>7000</v>
      </c>
    </row>
    <row r="168" spans="1:7" s="3218" customFormat="1" ht="14.25" customHeight="1">
      <c r="A168" s="3229" t="s">
        <v>29</v>
      </c>
      <c r="B168" s="3229" t="s">
        <v>3029</v>
      </c>
      <c r="C168" s="3229">
        <v>9420</v>
      </c>
      <c r="D168" s="3229">
        <v>9380</v>
      </c>
      <c r="E168" s="3229">
        <v>11970</v>
      </c>
      <c r="F168" s="3229"/>
      <c r="G168" s="3229">
        <v>6040</v>
      </c>
    </row>
    <row r="169" spans="1:7" s="3218" customFormat="1" ht="14.25" customHeight="1">
      <c r="A169" s="3229" t="s">
        <v>29</v>
      </c>
      <c r="B169" s="3229" t="s">
        <v>3081</v>
      </c>
      <c r="C169" s="3229"/>
      <c r="D169" s="3229"/>
      <c r="E169" s="3229"/>
      <c r="F169" s="3229">
        <v>2880</v>
      </c>
      <c r="G169" s="3229"/>
    </row>
    <row r="170" spans="1:7" s="3218" customFormat="1" ht="14.25" customHeight="1">
      <c r="A170" s="3229" t="s">
        <v>29</v>
      </c>
      <c r="B170" s="3229" t="s">
        <v>3037</v>
      </c>
      <c r="C170" s="3229"/>
      <c r="D170" s="3229"/>
      <c r="E170" s="3229"/>
      <c r="F170" s="3229">
        <v>2880</v>
      </c>
      <c r="G170" s="3229"/>
    </row>
    <row r="171" spans="1:7" s="3218" customFormat="1" ht="14.25" customHeight="1">
      <c r="A171" s="3229" t="s">
        <v>29</v>
      </c>
      <c r="B171" s="3229" t="s">
        <v>3040</v>
      </c>
      <c r="C171" s="3229"/>
      <c r="D171" s="3229"/>
      <c r="E171" s="3229"/>
      <c r="F171" s="3229">
        <v>2880</v>
      </c>
      <c r="G171" s="3229"/>
    </row>
    <row r="172" spans="1:7" s="3218" customFormat="1" ht="14.25" customHeight="1">
      <c r="A172" s="3229" t="s">
        <v>29</v>
      </c>
      <c r="B172" s="3229" t="s">
        <v>3042</v>
      </c>
      <c r="C172" s="3229"/>
      <c r="D172" s="3229"/>
      <c r="E172" s="3229"/>
      <c r="F172" s="3229">
        <v>2880</v>
      </c>
      <c r="G172" s="3229"/>
    </row>
    <row r="173" spans="1:7" s="3218" customFormat="1" ht="14.25" customHeight="1">
      <c r="A173" s="3229" t="s">
        <v>29</v>
      </c>
      <c r="B173" s="3229" t="s">
        <v>3044</v>
      </c>
      <c r="C173" s="3229"/>
      <c r="D173" s="3229"/>
      <c r="E173" s="3229"/>
      <c r="F173" s="3229">
        <v>2150</v>
      </c>
      <c r="G173" s="3229"/>
    </row>
    <row r="174" spans="1:7" s="3218" customFormat="1" ht="14.25" customHeight="1">
      <c r="A174" s="3229" t="s">
        <v>29</v>
      </c>
      <c r="B174" s="3229" t="s">
        <v>3046</v>
      </c>
      <c r="C174" s="3229"/>
      <c r="D174" s="3229"/>
      <c r="E174" s="3229"/>
      <c r="F174" s="3229">
        <v>2030</v>
      </c>
      <c r="G174" s="3229"/>
    </row>
    <row r="175" spans="1:7" s="3218" customFormat="1" ht="14.25" customHeight="1">
      <c r="A175" s="3229" t="s">
        <v>29</v>
      </c>
      <c r="B175" s="3229" t="s">
        <v>3048</v>
      </c>
      <c r="C175" s="3229"/>
      <c r="D175" s="3229"/>
      <c r="E175" s="3229"/>
      <c r="F175" s="3229">
        <v>2780</v>
      </c>
      <c r="G175" s="3229"/>
    </row>
    <row r="176" spans="1:7" s="3218" customFormat="1" ht="14.25" customHeight="1">
      <c r="A176" s="3229" t="s">
        <v>29</v>
      </c>
      <c r="B176" s="3229" t="s">
        <v>3050</v>
      </c>
      <c r="C176" s="3229"/>
      <c r="D176" s="3229"/>
      <c r="E176" s="3229"/>
      <c r="F176" s="3229">
        <v>2780</v>
      </c>
      <c r="G176" s="3229"/>
    </row>
    <row r="177" spans="1:7" s="3218" customFormat="1" ht="14.25" customHeight="1">
      <c r="A177" s="3229" t="s">
        <v>29</v>
      </c>
      <c r="B177" s="3229" t="s">
        <v>3082</v>
      </c>
      <c r="C177" s="3229"/>
      <c r="D177" s="3229"/>
      <c r="E177" s="3229"/>
      <c r="F177" s="3229">
        <v>2780</v>
      </c>
      <c r="G177" s="3229"/>
    </row>
    <row r="178" spans="1:7" s="3218" customFormat="1" ht="14.25" customHeight="1">
      <c r="A178" s="3229" t="s">
        <v>29</v>
      </c>
      <c r="B178" s="3229" t="s">
        <v>3083</v>
      </c>
      <c r="C178" s="3229"/>
      <c r="D178" s="3229"/>
      <c r="E178" s="3229"/>
      <c r="F178" s="3229">
        <v>2060</v>
      </c>
      <c r="G178" s="3229"/>
    </row>
    <row r="179" spans="1:7" s="3218" customFormat="1" ht="14.25" customHeight="1">
      <c r="A179" s="3229" t="s">
        <v>29</v>
      </c>
      <c r="B179" s="3229" t="s">
        <v>3084</v>
      </c>
      <c r="C179" s="3229"/>
      <c r="D179" s="3229"/>
      <c r="E179" s="3229"/>
      <c r="F179" s="3229">
        <v>2120</v>
      </c>
      <c r="G179" s="3229"/>
    </row>
    <row r="180" spans="1:7" s="3218" customFormat="1" ht="14.25" customHeight="1">
      <c r="A180" s="3229" t="s">
        <v>29</v>
      </c>
      <c r="B180" s="3229" t="s">
        <v>3056</v>
      </c>
      <c r="C180" s="3229"/>
      <c r="D180" s="3229"/>
      <c r="E180" s="3229"/>
      <c r="F180" s="3229">
        <v>2340</v>
      </c>
      <c r="G180" s="3229"/>
    </row>
    <row r="181" spans="1:7" s="3218" customFormat="1" ht="14.25" customHeight="1">
      <c r="A181" s="3229" t="s">
        <v>29</v>
      </c>
      <c r="B181" s="3229" t="s">
        <v>3057</v>
      </c>
      <c r="C181" s="3229"/>
      <c r="D181" s="3229"/>
      <c r="E181" s="3229"/>
      <c r="F181" s="3229">
        <v>2340</v>
      </c>
      <c r="G181" s="3229"/>
    </row>
    <row r="182" spans="1:7" s="3218" customFormat="1" ht="14.25" customHeight="1">
      <c r="A182" s="3229" t="s">
        <v>29</v>
      </c>
      <c r="B182" s="3229" t="s">
        <v>3058</v>
      </c>
      <c r="C182" s="3229"/>
      <c r="D182" s="3229"/>
      <c r="E182" s="3229"/>
      <c r="F182" s="3229">
        <v>2340</v>
      </c>
      <c r="G182" s="3229"/>
    </row>
    <row r="183" spans="1:7" s="3218" customFormat="1" ht="14.25" customHeight="1">
      <c r="A183" s="3229" t="s">
        <v>29</v>
      </c>
      <c r="B183" s="3229" t="s">
        <v>3059</v>
      </c>
      <c r="C183" s="3229"/>
      <c r="D183" s="3229"/>
      <c r="E183" s="3229"/>
      <c r="F183" s="3229">
        <v>2340</v>
      </c>
      <c r="G183" s="3229"/>
    </row>
    <row r="184" spans="1:7" s="3218" customFormat="1" ht="14.25" customHeight="1">
      <c r="A184" s="3229" t="s">
        <v>29</v>
      </c>
      <c r="B184" s="3229" t="s">
        <v>3060</v>
      </c>
      <c r="C184" s="3229"/>
      <c r="D184" s="3229"/>
      <c r="E184" s="3229"/>
      <c r="F184" s="3229">
        <v>2340</v>
      </c>
      <c r="G184" s="3229"/>
    </row>
    <row r="185" spans="1:7" s="3218" customFormat="1" ht="14.25" customHeight="1">
      <c r="A185" s="3229" t="s">
        <v>29</v>
      </c>
      <c r="B185" s="3229" t="s">
        <v>3061</v>
      </c>
      <c r="C185" s="3229"/>
      <c r="D185" s="3229"/>
      <c r="E185" s="3229"/>
      <c r="F185" s="3229">
        <v>2530</v>
      </c>
      <c r="G185" s="3229"/>
    </row>
    <row r="186" spans="1:7" s="3218" customFormat="1" ht="14.25" customHeight="1">
      <c r="A186" s="3229" t="s">
        <v>29</v>
      </c>
      <c r="B186" s="3229" t="s">
        <v>3062</v>
      </c>
      <c r="C186" s="3229"/>
      <c r="D186" s="3229"/>
      <c r="E186" s="3229"/>
      <c r="F186" s="3229">
        <v>2550</v>
      </c>
      <c r="G186" s="3229"/>
    </row>
    <row r="187" spans="1:7" s="3218" customFormat="1" ht="14.25" customHeight="1">
      <c r="A187" s="3229" t="s">
        <v>29</v>
      </c>
      <c r="B187" s="3229" t="s">
        <v>3063</v>
      </c>
      <c r="C187" s="3229"/>
      <c r="D187" s="3229"/>
      <c r="E187" s="3229"/>
      <c r="F187" s="3229">
        <v>2070</v>
      </c>
      <c r="G187" s="3229"/>
    </row>
    <row r="188" spans="1:7" s="3218" customFormat="1" ht="14.25" customHeight="1">
      <c r="A188" s="3229" t="s">
        <v>29</v>
      </c>
      <c r="B188" s="3229" t="s">
        <v>3064</v>
      </c>
      <c r="C188" s="3229"/>
      <c r="D188" s="3229"/>
      <c r="E188" s="3229"/>
      <c r="F188" s="3229">
        <v>2340</v>
      </c>
      <c r="G188" s="3229"/>
    </row>
    <row r="189" spans="1:7" s="3218" customFormat="1" ht="14.25" customHeight="1" thickBot="1">
      <c r="A189" s="3237" t="s">
        <v>29</v>
      </c>
      <c r="B189" s="3240" t="s">
        <v>3065</v>
      </c>
      <c r="C189" s="3240"/>
      <c r="D189" s="3240"/>
      <c r="E189" s="3240"/>
      <c r="F189" s="3240">
        <v>2050</v>
      </c>
      <c r="G189" s="3240"/>
    </row>
    <row r="190" spans="1:7" s="3218" customFormat="1" ht="14.25" customHeight="1">
      <c r="A190" s="3234" t="s">
        <v>304</v>
      </c>
      <c r="B190" s="3225" t="s">
        <v>3085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3086</v>
      </c>
      <c r="C199" s="3229">
        <v>8690</v>
      </c>
      <c r="D199" s="3229">
        <v>8630</v>
      </c>
      <c r="E199" s="3229">
        <v>11350</v>
      </c>
      <c r="F199" s="3229">
        <v>1600</v>
      </c>
      <c r="G199" s="3242">
        <v>5450</v>
      </c>
    </row>
    <row r="200" spans="1:7" s="3218" customFormat="1" ht="14.25" customHeight="1">
      <c r="A200" s="3229" t="s">
        <v>304</v>
      </c>
      <c r="B200" s="3229" t="s">
        <v>2897</v>
      </c>
      <c r="C200" s="3229"/>
      <c r="D200" s="3229"/>
      <c r="E200" s="3229"/>
      <c r="F200" s="3229">
        <v>1510</v>
      </c>
      <c r="G200" s="3242"/>
    </row>
    <row r="201" spans="1:7" s="3218" customFormat="1" ht="14.25" customHeight="1">
      <c r="A201" s="3229" t="s">
        <v>304</v>
      </c>
      <c r="B201" s="3229" t="s">
        <v>3087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3088</v>
      </c>
      <c r="C203" s="3229">
        <v>8130</v>
      </c>
      <c r="D203" s="3229">
        <v>8070</v>
      </c>
      <c r="E203" s="3229">
        <v>10820</v>
      </c>
      <c r="F203" s="3229">
        <v>1690</v>
      </c>
      <c r="G203" s="3242">
        <v>5100</v>
      </c>
    </row>
    <row r="204" spans="1:7" s="3218" customFormat="1" ht="14.25" customHeight="1">
      <c r="A204" s="3229" t="s">
        <v>304</v>
      </c>
      <c r="B204" s="3229" t="s">
        <v>2908</v>
      </c>
      <c r="C204" s="3229">
        <v>8350</v>
      </c>
      <c r="D204" s="3229">
        <v>8290</v>
      </c>
      <c r="E204" s="3229">
        <v>11080</v>
      </c>
      <c r="F204" s="3229">
        <v>1450</v>
      </c>
      <c r="G204" s="3242">
        <v>5240</v>
      </c>
    </row>
    <row r="205" spans="1:7" s="3218" customFormat="1" ht="14.25" customHeight="1">
      <c r="A205" s="3229" t="s">
        <v>304</v>
      </c>
      <c r="B205" s="3229" t="s">
        <v>2910</v>
      </c>
      <c r="C205" s="3229">
        <v>7190</v>
      </c>
      <c r="D205" s="3229">
        <v>7130</v>
      </c>
      <c r="E205" s="3229">
        <v>9490</v>
      </c>
      <c r="F205" s="3229">
        <v>1470</v>
      </c>
      <c r="G205" s="3242">
        <v>4510</v>
      </c>
    </row>
    <row r="206" spans="1:7" s="3218" customFormat="1" ht="14.25" customHeight="1">
      <c r="A206" s="3229" t="s">
        <v>304</v>
      </c>
      <c r="B206" s="3229" t="s">
        <v>2913</v>
      </c>
      <c r="C206" s="3229">
        <v>7000</v>
      </c>
      <c r="D206" s="3229">
        <v>6950</v>
      </c>
      <c r="E206" s="3229">
        <v>9170</v>
      </c>
      <c r="F206" s="3229">
        <v>1400</v>
      </c>
      <c r="G206" s="3242">
        <v>4380</v>
      </c>
    </row>
    <row r="207" spans="1:7" s="3218" customFormat="1" ht="14.25" customHeight="1">
      <c r="A207" s="3229" t="s">
        <v>304</v>
      </c>
      <c r="B207" s="3229" t="s">
        <v>2915</v>
      </c>
      <c r="C207" s="3229">
        <v>6950</v>
      </c>
      <c r="D207" s="3229">
        <v>6900</v>
      </c>
      <c r="E207" s="3229">
        <v>9110</v>
      </c>
      <c r="F207" s="3229">
        <v>1790</v>
      </c>
      <c r="G207" s="3242">
        <v>4360</v>
      </c>
    </row>
    <row r="208" spans="1:7" s="3218" customFormat="1" ht="14.25" customHeight="1">
      <c r="A208" s="3229" t="s">
        <v>304</v>
      </c>
      <c r="B208" s="3229" t="s">
        <v>3089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2925</v>
      </c>
      <c r="C210" s="3229">
        <v>8710</v>
      </c>
      <c r="D210" s="3229">
        <v>8660</v>
      </c>
      <c r="E210" s="3229">
        <v>11440</v>
      </c>
      <c r="F210" s="3229">
        <v>1740</v>
      </c>
      <c r="G210" s="3242">
        <v>5470</v>
      </c>
    </row>
    <row r="211" spans="1:7" s="3218" customFormat="1" ht="14.25" customHeight="1">
      <c r="A211" s="3229" t="s">
        <v>304</v>
      </c>
      <c r="B211" s="3229" t="s">
        <v>3090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3091</v>
      </c>
      <c r="C214" s="3229">
        <v>8090</v>
      </c>
      <c r="D214" s="3229">
        <v>8030</v>
      </c>
      <c r="E214" s="3229">
        <v>10780</v>
      </c>
      <c r="F214" s="3229">
        <v>1570</v>
      </c>
      <c r="G214" s="3242">
        <v>5070</v>
      </c>
    </row>
    <row r="215" spans="1:7" s="3218" customFormat="1" ht="14.25" customHeight="1">
      <c r="A215" s="3229" t="s">
        <v>304</v>
      </c>
      <c r="B215" s="3229" t="s">
        <v>3092</v>
      </c>
      <c r="C215" s="3229">
        <v>7950</v>
      </c>
      <c r="D215" s="3229">
        <v>7900</v>
      </c>
      <c r="E215" s="3229">
        <v>10560</v>
      </c>
      <c r="F215" s="3229">
        <v>1630</v>
      </c>
      <c r="G215" s="3242">
        <v>4990</v>
      </c>
    </row>
    <row r="216" spans="1:7" s="3218" customFormat="1" ht="14.25" customHeight="1">
      <c r="A216" s="3229" t="s">
        <v>304</v>
      </c>
      <c r="B216" s="3229" t="s">
        <v>3093</v>
      </c>
      <c r="C216" s="3229">
        <v>8490</v>
      </c>
      <c r="D216" s="3229">
        <v>8440</v>
      </c>
      <c r="E216" s="3229">
        <v>11260</v>
      </c>
      <c r="F216" s="3229">
        <v>1690</v>
      </c>
      <c r="G216" s="3242">
        <v>5330</v>
      </c>
    </row>
    <row r="217" spans="1:7" s="3218" customFormat="1" ht="14.25" customHeight="1">
      <c r="A217" s="3229" t="s">
        <v>304</v>
      </c>
      <c r="B217" s="3229" t="s">
        <v>2958</v>
      </c>
      <c r="C217" s="3229">
        <v>8200</v>
      </c>
      <c r="D217" s="3229">
        <v>8150</v>
      </c>
      <c r="E217" s="3229">
        <v>10910</v>
      </c>
      <c r="F217" s="3229">
        <v>1670</v>
      </c>
      <c r="G217" s="3242">
        <v>5150</v>
      </c>
    </row>
    <row r="218" spans="1:7" s="3218" customFormat="1" ht="14.25" customHeight="1">
      <c r="A218" s="3229" t="s">
        <v>304</v>
      </c>
      <c r="B218" s="3229" t="s">
        <v>3094</v>
      </c>
      <c r="C218" s="3229"/>
      <c r="D218" s="3229"/>
      <c r="E218" s="3229"/>
      <c r="F218" s="3229">
        <v>2040</v>
      </c>
      <c r="G218" s="3242"/>
    </row>
    <row r="219" spans="1:7" s="3218" customFormat="1" ht="14.25" customHeight="1">
      <c r="A219" s="3229" t="s">
        <v>304</v>
      </c>
      <c r="B219" s="3229" t="s">
        <v>3095</v>
      </c>
      <c r="C219" s="3229"/>
      <c r="D219" s="3229"/>
      <c r="E219" s="3229"/>
      <c r="F219" s="3229">
        <v>2040</v>
      </c>
      <c r="G219" s="3242"/>
    </row>
    <row r="220" spans="1:7" s="3218" customFormat="1" ht="14.25" customHeight="1">
      <c r="A220" s="3229" t="s">
        <v>304</v>
      </c>
      <c r="B220" s="3229" t="s">
        <v>3096</v>
      </c>
      <c r="C220" s="3229"/>
      <c r="D220" s="3229"/>
      <c r="E220" s="3229"/>
      <c r="F220" s="3229">
        <v>2040</v>
      </c>
      <c r="G220" s="3242"/>
    </row>
    <row r="221" spans="1:7" s="3218" customFormat="1" ht="14.25" customHeight="1">
      <c r="A221" s="3229" t="s">
        <v>304</v>
      </c>
      <c r="B221" s="3229" t="s">
        <v>3097</v>
      </c>
      <c r="C221" s="3229"/>
      <c r="D221" s="3229"/>
      <c r="E221" s="3229"/>
      <c r="F221" s="3229">
        <v>2040</v>
      </c>
      <c r="G221" s="3242"/>
    </row>
    <row r="222" spans="1:7" s="3218" customFormat="1" ht="14.25" customHeight="1">
      <c r="A222" s="3229" t="s">
        <v>304</v>
      </c>
      <c r="B222" s="3229" t="s">
        <v>3098</v>
      </c>
      <c r="C222" s="3229"/>
      <c r="D222" s="3229"/>
      <c r="E222" s="3229"/>
      <c r="F222" s="3229">
        <v>2040</v>
      </c>
      <c r="G222" s="3242"/>
    </row>
    <row r="223" spans="1:7" s="3218" customFormat="1" ht="14.25" customHeight="1">
      <c r="A223" s="3229" t="s">
        <v>304</v>
      </c>
      <c r="B223" s="3229" t="s">
        <v>3099</v>
      </c>
      <c r="C223" s="3229"/>
      <c r="D223" s="3229"/>
      <c r="E223" s="3229"/>
      <c r="F223" s="3229">
        <v>1930</v>
      </c>
      <c r="G223" s="3242"/>
    </row>
    <row r="224" spans="1:7" s="3218" customFormat="1" ht="14.25" customHeight="1">
      <c r="A224" s="3229" t="s">
        <v>304</v>
      </c>
      <c r="B224" s="3229" t="s">
        <v>3100</v>
      </c>
      <c r="C224" s="3229"/>
      <c r="D224" s="3229"/>
      <c r="E224" s="3229"/>
      <c r="F224" s="3229">
        <v>1930</v>
      </c>
      <c r="G224" s="3242"/>
    </row>
    <row r="225" spans="1:7" s="3218" customFormat="1" ht="14.25" customHeight="1">
      <c r="A225" s="3229" t="s">
        <v>304</v>
      </c>
      <c r="B225" s="3229" t="s">
        <v>3101</v>
      </c>
      <c r="C225" s="3229"/>
      <c r="D225" s="3229"/>
      <c r="E225" s="3229"/>
      <c r="F225" s="3229">
        <v>1930</v>
      </c>
      <c r="G225" s="3242"/>
    </row>
    <row r="226" spans="1:7" s="3218" customFormat="1" ht="14.25" customHeight="1">
      <c r="A226" s="3229" t="s">
        <v>304</v>
      </c>
      <c r="B226" s="3229" t="s">
        <v>3102</v>
      </c>
      <c r="C226" s="3229"/>
      <c r="D226" s="3229"/>
      <c r="E226" s="3229"/>
      <c r="F226" s="3229">
        <v>1700</v>
      </c>
      <c r="G226" s="3242"/>
    </row>
    <row r="227" spans="1:7" s="3218" customFormat="1" ht="14.25" customHeight="1">
      <c r="A227" s="3229" t="s">
        <v>304</v>
      </c>
      <c r="B227" s="3229" t="s">
        <v>3103</v>
      </c>
      <c r="C227" s="3229"/>
      <c r="D227" s="3229"/>
      <c r="E227" s="3229"/>
      <c r="F227" s="3229">
        <v>1520</v>
      </c>
      <c r="G227" s="3242"/>
    </row>
    <row r="228" spans="1:7" s="3218" customFormat="1" ht="14.25" customHeight="1">
      <c r="A228" s="3229" t="s">
        <v>304</v>
      </c>
      <c r="B228" s="3229" t="s">
        <v>3104</v>
      </c>
      <c r="C228" s="3229"/>
      <c r="D228" s="3229"/>
      <c r="E228" s="3229"/>
      <c r="F228" s="3229">
        <v>1520</v>
      </c>
      <c r="G228" s="3242"/>
    </row>
    <row r="229" spans="1:7" s="3218" customFormat="1" ht="14.25" customHeight="1">
      <c r="A229" s="3229" t="s">
        <v>304</v>
      </c>
      <c r="B229" s="3229" t="s">
        <v>3021</v>
      </c>
      <c r="C229" s="3229"/>
      <c r="D229" s="3229"/>
      <c r="E229" s="3229"/>
      <c r="F229" s="3229">
        <v>1520</v>
      </c>
      <c r="G229" s="3242"/>
    </row>
    <row r="230" spans="1:7" s="3218" customFormat="1" ht="14.25" customHeight="1">
      <c r="A230" s="3229" t="s">
        <v>304</v>
      </c>
      <c r="B230" s="3229" t="s">
        <v>3105</v>
      </c>
      <c r="C230" s="3229"/>
      <c r="D230" s="3229"/>
      <c r="E230" s="3229"/>
      <c r="F230" s="3229">
        <v>1820</v>
      </c>
      <c r="G230" s="3242"/>
    </row>
    <row r="231" spans="1:7" s="3218" customFormat="1" ht="14.25" customHeight="1">
      <c r="A231" s="3229" t="s">
        <v>304</v>
      </c>
      <c r="B231" s="3229" t="s">
        <v>3106</v>
      </c>
      <c r="C231" s="3229"/>
      <c r="D231" s="3229"/>
      <c r="E231" s="3229"/>
      <c r="F231" s="3229">
        <v>1760</v>
      </c>
      <c r="G231" s="3242"/>
    </row>
    <row r="232" spans="1:7" s="3218" customFormat="1" ht="14.25" customHeight="1">
      <c r="A232" s="3229" t="s">
        <v>304</v>
      </c>
      <c r="B232" s="3229" t="s">
        <v>3107</v>
      </c>
      <c r="C232" s="3229"/>
      <c r="D232" s="3229"/>
      <c r="E232" s="3229"/>
      <c r="F232" s="3229">
        <v>1840</v>
      </c>
      <c r="G232" s="3242"/>
    </row>
    <row r="233" spans="1:7" s="3218" customFormat="1" ht="14.25" customHeight="1" thickBot="1">
      <c r="A233" s="3243" t="s">
        <v>304</v>
      </c>
      <c r="B233" s="3236" t="s">
        <v>3038</v>
      </c>
      <c r="C233" s="3236"/>
      <c r="D233" s="3236"/>
      <c r="E233" s="3236"/>
      <c r="F233" s="3236">
        <v>1770</v>
      </c>
      <c r="G233" s="3244"/>
    </row>
    <row r="234" spans="1:7" s="3218" customFormat="1" ht="14.25" customHeight="1">
      <c r="A234" s="3234" t="s">
        <v>305</v>
      </c>
      <c r="B234" s="3225" t="s">
        <v>3108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2879</v>
      </c>
      <c r="C238" s="3229">
        <v>6920</v>
      </c>
      <c r="D238" s="3229">
        <v>6890</v>
      </c>
      <c r="E238" s="3229">
        <v>8640</v>
      </c>
      <c r="F238" s="3229">
        <v>1310</v>
      </c>
      <c r="G238" s="3229">
        <v>4230</v>
      </c>
    </row>
    <row r="239" spans="1:7" s="3218" customFormat="1" ht="14.25" customHeight="1">
      <c r="A239" s="3229" t="s">
        <v>305</v>
      </c>
      <c r="B239" s="3229" t="s">
        <v>3109</v>
      </c>
      <c r="C239" s="3229">
        <v>6780</v>
      </c>
      <c r="D239" s="3229">
        <v>6750</v>
      </c>
      <c r="E239" s="3229">
        <v>8440</v>
      </c>
      <c r="F239" s="3229">
        <v>1160</v>
      </c>
      <c r="G239" s="3229">
        <v>4140</v>
      </c>
    </row>
    <row r="240" spans="1:7" s="3218" customFormat="1" ht="14.25" customHeight="1">
      <c r="A240" s="3229" t="s">
        <v>305</v>
      </c>
      <c r="B240" s="3229" t="s">
        <v>3110</v>
      </c>
      <c r="C240" s="3229">
        <v>5420</v>
      </c>
      <c r="D240" s="3229">
        <v>5380</v>
      </c>
      <c r="E240" s="3229">
        <v>6640</v>
      </c>
      <c r="F240" s="3229">
        <v>1020</v>
      </c>
      <c r="G240" s="3229">
        <v>3300</v>
      </c>
    </row>
    <row r="241" spans="1:7" s="3218" customFormat="1" ht="14.25" customHeight="1">
      <c r="A241" s="3229" t="s">
        <v>305</v>
      </c>
      <c r="B241" s="3229" t="s">
        <v>3111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2941</v>
      </c>
      <c r="C258" s="3229">
        <v>6190</v>
      </c>
      <c r="D258" s="3229">
        <v>6160</v>
      </c>
      <c r="E258" s="3229">
        <v>7680</v>
      </c>
      <c r="F258" s="3229">
        <v>1170</v>
      </c>
      <c r="G258" s="3229">
        <v>3780</v>
      </c>
    </row>
    <row r="259" spans="1:7" s="3218" customFormat="1" ht="14.25" customHeight="1">
      <c r="A259" s="3229" t="s">
        <v>305</v>
      </c>
      <c r="B259" s="3229" t="s">
        <v>3117</v>
      </c>
      <c r="C259" s="3229">
        <v>7610</v>
      </c>
      <c r="D259" s="3229">
        <v>7570</v>
      </c>
      <c r="E259" s="3229">
        <v>9350</v>
      </c>
      <c r="F259" s="3229">
        <v>1350</v>
      </c>
      <c r="G259" s="3229">
        <v>4650</v>
      </c>
    </row>
    <row r="260" spans="1:7" s="3218" customFormat="1" ht="14.25" customHeight="1">
      <c r="A260" s="3229" t="s">
        <v>305</v>
      </c>
      <c r="B260" s="3229" t="s">
        <v>3118</v>
      </c>
      <c r="C260" s="3229">
        <v>6920</v>
      </c>
      <c r="D260" s="3229">
        <v>6880</v>
      </c>
      <c r="E260" s="3229">
        <v>8380</v>
      </c>
      <c r="F260" s="3229">
        <v>1160</v>
      </c>
      <c r="G260" s="3229">
        <v>4220</v>
      </c>
    </row>
    <row r="261" spans="1:7" s="3218" customFormat="1" ht="14.25" customHeight="1">
      <c r="A261" s="3229" t="s">
        <v>305</v>
      </c>
      <c r="B261" s="3229" t="s">
        <v>3119</v>
      </c>
      <c r="C261" s="3229">
        <v>6850</v>
      </c>
      <c r="D261" s="3229">
        <v>6810</v>
      </c>
      <c r="E261" s="3229">
        <v>8290</v>
      </c>
      <c r="F261" s="3229">
        <v>1130</v>
      </c>
      <c r="G261" s="3229">
        <v>4180</v>
      </c>
    </row>
    <row r="262" spans="1:7" s="3218" customFormat="1" ht="14.25" customHeight="1">
      <c r="A262" s="3229" t="s">
        <v>305</v>
      </c>
      <c r="B262" s="3229" t="s">
        <v>3120</v>
      </c>
      <c r="C262" s="3229">
        <v>5860</v>
      </c>
      <c r="D262" s="3229">
        <v>5820</v>
      </c>
      <c r="E262" s="3229">
        <v>7640</v>
      </c>
      <c r="F262" s="3229">
        <v>1070</v>
      </c>
      <c r="G262" s="3229">
        <v>3570</v>
      </c>
    </row>
    <row r="263" spans="1:7" s="3218" customFormat="1" ht="14.25" customHeight="1">
      <c r="A263" s="3229" t="s">
        <v>305</v>
      </c>
      <c r="B263" s="3229" t="s">
        <v>3121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3122</v>
      </c>
      <c r="C265" s="3229"/>
      <c r="D265" s="3229"/>
      <c r="E265" s="3229"/>
      <c r="F265" s="3229">
        <v>1500</v>
      </c>
      <c r="G265" s="3229"/>
    </row>
    <row r="266" spans="1:7" s="3218" customFormat="1" ht="14.25" customHeight="1">
      <c r="A266" s="3229" t="s">
        <v>305</v>
      </c>
      <c r="B266" s="3229" t="s">
        <v>3123</v>
      </c>
      <c r="C266" s="3229"/>
      <c r="D266" s="3229"/>
      <c r="E266" s="3229"/>
      <c r="F266" s="3229">
        <v>1500</v>
      </c>
      <c r="G266" s="3229"/>
    </row>
    <row r="267" spans="1:7" s="3218" customFormat="1" ht="14.25" customHeight="1">
      <c r="A267" s="3229" t="s">
        <v>305</v>
      </c>
      <c r="B267" s="3229" t="s">
        <v>3124</v>
      </c>
      <c r="C267" s="3229"/>
      <c r="D267" s="3229"/>
      <c r="E267" s="3229"/>
      <c r="F267" s="3229">
        <v>1500</v>
      </c>
      <c r="G267" s="3229"/>
    </row>
    <row r="268" spans="1:7" s="3218" customFormat="1" ht="14.25" customHeight="1">
      <c r="A268" s="3229" t="s">
        <v>305</v>
      </c>
      <c r="B268" s="3229" t="s">
        <v>3125</v>
      </c>
      <c r="C268" s="3229"/>
      <c r="D268" s="3229"/>
      <c r="E268" s="3229"/>
      <c r="F268" s="3229">
        <v>1290</v>
      </c>
      <c r="G268" s="3229"/>
    </row>
    <row r="269" spans="1:7" s="3218" customFormat="1" ht="14.25" customHeight="1">
      <c r="A269" s="3229" t="s">
        <v>305</v>
      </c>
      <c r="B269" s="3229" t="s">
        <v>3126</v>
      </c>
      <c r="C269" s="3229"/>
      <c r="D269" s="3229"/>
      <c r="E269" s="3229"/>
      <c r="F269" s="3229">
        <v>1150</v>
      </c>
      <c r="G269" s="3229"/>
    </row>
    <row r="270" spans="1:7" s="3218" customFormat="1" ht="14.25" customHeight="1">
      <c r="A270" s="3229" t="s">
        <v>305</v>
      </c>
      <c r="B270" s="3229" t="s">
        <v>3127</v>
      </c>
      <c r="C270" s="3229"/>
      <c r="D270" s="3229"/>
      <c r="E270" s="3229"/>
      <c r="F270" s="3229">
        <v>1380</v>
      </c>
      <c r="G270" s="3229"/>
    </row>
    <row r="271" spans="1:7" s="3218" customFormat="1" ht="14.25" customHeight="1">
      <c r="A271" s="3229" t="s">
        <v>305</v>
      </c>
      <c r="B271" s="3229" t="s">
        <v>3128</v>
      </c>
      <c r="C271" s="3229"/>
      <c r="D271" s="3229"/>
      <c r="E271" s="3229"/>
      <c r="F271" s="3229">
        <v>1460</v>
      </c>
      <c r="G271" s="3229"/>
    </row>
    <row r="272" spans="1:7" s="3218" customFormat="1" ht="14.25" customHeight="1">
      <c r="A272" s="3229" t="s">
        <v>305</v>
      </c>
      <c r="B272" s="3229" t="s">
        <v>3129</v>
      </c>
      <c r="C272" s="3229"/>
      <c r="D272" s="3229"/>
      <c r="E272" s="3229"/>
      <c r="F272" s="3229">
        <v>1460</v>
      </c>
      <c r="G272" s="3229"/>
    </row>
    <row r="273" spans="1:7" s="3218" customFormat="1" ht="14.25" customHeight="1">
      <c r="A273" s="3229" t="s">
        <v>305</v>
      </c>
      <c r="B273" s="3229" t="s">
        <v>3022</v>
      </c>
      <c r="C273" s="3229"/>
      <c r="D273" s="3229"/>
      <c r="E273" s="3229"/>
      <c r="F273" s="3229">
        <v>1490</v>
      </c>
      <c r="G273" s="3229"/>
    </row>
    <row r="274" spans="1:7" s="3218" customFormat="1" ht="14.25" customHeight="1">
      <c r="A274" s="3229" t="s">
        <v>305</v>
      </c>
      <c r="B274" s="3229" t="s">
        <v>3130</v>
      </c>
      <c r="C274" s="3229"/>
      <c r="D274" s="3229"/>
      <c r="E274" s="3229"/>
      <c r="F274" s="3229">
        <v>1490</v>
      </c>
      <c r="G274" s="3229"/>
    </row>
    <row r="275" spans="1:7" s="3218" customFormat="1" ht="14.25" customHeight="1">
      <c r="A275" s="3229" t="s">
        <v>305</v>
      </c>
      <c r="B275" s="3229" t="s">
        <v>3131</v>
      </c>
      <c r="C275" s="3229"/>
      <c r="D275" s="3229"/>
      <c r="E275" s="3229"/>
      <c r="F275" s="3229">
        <v>1220</v>
      </c>
      <c r="G275" s="3229"/>
    </row>
    <row r="276" spans="1:7" s="3218" customFormat="1" ht="14.25" customHeight="1" thickBot="1">
      <c r="A276" s="3237" t="s">
        <v>305</v>
      </c>
      <c r="B276" s="3239" t="s">
        <v>3132</v>
      </c>
      <c r="C276" s="3240"/>
      <c r="D276" s="3240"/>
      <c r="E276" s="3240"/>
      <c r="F276" s="3240">
        <v>1380</v>
      </c>
      <c r="G276" s="3240"/>
    </row>
    <row r="277" spans="1:7" s="3218" customFormat="1" ht="14.25" customHeight="1">
      <c r="A277" s="3234" t="s">
        <v>306</v>
      </c>
      <c r="B277" s="3225" t="s">
        <v>3133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3134</v>
      </c>
      <c r="C279" s="3229">
        <v>4760</v>
      </c>
      <c r="D279" s="3229">
        <v>4720</v>
      </c>
      <c r="E279" s="3229">
        <v>5540</v>
      </c>
      <c r="F279" s="3229">
        <v>810</v>
      </c>
      <c r="G279" s="3242">
        <v>2850</v>
      </c>
    </row>
    <row r="280" spans="1:7" s="3218" customFormat="1" ht="14.25" customHeight="1">
      <c r="A280" s="3229" t="s">
        <v>306</v>
      </c>
      <c r="B280" s="3229" t="s">
        <v>3135</v>
      </c>
      <c r="C280" s="3229">
        <v>4010</v>
      </c>
      <c r="D280" s="3229">
        <v>3950</v>
      </c>
      <c r="E280" s="3229">
        <v>4710</v>
      </c>
      <c r="F280" s="3229">
        <v>800</v>
      </c>
      <c r="G280" s="3242">
        <v>2390</v>
      </c>
    </row>
    <row r="281" spans="1:7" s="3218" customFormat="1" ht="14.25" customHeight="1">
      <c r="A281" s="3229" t="s">
        <v>306</v>
      </c>
      <c r="B281" s="3229" t="s">
        <v>3136</v>
      </c>
      <c r="C281" s="3229">
        <v>4480</v>
      </c>
      <c r="D281" s="3229">
        <v>4420</v>
      </c>
      <c r="E281" s="3229">
        <v>5230</v>
      </c>
      <c r="F281" s="3229">
        <v>870</v>
      </c>
      <c r="G281" s="3242">
        <v>2660</v>
      </c>
    </row>
    <row r="282" spans="1:7" s="3218" customFormat="1" ht="14.25" customHeight="1">
      <c r="A282" s="3229" t="s">
        <v>306</v>
      </c>
      <c r="B282" s="3229" t="s">
        <v>3137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2914</v>
      </c>
      <c r="C293" s="3229">
        <v>5320</v>
      </c>
      <c r="D293" s="3229">
        <v>5270</v>
      </c>
      <c r="E293" s="3229">
        <v>6160</v>
      </c>
      <c r="F293" s="3229">
        <v>990</v>
      </c>
      <c r="G293" s="3242">
        <v>3170</v>
      </c>
    </row>
    <row r="294" spans="1:7" s="3218" customFormat="1" ht="14.25" customHeight="1">
      <c r="A294" s="3229" t="s">
        <v>306</v>
      </c>
      <c r="B294" s="3229" t="s">
        <v>3140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3141</v>
      </c>
      <c r="C302" s="3229">
        <v>5520</v>
      </c>
      <c r="D302" s="3229">
        <v>5470</v>
      </c>
      <c r="E302" s="3229">
        <v>6410</v>
      </c>
      <c r="F302" s="3229">
        <v>950</v>
      </c>
      <c r="G302" s="3242">
        <v>3300</v>
      </c>
    </row>
    <row r="303" spans="1:7" s="3218" customFormat="1" ht="14.25" customHeight="1">
      <c r="A303" s="3229" t="s">
        <v>306</v>
      </c>
      <c r="B303" s="3229" t="s">
        <v>2953</v>
      </c>
      <c r="C303" s="3229">
        <v>5630</v>
      </c>
      <c r="D303" s="3229">
        <v>5590</v>
      </c>
      <c r="E303" s="3229">
        <v>6550</v>
      </c>
      <c r="F303" s="3229">
        <v>1010</v>
      </c>
      <c r="G303" s="3242">
        <v>3370</v>
      </c>
    </row>
    <row r="304" spans="1:7" s="3218" customFormat="1" ht="14.25" customHeight="1">
      <c r="A304" s="3229" t="s">
        <v>306</v>
      </c>
      <c r="B304" s="3229" t="s">
        <v>2960</v>
      </c>
      <c r="C304" s="3229">
        <v>5680</v>
      </c>
      <c r="D304" s="3229">
        <v>5620</v>
      </c>
      <c r="E304" s="3229">
        <v>6620</v>
      </c>
      <c r="F304" s="3229">
        <v>1050</v>
      </c>
      <c r="G304" s="3242">
        <v>3390</v>
      </c>
    </row>
    <row r="305" spans="1:7" s="3218" customFormat="1" ht="14.25" customHeight="1">
      <c r="A305" s="3229" t="s">
        <v>306</v>
      </c>
      <c r="B305" s="3229" t="s">
        <v>2966</v>
      </c>
      <c r="C305" s="3229">
        <v>5590</v>
      </c>
      <c r="D305" s="3229">
        <v>5530</v>
      </c>
      <c r="E305" s="3229">
        <v>6460</v>
      </c>
      <c r="F305" s="3229">
        <v>900</v>
      </c>
      <c r="G305" s="3242">
        <v>3340</v>
      </c>
    </row>
    <row r="306" spans="1:7" s="3218" customFormat="1" ht="14.25" customHeight="1">
      <c r="A306" s="3229" t="s">
        <v>306</v>
      </c>
      <c r="B306" s="3229" t="s">
        <v>3142</v>
      </c>
      <c r="C306" s="3229">
        <v>5560</v>
      </c>
      <c r="D306" s="3229">
        <v>5510</v>
      </c>
      <c r="E306" s="3229">
        <v>6440</v>
      </c>
      <c r="F306" s="3229">
        <v>900</v>
      </c>
      <c r="G306" s="3242">
        <v>3320</v>
      </c>
    </row>
    <row r="307" spans="1:7" s="3218" customFormat="1" ht="14.25" customHeight="1">
      <c r="A307" s="3229" t="s">
        <v>306</v>
      </c>
      <c r="B307" s="3229" t="s">
        <v>2978</v>
      </c>
      <c r="C307" s="3229">
        <v>5650</v>
      </c>
      <c r="D307" s="3229">
        <v>5600</v>
      </c>
      <c r="E307" s="3229">
        <v>6590</v>
      </c>
      <c r="F307" s="3229">
        <v>930</v>
      </c>
      <c r="G307" s="3242">
        <v>3380</v>
      </c>
    </row>
    <row r="308" spans="1:7" s="3218" customFormat="1" ht="14.25" customHeight="1">
      <c r="A308" s="3229" t="s">
        <v>306</v>
      </c>
      <c r="B308" s="3229" t="s">
        <v>3143</v>
      </c>
      <c r="C308" s="3229">
        <v>5620</v>
      </c>
      <c r="D308" s="3229">
        <v>5580</v>
      </c>
      <c r="E308" s="3229">
        <v>6540</v>
      </c>
      <c r="F308" s="3229">
        <v>910</v>
      </c>
      <c r="G308" s="3242">
        <v>3370</v>
      </c>
    </row>
    <row r="309" spans="1:7" s="3218" customFormat="1" ht="14.25" customHeight="1">
      <c r="A309" s="3229" t="s">
        <v>306</v>
      </c>
      <c r="B309" s="3229" t="s">
        <v>3144</v>
      </c>
      <c r="C309" s="3229">
        <v>5060</v>
      </c>
      <c r="D309" s="3229">
        <v>5020</v>
      </c>
      <c r="E309" s="3229">
        <v>6370</v>
      </c>
      <c r="F309" s="3229">
        <v>800</v>
      </c>
      <c r="G309" s="3242">
        <v>3020</v>
      </c>
    </row>
    <row r="310" spans="1:7" s="3218" customFormat="1" ht="14.25" customHeight="1">
      <c r="A310" s="3229" t="s">
        <v>306</v>
      </c>
      <c r="B310" s="3229" t="s">
        <v>2993</v>
      </c>
      <c r="C310" s="3229">
        <v>5150</v>
      </c>
      <c r="D310" s="3229">
        <v>5110</v>
      </c>
      <c r="E310" s="3229">
        <v>6500</v>
      </c>
      <c r="F310" s="3229">
        <v>880</v>
      </c>
      <c r="G310" s="3242">
        <v>3080</v>
      </c>
    </row>
    <row r="311" spans="1:7" s="3218" customFormat="1" ht="14.25" customHeight="1">
      <c r="A311" s="3229" t="s">
        <v>306</v>
      </c>
      <c r="B311" s="3229" t="s">
        <v>3145</v>
      </c>
      <c r="C311" s="3229">
        <v>4750</v>
      </c>
      <c r="D311" s="3229">
        <v>4710</v>
      </c>
      <c r="E311" s="3229">
        <v>5510</v>
      </c>
      <c r="F311" s="3229">
        <v>880</v>
      </c>
      <c r="G311" s="3242">
        <v>2840</v>
      </c>
    </row>
    <row r="312" spans="1:7" s="3218" customFormat="1" ht="14.25" customHeight="1">
      <c r="A312" s="3229" t="s">
        <v>306</v>
      </c>
      <c r="B312" s="3229" t="s">
        <v>3003</v>
      </c>
      <c r="C312" s="3229">
        <v>4690</v>
      </c>
      <c r="D312" s="3229">
        <v>4640</v>
      </c>
      <c r="E312" s="3229">
        <v>5420</v>
      </c>
      <c r="F312" s="3229">
        <v>800</v>
      </c>
      <c r="G312" s="3242">
        <v>2800</v>
      </c>
    </row>
    <row r="313" spans="1:7" s="3218" customFormat="1" ht="14.25" customHeight="1">
      <c r="A313" s="3229" t="s">
        <v>306</v>
      </c>
      <c r="B313" s="3229" t="s">
        <v>3008</v>
      </c>
      <c r="C313" s="3229">
        <v>4810</v>
      </c>
      <c r="D313" s="3229">
        <v>4760</v>
      </c>
      <c r="E313" s="3229">
        <v>5550</v>
      </c>
      <c r="F313" s="3229">
        <v>920</v>
      </c>
      <c r="G313" s="3242">
        <v>2870</v>
      </c>
    </row>
    <row r="314" spans="1:7" s="3218" customFormat="1" ht="14.25" customHeight="1">
      <c r="A314" s="3229" t="s">
        <v>306</v>
      </c>
      <c r="B314" s="3229" t="s">
        <v>3146</v>
      </c>
      <c r="C314" s="3229"/>
      <c r="D314" s="3229"/>
      <c r="E314" s="3229"/>
      <c r="F314" s="3229">
        <v>1020</v>
      </c>
      <c r="G314" s="3242"/>
    </row>
    <row r="315" spans="1:7" s="3218" customFormat="1" ht="14.25" customHeight="1">
      <c r="A315" s="3229" t="s">
        <v>306</v>
      </c>
      <c r="B315" s="3229" t="s">
        <v>3147</v>
      </c>
      <c r="C315" s="3229"/>
      <c r="D315" s="3229"/>
      <c r="E315" s="3229"/>
      <c r="F315" s="3229">
        <v>1050</v>
      </c>
      <c r="G315" s="3242"/>
    </row>
    <row r="316" spans="1:7" s="3218" customFormat="1" ht="14.25" customHeight="1">
      <c r="A316" s="3229" t="s">
        <v>306</v>
      </c>
      <c r="B316" s="3229" t="s">
        <v>3023</v>
      </c>
      <c r="C316" s="3229"/>
      <c r="D316" s="3229"/>
      <c r="E316" s="3229"/>
      <c r="F316" s="3229">
        <v>900</v>
      </c>
      <c r="G316" s="3242"/>
    </row>
    <row r="317" spans="1:7" s="3218" customFormat="1" ht="14.25" customHeight="1">
      <c r="A317" s="3229" t="s">
        <v>306</v>
      </c>
      <c r="B317" s="3229" t="s">
        <v>3148</v>
      </c>
      <c r="C317" s="3229"/>
      <c r="D317" s="3229"/>
      <c r="E317" s="3229"/>
      <c r="F317" s="3229">
        <v>920</v>
      </c>
      <c r="G317" s="3242"/>
    </row>
    <row r="318" spans="1:7" s="3218" customFormat="1" ht="14.25" customHeight="1">
      <c r="A318" s="3229" t="s">
        <v>306</v>
      </c>
      <c r="B318" s="3229" t="s">
        <v>3149</v>
      </c>
      <c r="C318" s="3229"/>
      <c r="D318" s="3229"/>
      <c r="E318" s="3229"/>
      <c r="F318" s="3229">
        <v>1080</v>
      </c>
      <c r="G318" s="3242"/>
    </row>
    <row r="319" spans="1:7" s="3218" customFormat="1" ht="14.25" customHeight="1">
      <c r="A319" s="3229" t="s">
        <v>306</v>
      </c>
      <c r="B319" s="3229" t="s">
        <v>3036</v>
      </c>
      <c r="C319" s="3229"/>
      <c r="D319" s="3229"/>
      <c r="E319" s="3229"/>
      <c r="F319" s="3229">
        <v>1020</v>
      </c>
      <c r="G319" s="3242"/>
    </row>
    <row r="320" spans="1:7" s="3218" customFormat="1" ht="14.25" customHeight="1">
      <c r="A320" s="3229" t="s">
        <v>306</v>
      </c>
      <c r="B320" s="3229" t="s">
        <v>3039</v>
      </c>
      <c r="C320" s="3229"/>
      <c r="D320" s="3229"/>
      <c r="E320" s="3229"/>
      <c r="F320" s="3229">
        <v>1050</v>
      </c>
      <c r="G320" s="3242"/>
    </row>
    <row r="321" spans="1:7" s="3218" customFormat="1" ht="14.25" customHeight="1">
      <c r="A321" s="3229" t="s">
        <v>306</v>
      </c>
      <c r="B321" s="3229" t="s">
        <v>3041</v>
      </c>
      <c r="C321" s="3229"/>
      <c r="D321" s="3229"/>
      <c r="E321" s="3229"/>
      <c r="F321" s="3229">
        <v>960</v>
      </c>
      <c r="G321" s="3242"/>
    </row>
    <row r="322" spans="1:7" s="3218" customFormat="1" ht="14.25" customHeight="1">
      <c r="A322" s="3229" t="s">
        <v>306</v>
      </c>
      <c r="B322" s="3229" t="s">
        <v>3043</v>
      </c>
      <c r="C322" s="3229"/>
      <c r="D322" s="3229"/>
      <c r="E322" s="3229"/>
      <c r="F322" s="3229">
        <v>960</v>
      </c>
      <c r="G322" s="3242"/>
    </row>
    <row r="323" spans="1:7" s="3218" customFormat="1" ht="14.25" customHeight="1">
      <c r="A323" s="3229" t="s">
        <v>306</v>
      </c>
      <c r="B323" s="3229" t="s">
        <v>3045</v>
      </c>
      <c r="C323" s="3229"/>
      <c r="D323" s="3229"/>
      <c r="E323" s="3229"/>
      <c r="F323" s="3229">
        <v>880</v>
      </c>
      <c r="G323" s="3242"/>
    </row>
    <row r="324" spans="1:7" s="3218" customFormat="1" ht="14.25" customHeight="1">
      <c r="A324" s="3229" t="s">
        <v>306</v>
      </c>
      <c r="B324" s="3229" t="s">
        <v>3047</v>
      </c>
      <c r="C324" s="3229"/>
      <c r="D324" s="3229"/>
      <c r="E324" s="3229"/>
      <c r="F324" s="3229">
        <v>930</v>
      </c>
      <c r="G324" s="3242"/>
    </row>
    <row r="325" spans="1:7" s="3218" customFormat="1" ht="14.25" customHeight="1">
      <c r="A325" s="3229" t="s">
        <v>306</v>
      </c>
      <c r="B325" s="3230" t="s">
        <v>3049</v>
      </c>
      <c r="C325" s="3229"/>
      <c r="D325" s="3229"/>
      <c r="E325" s="3229"/>
      <c r="F325" s="3229">
        <v>900</v>
      </c>
      <c r="G325" s="3242"/>
    </row>
    <row r="326" spans="1:7" s="3218" customFormat="1" ht="14.25" customHeight="1" thickBot="1">
      <c r="A326" s="3243" t="s">
        <v>306</v>
      </c>
      <c r="B326" s="3236" t="s">
        <v>3051</v>
      </c>
      <c r="C326" s="3236"/>
      <c r="D326" s="3236"/>
      <c r="E326" s="3236"/>
      <c r="F326" s="3236">
        <v>790</v>
      </c>
      <c r="G326" s="3244"/>
    </row>
    <row r="327" spans="1:7" s="3218" customFormat="1" ht="14.25" customHeight="1">
      <c r="A327" s="3234" t="s">
        <v>307</v>
      </c>
      <c r="B327" s="3225" t="s">
        <v>3150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3151</v>
      </c>
      <c r="C329" s="3229">
        <v>2730</v>
      </c>
      <c r="D329" s="3229">
        <v>2690</v>
      </c>
      <c r="E329" s="3229">
        <v>3100</v>
      </c>
      <c r="F329" s="3229">
        <v>660</v>
      </c>
      <c r="G329" s="3229">
        <v>1610</v>
      </c>
    </row>
    <row r="330" spans="1:7" s="3218" customFormat="1" ht="14.25" customHeight="1">
      <c r="A330" s="3229" t="s">
        <v>307</v>
      </c>
      <c r="B330" s="3229" t="s">
        <v>3152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2885</v>
      </c>
      <c r="C332" s="3229">
        <v>3520</v>
      </c>
      <c r="D332" s="3229">
        <v>3480</v>
      </c>
      <c r="E332" s="3229">
        <v>3830</v>
      </c>
      <c r="F332" s="3229">
        <v>720</v>
      </c>
      <c r="G332" s="3229">
        <v>2090</v>
      </c>
    </row>
    <row r="333" spans="1:7" s="3218" customFormat="1" ht="14.25" customHeight="1">
      <c r="A333" s="3229" t="s">
        <v>307</v>
      </c>
      <c r="B333" s="3229" t="s">
        <v>3153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2895</v>
      </c>
      <c r="C336" s="3229">
        <v>3570</v>
      </c>
      <c r="D336" s="3229">
        <v>3530</v>
      </c>
      <c r="E336" s="3229">
        <v>3880</v>
      </c>
      <c r="F336" s="3229">
        <v>770</v>
      </c>
      <c r="G336" s="3229">
        <v>2110</v>
      </c>
    </row>
    <row r="337" spans="1:10" s="3218" customFormat="1" ht="14.25" customHeight="1">
      <c r="A337" s="3229" t="s">
        <v>307</v>
      </c>
      <c r="B337" s="3229" t="s">
        <v>3154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2920</v>
      </c>
      <c r="C345" s="3229">
        <v>3190</v>
      </c>
      <c r="D345" s="3229">
        <v>3140</v>
      </c>
      <c r="E345" s="3229">
        <v>3450</v>
      </c>
      <c r="F345" s="3229">
        <v>720</v>
      </c>
      <c r="G345" s="3229">
        <v>1880</v>
      </c>
      <c r="J345" s="3218"/>
    </row>
    <row r="346" spans="1:10">
      <c r="A346" s="3229" t="s">
        <v>307</v>
      </c>
      <c r="B346" s="3229" t="s">
        <v>3157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2929</v>
      </c>
      <c r="C348" s="3229">
        <v>4000</v>
      </c>
      <c r="D348" s="3229">
        <v>3950</v>
      </c>
      <c r="E348" s="3229">
        <v>4430</v>
      </c>
      <c r="F348" s="3229">
        <v>760</v>
      </c>
      <c r="G348" s="3229">
        <v>2360</v>
      </c>
      <c r="J348" s="3218"/>
    </row>
    <row r="349" spans="1:10">
      <c r="A349" s="3229" t="s">
        <v>307</v>
      </c>
      <c r="B349" s="3229" t="s">
        <v>2934</v>
      </c>
      <c r="C349" s="3229">
        <v>3820</v>
      </c>
      <c r="D349" s="3229">
        <v>3780</v>
      </c>
      <c r="E349" s="3229">
        <v>4170</v>
      </c>
      <c r="F349" s="3229">
        <v>710</v>
      </c>
      <c r="G349" s="3229">
        <v>2260</v>
      </c>
      <c r="J349" s="3218"/>
    </row>
    <row r="350" spans="1:10">
      <c r="A350" s="3229" t="s">
        <v>307</v>
      </c>
      <c r="B350" s="3229" t="s">
        <v>3158</v>
      </c>
      <c r="C350" s="3229">
        <v>3760</v>
      </c>
      <c r="D350" s="3229">
        <v>3730</v>
      </c>
      <c r="E350" s="3229">
        <v>4100</v>
      </c>
      <c r="F350" s="3229">
        <v>800</v>
      </c>
      <c r="G350" s="3229">
        <v>2230</v>
      </c>
      <c r="J350" s="3218"/>
    </row>
    <row r="351" spans="1:10">
      <c r="A351" s="3229" t="s">
        <v>307</v>
      </c>
      <c r="B351" s="3229" t="s">
        <v>2942</v>
      </c>
      <c r="C351" s="3229">
        <v>3610</v>
      </c>
      <c r="D351" s="3229">
        <v>3580</v>
      </c>
      <c r="E351" s="3229">
        <v>3930</v>
      </c>
      <c r="F351" s="3229">
        <v>700</v>
      </c>
      <c r="G351" s="3229">
        <v>2140</v>
      </c>
      <c r="J351" s="3218"/>
    </row>
    <row r="352" spans="1:10">
      <c r="A352" s="3229" t="s">
        <v>307</v>
      </c>
      <c r="B352" s="3229" t="s">
        <v>2947</v>
      </c>
      <c r="C352" s="3229">
        <v>3670</v>
      </c>
      <c r="D352" s="3229">
        <v>3630</v>
      </c>
      <c r="E352" s="3229">
        <v>4000</v>
      </c>
      <c r="F352" s="3229">
        <v>750</v>
      </c>
      <c r="G352" s="3229">
        <v>2180</v>
      </c>
    </row>
    <row r="353" spans="1:7" s="3222" customFormat="1">
      <c r="A353" s="3229" t="s">
        <v>307</v>
      </c>
      <c r="B353" s="3229" t="s">
        <v>3159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2967</v>
      </c>
      <c r="C355" s="3229">
        <v>3650</v>
      </c>
      <c r="D355" s="3229">
        <v>3610</v>
      </c>
      <c r="E355" s="3229">
        <v>4200</v>
      </c>
      <c r="F355" s="3229">
        <v>640</v>
      </c>
      <c r="G355" s="3229">
        <v>2160</v>
      </c>
    </row>
    <row r="356" spans="1:7" s="3222" customFormat="1">
      <c r="A356" s="3229" t="s">
        <v>307</v>
      </c>
      <c r="B356" s="3229" t="s">
        <v>2974</v>
      </c>
      <c r="C356" s="3229">
        <v>3260</v>
      </c>
      <c r="D356" s="3229">
        <v>3230</v>
      </c>
      <c r="E356" s="3229">
        <v>3740</v>
      </c>
      <c r="F356" s="3229">
        <v>600</v>
      </c>
      <c r="G356" s="3229">
        <v>1930</v>
      </c>
    </row>
    <row r="357" spans="1:7" s="3222" customFormat="1" ht="12" thickBot="1">
      <c r="A357" s="3237" t="s">
        <v>307</v>
      </c>
      <c r="B357" s="3240" t="s">
        <v>3160</v>
      </c>
      <c r="C357" s="3240">
        <v>3690</v>
      </c>
      <c r="D357" s="3240">
        <v>3650</v>
      </c>
      <c r="E357" s="3240">
        <v>4020</v>
      </c>
      <c r="F357" s="3240">
        <v>700</v>
      </c>
      <c r="G357" s="3240">
        <v>2190</v>
      </c>
    </row>
    <row r="358" spans="1:7" s="3222" customFormat="1">
      <c r="A358" s="3234" t="s">
        <v>3161</v>
      </c>
      <c r="B358" s="3225" t="s">
        <v>3162</v>
      </c>
      <c r="C358" s="3225">
        <v>2080</v>
      </c>
      <c r="D358" s="3225">
        <v>2040</v>
      </c>
      <c r="E358" s="3225">
        <v>2010</v>
      </c>
      <c r="F358" s="3225">
        <v>530</v>
      </c>
      <c r="G358" s="3241">
        <v>1230</v>
      </c>
    </row>
    <row r="359" spans="1:7" s="3222" customFormat="1">
      <c r="A359" s="3229" t="s">
        <v>3161</v>
      </c>
      <c r="B359" s="3229" t="s">
        <v>3163</v>
      </c>
      <c r="C359" s="3229">
        <v>1850</v>
      </c>
      <c r="D359" s="3229">
        <v>1820</v>
      </c>
      <c r="E359" s="3229">
        <v>1780</v>
      </c>
      <c r="F359" s="3229">
        <v>520</v>
      </c>
      <c r="G359" s="3242">
        <v>1100</v>
      </c>
    </row>
    <row r="360" spans="1:7" s="3222" customFormat="1">
      <c r="A360" s="3229" t="s">
        <v>3161</v>
      </c>
      <c r="B360" s="3229" t="s">
        <v>3164</v>
      </c>
      <c r="C360" s="3229">
        <v>2020</v>
      </c>
      <c r="D360" s="3229">
        <v>1990</v>
      </c>
      <c r="E360" s="3229">
        <v>1950</v>
      </c>
      <c r="F360" s="3229">
        <v>500</v>
      </c>
      <c r="G360" s="3242">
        <v>1200</v>
      </c>
    </row>
    <row r="361" spans="1:7" s="3222" customFormat="1">
      <c r="A361" s="3229" t="s">
        <v>3161</v>
      </c>
      <c r="B361" s="3229" t="s">
        <v>153</v>
      </c>
      <c r="C361" s="3229">
        <v>2260</v>
      </c>
      <c r="D361" s="3229">
        <v>2220</v>
      </c>
      <c r="E361" s="3229">
        <v>2180</v>
      </c>
      <c r="F361" s="3229">
        <v>580</v>
      </c>
      <c r="G361" s="3242">
        <v>1340</v>
      </c>
    </row>
    <row r="362" spans="1:7" s="3222" customFormat="1">
      <c r="A362" s="3229" t="s">
        <v>3161</v>
      </c>
      <c r="B362" s="3229" t="s">
        <v>3165</v>
      </c>
      <c r="C362" s="3229">
        <v>2650</v>
      </c>
      <c r="D362" s="3229">
        <v>2610</v>
      </c>
      <c r="E362" s="3229">
        <v>2570</v>
      </c>
      <c r="F362" s="3229">
        <v>630</v>
      </c>
      <c r="G362" s="3242">
        <v>1570</v>
      </c>
    </row>
    <row r="363" spans="1:7" s="3222" customFormat="1">
      <c r="A363" s="3229" t="s">
        <v>3161</v>
      </c>
      <c r="B363" s="3229" t="s">
        <v>2886</v>
      </c>
      <c r="C363" s="3229">
        <v>2390</v>
      </c>
      <c r="D363" s="3229">
        <v>2360</v>
      </c>
      <c r="E363" s="3229">
        <v>2320</v>
      </c>
      <c r="F363" s="3229">
        <v>600</v>
      </c>
      <c r="G363" s="3242">
        <v>1420</v>
      </c>
    </row>
    <row r="364" spans="1:7" s="3222" customFormat="1">
      <c r="A364" s="3229" t="s">
        <v>3161</v>
      </c>
      <c r="B364" s="3229" t="s">
        <v>3166</v>
      </c>
      <c r="C364" s="3229">
        <v>2050</v>
      </c>
      <c r="D364" s="3229">
        <v>2030</v>
      </c>
      <c r="E364" s="3229">
        <v>1990</v>
      </c>
      <c r="F364" s="3229">
        <v>550</v>
      </c>
      <c r="G364" s="3242">
        <v>1220</v>
      </c>
    </row>
    <row r="365" spans="1:7" s="3222" customFormat="1">
      <c r="A365" s="3229" t="s">
        <v>3161</v>
      </c>
      <c r="B365" s="3229" t="s">
        <v>200</v>
      </c>
      <c r="C365" s="3229">
        <v>2140</v>
      </c>
      <c r="D365" s="3229">
        <v>2100</v>
      </c>
      <c r="E365" s="3229">
        <v>2060</v>
      </c>
      <c r="F365" s="3229">
        <v>540</v>
      </c>
      <c r="G365" s="3242">
        <v>1270</v>
      </c>
    </row>
    <row r="366" spans="1:7" s="3222" customFormat="1">
      <c r="A366" s="3229" t="s">
        <v>3161</v>
      </c>
      <c r="B366" s="3229" t="s">
        <v>2893</v>
      </c>
      <c r="C366" s="3229">
        <v>2410</v>
      </c>
      <c r="D366" s="3229">
        <v>2370</v>
      </c>
      <c r="E366" s="3229">
        <v>2330</v>
      </c>
      <c r="F366" s="3229">
        <v>570</v>
      </c>
      <c r="G366" s="3242">
        <v>1440</v>
      </c>
    </row>
    <row r="367" spans="1:7" s="3222" customFormat="1">
      <c r="A367" s="3229" t="s">
        <v>3161</v>
      </c>
      <c r="B367" s="3229" t="s">
        <v>3167</v>
      </c>
      <c r="C367" s="3229">
        <v>2300</v>
      </c>
      <c r="D367" s="3229">
        <v>2260</v>
      </c>
      <c r="E367" s="3229">
        <v>2220</v>
      </c>
      <c r="F367" s="3229">
        <v>560</v>
      </c>
      <c r="G367" s="3242">
        <v>1370</v>
      </c>
    </row>
    <row r="368" spans="1:7" s="3222" customFormat="1">
      <c r="A368" s="3229" t="s">
        <v>3161</v>
      </c>
      <c r="B368" s="3229" t="s">
        <v>3168</v>
      </c>
      <c r="C368" s="3229">
        <v>2430</v>
      </c>
      <c r="D368" s="3229">
        <v>2390</v>
      </c>
      <c r="E368" s="3229">
        <v>2350</v>
      </c>
      <c r="F368" s="3229">
        <v>570</v>
      </c>
      <c r="G368" s="3242">
        <v>1450</v>
      </c>
    </row>
    <row r="369" spans="1:7" s="3222" customFormat="1">
      <c r="A369" s="3229" t="s">
        <v>3161</v>
      </c>
      <c r="B369" s="3229" t="s">
        <v>214</v>
      </c>
      <c r="C369" s="3229">
        <v>2320</v>
      </c>
      <c r="D369" s="3229">
        <v>2290</v>
      </c>
      <c r="E369" s="3229">
        <v>2250</v>
      </c>
      <c r="F369" s="3229">
        <v>550</v>
      </c>
      <c r="G369" s="3242">
        <v>1380</v>
      </c>
    </row>
    <row r="370" spans="1:7" s="3222" customFormat="1">
      <c r="A370" s="3229" t="s">
        <v>3161</v>
      </c>
      <c r="B370" s="3229" t="s">
        <v>221</v>
      </c>
      <c r="C370" s="3229">
        <v>2190</v>
      </c>
      <c r="D370" s="3229">
        <v>2170</v>
      </c>
      <c r="E370" s="3229">
        <v>2130</v>
      </c>
      <c r="F370" s="3229">
        <v>530</v>
      </c>
      <c r="G370" s="3242">
        <v>1310</v>
      </c>
    </row>
    <row r="371" spans="1:7" s="3222" customFormat="1">
      <c r="A371" s="3229" t="s">
        <v>3161</v>
      </c>
      <c r="B371" s="3229" t="s">
        <v>229</v>
      </c>
      <c r="C371" s="3229">
        <v>2460</v>
      </c>
      <c r="D371" s="3229">
        <v>2420</v>
      </c>
      <c r="E371" s="3229">
        <v>2370</v>
      </c>
      <c r="F371" s="3229">
        <v>560</v>
      </c>
      <c r="G371" s="3242">
        <v>1470</v>
      </c>
    </row>
    <row r="372" spans="1:7" s="3222" customFormat="1">
      <c r="A372" s="3229" t="s">
        <v>3161</v>
      </c>
      <c r="B372" s="3229" t="s">
        <v>3169</v>
      </c>
      <c r="C372" s="3229">
        <v>2250</v>
      </c>
      <c r="D372" s="3229">
        <v>2210</v>
      </c>
      <c r="E372" s="3229">
        <v>2180</v>
      </c>
      <c r="F372" s="3229">
        <v>550</v>
      </c>
      <c r="G372" s="3242">
        <v>1340</v>
      </c>
    </row>
    <row r="373" spans="1:7" s="3222" customFormat="1">
      <c r="A373" s="3229" t="s">
        <v>3161</v>
      </c>
      <c r="B373" s="3229" t="s">
        <v>258</v>
      </c>
      <c r="C373" s="3229">
        <v>2210</v>
      </c>
      <c r="D373" s="3229">
        <v>2190</v>
      </c>
      <c r="E373" s="3229">
        <v>2150</v>
      </c>
      <c r="F373" s="3229">
        <v>530</v>
      </c>
      <c r="G373" s="3242">
        <v>1320</v>
      </c>
    </row>
    <row r="374" spans="1:7" s="3222" customFormat="1">
      <c r="A374" s="3229" t="s">
        <v>3161</v>
      </c>
      <c r="B374" s="3229" t="s">
        <v>266</v>
      </c>
      <c r="C374" s="3229">
        <v>2320</v>
      </c>
      <c r="D374" s="3229">
        <v>2280</v>
      </c>
      <c r="E374" s="3229">
        <v>2230</v>
      </c>
      <c r="F374" s="3229">
        <v>580</v>
      </c>
      <c r="G374" s="3242">
        <v>1380</v>
      </c>
    </row>
    <row r="375" spans="1:7" s="3222" customFormat="1">
      <c r="A375" s="3229" t="s">
        <v>3161</v>
      </c>
      <c r="B375" s="3229" t="s">
        <v>3170</v>
      </c>
      <c r="C375" s="3229">
        <v>2090</v>
      </c>
      <c r="D375" s="3229">
        <v>2050</v>
      </c>
      <c r="E375" s="3229">
        <v>2020</v>
      </c>
      <c r="F375" s="3229">
        <v>520</v>
      </c>
      <c r="G375" s="3242">
        <v>1240</v>
      </c>
    </row>
    <row r="376" spans="1:7" s="3222" customFormat="1">
      <c r="A376" s="3229" t="s">
        <v>3161</v>
      </c>
      <c r="B376" s="3229" t="s">
        <v>277</v>
      </c>
      <c r="C376" s="3229">
        <v>2010</v>
      </c>
      <c r="D376" s="3229">
        <v>1980</v>
      </c>
      <c r="E376" s="3229">
        <v>1940</v>
      </c>
      <c r="F376" s="3229">
        <v>540</v>
      </c>
      <c r="G376" s="3242">
        <v>1190</v>
      </c>
    </row>
    <row r="377" spans="1:7" s="3222" customFormat="1" ht="12" thickBot="1">
      <c r="A377" s="3237" t="s">
        <v>3161</v>
      </c>
      <c r="B377" s="3240" t="s">
        <v>2923</v>
      </c>
      <c r="C377" s="3240">
        <v>1930</v>
      </c>
      <c r="D377" s="3240">
        <v>1890</v>
      </c>
      <c r="E377" s="3240">
        <v>1860</v>
      </c>
      <c r="F377" s="3240">
        <v>530</v>
      </c>
      <c r="G377" s="3245">
        <v>1150</v>
      </c>
    </row>
    <row r="378" spans="1:7" s="3222" customFormat="1">
      <c r="A378" s="3246" t="s">
        <v>3171</v>
      </c>
      <c r="B378" s="3225" t="s">
        <v>3172</v>
      </c>
      <c r="C378" s="3225">
        <v>1520</v>
      </c>
      <c r="D378" s="3225">
        <v>1490</v>
      </c>
      <c r="E378" s="3225">
        <v>1460</v>
      </c>
      <c r="F378" s="3225">
        <v>460</v>
      </c>
      <c r="G378" s="3241">
        <v>940</v>
      </c>
    </row>
    <row r="379" spans="1:7" s="3222" customFormat="1">
      <c r="A379" s="3247" t="s">
        <v>3171</v>
      </c>
      <c r="B379" s="3229" t="s">
        <v>3173</v>
      </c>
      <c r="C379" s="3229">
        <v>1500</v>
      </c>
      <c r="D379" s="3229">
        <v>1470</v>
      </c>
      <c r="E379" s="3229">
        <v>1430</v>
      </c>
      <c r="F379" s="3229">
        <v>460</v>
      </c>
      <c r="G379" s="3242">
        <v>920</v>
      </c>
    </row>
    <row r="380" spans="1:7" s="3222" customFormat="1">
      <c r="A380" s="3247" t="s">
        <v>3171</v>
      </c>
      <c r="B380" s="3229" t="s">
        <v>3174</v>
      </c>
      <c r="C380" s="3229">
        <v>1620</v>
      </c>
      <c r="D380" s="3229">
        <v>1590</v>
      </c>
      <c r="E380" s="3229">
        <v>1560</v>
      </c>
      <c r="F380" s="3229">
        <v>480</v>
      </c>
      <c r="G380" s="3242">
        <v>1000</v>
      </c>
    </row>
    <row r="381" spans="1:7" s="3222" customFormat="1">
      <c r="A381" s="3247" t="s">
        <v>3171</v>
      </c>
      <c r="B381" s="3229" t="s">
        <v>3175</v>
      </c>
      <c r="C381" s="3229">
        <v>1460</v>
      </c>
      <c r="D381" s="3229">
        <v>1430</v>
      </c>
      <c r="E381" s="3229">
        <v>1390</v>
      </c>
      <c r="F381" s="3229">
        <v>450</v>
      </c>
      <c r="G381" s="3242">
        <v>900</v>
      </c>
    </row>
    <row r="382" spans="1:7" s="3222" customFormat="1">
      <c r="A382" s="3247" t="s">
        <v>3171</v>
      </c>
      <c r="B382" s="3229" t="s">
        <v>3176</v>
      </c>
      <c r="C382" s="3229">
        <v>1310</v>
      </c>
      <c r="D382" s="3229">
        <v>1280</v>
      </c>
      <c r="E382" s="3229">
        <v>1250</v>
      </c>
      <c r="F382" s="3229">
        <v>440</v>
      </c>
      <c r="G382" s="3242">
        <v>800</v>
      </c>
    </row>
    <row r="383" spans="1:7" s="3222" customFormat="1">
      <c r="A383" s="3247" t="s">
        <v>3171</v>
      </c>
      <c r="B383" s="3229" t="s">
        <v>3177</v>
      </c>
      <c r="C383" s="3229">
        <v>1260</v>
      </c>
      <c r="D383" s="3229">
        <v>1230</v>
      </c>
      <c r="E383" s="3229">
        <v>1200</v>
      </c>
      <c r="F383" s="3229">
        <v>420</v>
      </c>
      <c r="G383" s="3242">
        <v>770</v>
      </c>
    </row>
    <row r="384" spans="1:7" s="3222" customFormat="1" ht="12" thickBot="1">
      <c r="A384" s="3248" t="s">
        <v>3171</v>
      </c>
      <c r="B384" s="3236" t="s">
        <v>3178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1"/>
      <c r="C2" s="3541"/>
      <c r="D2" s="3541"/>
      <c r="E2" s="3541"/>
    </row>
    <row r="3" spans="1:5" ht="18">
      <c r="A3" s="3542" t="str">
        <f>IF(项目基本情况!B9="房地产市场价值","估价结果一览表（市场价值不需“结果表-1”）","估价结果一览表")</f>
        <v>估价结果一览表</v>
      </c>
      <c r="B3" s="3542"/>
      <c r="C3" s="3542"/>
      <c r="D3" s="3542"/>
      <c r="E3" s="3542"/>
    </row>
    <row r="4" spans="1:5" ht="19.5" thickBot="1">
      <c r="A4" s="1492"/>
      <c r="B4" s="3540" t="s">
        <v>917</v>
      </c>
      <c r="C4" s="3540"/>
      <c r="D4" s="3540"/>
      <c r="E4" s="1492"/>
    </row>
    <row r="5" spans="1:5" ht="16.5" thickTop="1">
      <c r="A5" s="1490"/>
      <c r="B5" s="3538" t="s">
        <v>909</v>
      </c>
      <c r="C5" s="1493" t="s">
        <v>910</v>
      </c>
      <c r="D5" s="850">
        <f ca="1">结果表!H101</f>
        <v>31001</v>
      </c>
      <c r="E5" s="1490"/>
    </row>
    <row r="6" spans="1:5" ht="15.75">
      <c r="A6" s="1490"/>
      <c r="B6" s="3538"/>
      <c r="C6" s="1493" t="s">
        <v>911</v>
      </c>
      <c r="D6" s="850" t="str">
        <f ca="1">NUMBERSTRING(INT(D5*10000),2)&amp;"元整"</f>
        <v>叁亿壹仟零壹万元整</v>
      </c>
      <c r="E6" s="1490"/>
    </row>
    <row r="7" spans="1:5" ht="15.75">
      <c r="A7" s="1490"/>
      <c r="B7" s="3543"/>
      <c r="C7" s="1494" t="s">
        <v>912</v>
      </c>
      <c r="D7" s="851">
        <f ca="1">结果表!H102</f>
        <v>19025</v>
      </c>
      <c r="E7" s="1490"/>
    </row>
    <row r="8" spans="1:5" ht="15.75">
      <c r="A8" s="1490"/>
      <c r="B8" s="3544" t="str">
        <f>结果表!E103</f>
        <v>2.估价师知悉的法定优先受偿款</v>
      </c>
      <c r="C8" s="1495" t="s">
        <v>913</v>
      </c>
      <c r="D8" s="851">
        <f>结果表!H103</f>
        <v>0</v>
      </c>
      <c r="E8" s="1490"/>
    </row>
    <row r="9" spans="1:5" ht="15.75">
      <c r="A9" s="1490"/>
      <c r="B9" s="354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37" t="str">
        <f>结果表!E107</f>
        <v>3.房地产抵押价值</v>
      </c>
      <c r="C13" s="1498" t="s">
        <v>910</v>
      </c>
      <c r="D13" s="853">
        <f ca="1">结果表!H107</f>
        <v>31001</v>
      </c>
      <c r="E13" s="1490"/>
    </row>
    <row r="14" spans="1:5" ht="15.75">
      <c r="A14" s="1490"/>
      <c r="B14" s="3538"/>
      <c r="C14" s="1493" t="s">
        <v>911</v>
      </c>
      <c r="D14" s="850" t="str">
        <f ca="1">NUMBERSTRING(INT(D13*10000),2)&amp;"元整"</f>
        <v>叁亿壹仟零壹万元整</v>
      </c>
      <c r="E14" s="1490"/>
    </row>
    <row r="15" spans="1:5" ht="15">
      <c r="A15" s="1490"/>
      <c r="B15" s="3543"/>
      <c r="C15" s="1494" t="s">
        <v>921</v>
      </c>
      <c r="D15" s="859">
        <f ca="1">结果表!H108</f>
        <v>19025</v>
      </c>
      <c r="E15" s="1490"/>
    </row>
    <row r="16" spans="1:5" ht="15">
      <c r="A16" s="1490"/>
      <c r="B16" s="3544" t="str">
        <f>结果表!E109</f>
        <v>——</v>
      </c>
      <c r="C16" s="1498" t="s">
        <v>922</v>
      </c>
      <c r="D16" s="1499" t="str">
        <f>结果表!H109</f>
        <v>——</v>
      </c>
      <c r="E16" s="1490"/>
    </row>
    <row r="17" spans="1:5" ht="15.75">
      <c r="A17" s="1490"/>
      <c r="B17" s="3545"/>
      <c r="C17" s="1493" t="s">
        <v>923</v>
      </c>
      <c r="D17" s="850" t="e">
        <f>NUMBERSTRING(INT(D16*10000),2)&amp;"元整"</f>
        <v>#VALUE!</v>
      </c>
      <c r="E17" s="1490"/>
    </row>
    <row r="18" spans="1:5" ht="15">
      <c r="A18" s="1490"/>
      <c r="B18" s="3546"/>
      <c r="C18" s="1494" t="s">
        <v>912</v>
      </c>
      <c r="D18" s="859" t="str">
        <f>结果表!H110</f>
        <v>——</v>
      </c>
      <c r="E18" s="1490"/>
    </row>
    <row r="19" spans="1:5" ht="15.75">
      <c r="A19" s="1490"/>
      <c r="B19" s="3537" t="str">
        <f>结果表!E111</f>
        <v>4.抵押净值</v>
      </c>
      <c r="C19" s="1498" t="s">
        <v>910</v>
      </c>
      <c r="D19" s="851">
        <f ca="1">结果表!H111</f>
        <v>27856</v>
      </c>
      <c r="E19" s="1490"/>
    </row>
    <row r="20" spans="1:5" ht="15.75">
      <c r="A20" s="1490"/>
      <c r="B20" s="3538"/>
      <c r="C20" s="1493" t="s">
        <v>923</v>
      </c>
      <c r="D20" s="850" t="str">
        <f ca="1">NUMBERSTRING(INT(D19*10000),2)&amp;"元整"</f>
        <v>贰亿柒仟捌佰伍拾陆万元整</v>
      </c>
      <c r="E20" s="1490"/>
    </row>
    <row r="21" spans="1:5" ht="15.75" thickBot="1">
      <c r="A21" s="1490"/>
      <c r="B21" s="3539"/>
      <c r="C21" s="1500" t="s">
        <v>921</v>
      </c>
      <c r="D21" s="860">
        <f ca="1">结果表!H112</f>
        <v>17094</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0" t="s">
        <v>3179</v>
      </c>
      <c r="B1" s="3840"/>
    </row>
    <row r="2" spans="1:7" ht="14.25" thickBot="1">
      <c r="A2" s="3251"/>
      <c r="B2" s="3251"/>
    </row>
    <row r="3" spans="1:7" ht="14.25" thickBot="1">
      <c r="A3" s="3251"/>
      <c r="B3" s="3251"/>
      <c r="C3" s="3252" t="s">
        <v>2809</v>
      </c>
      <c r="D3" s="3252" t="s">
        <v>2865</v>
      </c>
      <c r="E3" s="3252" t="s">
        <v>2811</v>
      </c>
      <c r="F3" s="3252" t="s">
        <v>2866</v>
      </c>
      <c r="G3" s="3252" t="s">
        <v>2629</v>
      </c>
    </row>
    <row r="4" spans="1:7" ht="14.25" thickBot="1">
      <c r="A4" s="3253" t="s">
        <v>2864</v>
      </c>
      <c r="B4" s="3254" t="s">
        <v>2870</v>
      </c>
      <c r="C4" s="3252"/>
      <c r="D4" s="3252"/>
      <c r="E4" s="3252"/>
      <c r="F4" s="3252"/>
      <c r="G4" s="3252"/>
    </row>
    <row r="5" spans="1:7">
      <c r="A5" s="3255" t="s">
        <v>2838</v>
      </c>
      <c r="B5" s="3256" t="s">
        <v>2852</v>
      </c>
      <c r="C5" s="3257">
        <v>9.8000000000000004E-2</v>
      </c>
      <c r="D5" s="3257">
        <v>8.6999999999999994E-2</v>
      </c>
      <c r="E5" s="3257">
        <v>8.6999999999999994E-2</v>
      </c>
      <c r="F5" s="3257">
        <v>9.8000000000000004E-2</v>
      </c>
      <c r="G5" s="3258">
        <v>9.5000000000000001E-2</v>
      </c>
    </row>
    <row r="6" spans="1:7">
      <c r="A6" s="3259" t="s">
        <v>144</v>
      </c>
      <c r="B6" s="3260" t="s">
        <v>2867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2921</v>
      </c>
      <c r="C29" s="3269"/>
      <c r="D29" s="3265">
        <v>5.1999999999999998E-2</v>
      </c>
      <c r="E29" s="3265">
        <v>7.0000000000000007E-2</v>
      </c>
      <c r="F29" s="3269"/>
      <c r="G29" s="3267">
        <v>7.0999999999999994E-2</v>
      </c>
    </row>
    <row r="30" spans="1:7">
      <c r="A30" s="3270" t="s">
        <v>296</v>
      </c>
      <c r="B30" s="3256" t="s">
        <v>2854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2924</v>
      </c>
      <c r="C50" s="3261">
        <v>9.8000000000000004E-2</v>
      </c>
      <c r="D50" s="3261">
        <v>7.2999999999999995E-2</v>
      </c>
      <c r="E50" s="3261">
        <v>7.0999999999999994E-2</v>
      </c>
      <c r="F50" s="3272"/>
      <c r="G50" s="3262">
        <v>7.2999999999999995E-2</v>
      </c>
    </row>
    <row r="51" spans="1:7">
      <c r="A51" s="3271" t="s">
        <v>296</v>
      </c>
      <c r="B51" s="3260" t="s">
        <v>2926</v>
      </c>
      <c r="C51" s="3261">
        <v>9.9000000000000005E-2</v>
      </c>
      <c r="D51" s="3261">
        <v>8.5000000000000006E-2</v>
      </c>
      <c r="E51" s="3261">
        <v>6.3E-2</v>
      </c>
      <c r="F51" s="3272"/>
      <c r="G51" s="3262">
        <v>9.6000000000000002E-2</v>
      </c>
    </row>
    <row r="52" spans="1:7">
      <c r="A52" s="3271" t="s">
        <v>296</v>
      </c>
      <c r="B52" s="3260" t="s">
        <v>2930</v>
      </c>
      <c r="C52" s="3261">
        <v>7.3999999999999996E-2</v>
      </c>
      <c r="D52" s="3261">
        <v>9.6000000000000002E-2</v>
      </c>
      <c r="E52" s="3261">
        <v>0.05</v>
      </c>
      <c r="F52" s="3272"/>
      <c r="G52" s="3262">
        <v>9.8000000000000004E-2</v>
      </c>
    </row>
    <row r="53" spans="1:7">
      <c r="A53" s="3271" t="s">
        <v>296</v>
      </c>
      <c r="B53" s="3260" t="s">
        <v>2935</v>
      </c>
      <c r="C53" s="3261">
        <v>8.5999999999999993E-2</v>
      </c>
      <c r="D53" s="3272"/>
      <c r="E53" s="3261">
        <v>9.1999999999999998E-2</v>
      </c>
      <c r="F53" s="3272"/>
      <c r="G53" s="3273"/>
    </row>
    <row r="54" spans="1:7" ht="14.25" thickBot="1">
      <c r="A54" s="3274" t="s">
        <v>296</v>
      </c>
      <c r="B54" s="3264" t="s">
        <v>2938</v>
      </c>
      <c r="C54" s="3265">
        <v>9.6000000000000002E-2</v>
      </c>
      <c r="D54" s="3266"/>
      <c r="E54" s="3275"/>
      <c r="F54" s="3266"/>
      <c r="G54" s="3276"/>
    </row>
    <row r="55" spans="1:7">
      <c r="A55" s="3270" t="s">
        <v>110</v>
      </c>
      <c r="B55" s="3256" t="s">
        <v>2855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2936</v>
      </c>
      <c r="C78" s="3261">
        <v>0.1</v>
      </c>
      <c r="D78" s="3261">
        <v>8.5000000000000006E-2</v>
      </c>
      <c r="E78" s="3261">
        <v>9.6000000000000002E-2</v>
      </c>
      <c r="F78" s="3272"/>
      <c r="G78" s="3262">
        <v>9.6000000000000002E-2</v>
      </c>
    </row>
    <row r="79" spans="1:7">
      <c r="A79" s="3271" t="s">
        <v>110</v>
      </c>
      <c r="B79" s="3260" t="s">
        <v>2939</v>
      </c>
      <c r="C79" s="3261">
        <v>0.05</v>
      </c>
      <c r="D79" s="3261">
        <v>9.6000000000000002E-2</v>
      </c>
      <c r="E79" s="3261">
        <v>9.5000000000000001E-2</v>
      </c>
      <c r="F79" s="3272"/>
      <c r="G79" s="3262">
        <v>9.8000000000000004E-2</v>
      </c>
    </row>
    <row r="80" spans="1:7">
      <c r="A80" s="3271" t="s">
        <v>110</v>
      </c>
      <c r="B80" s="3260" t="s">
        <v>2943</v>
      </c>
      <c r="C80" s="3261">
        <v>8.5999999999999993E-2</v>
      </c>
      <c r="D80" s="3277"/>
      <c r="E80" s="3261">
        <v>0.1</v>
      </c>
      <c r="F80" s="3272"/>
      <c r="G80" s="3273"/>
    </row>
    <row r="81" spans="1:7">
      <c r="A81" s="3271" t="s">
        <v>110</v>
      </c>
      <c r="B81" s="3260" t="s">
        <v>2948</v>
      </c>
      <c r="C81" s="3261">
        <v>9.6000000000000002E-2</v>
      </c>
      <c r="D81" s="3272"/>
      <c r="E81" s="3261">
        <v>9.8000000000000004E-2</v>
      </c>
      <c r="F81" s="3272"/>
      <c r="G81" s="3273"/>
    </row>
    <row r="82" spans="1:7">
      <c r="A82" s="3271" t="s">
        <v>110</v>
      </c>
      <c r="B82" s="3260" t="s">
        <v>2955</v>
      </c>
      <c r="C82" s="3277"/>
      <c r="D82" s="3272"/>
      <c r="E82" s="3261">
        <v>7.6999999999999999E-2</v>
      </c>
      <c r="F82" s="3272"/>
      <c r="G82" s="3273"/>
    </row>
    <row r="83" spans="1:7">
      <c r="A83" s="3271" t="s">
        <v>110</v>
      </c>
      <c r="B83" s="3260" t="s">
        <v>2961</v>
      </c>
      <c r="C83" s="3272"/>
      <c r="D83" s="3272"/>
      <c r="E83" s="3272"/>
      <c r="F83" s="3261">
        <v>0.1</v>
      </c>
      <c r="G83" s="3278"/>
    </row>
    <row r="84" spans="1:7">
      <c r="A84" s="3271" t="s">
        <v>110</v>
      </c>
      <c r="B84" s="3260" t="s">
        <v>2968</v>
      </c>
      <c r="C84" s="3272"/>
      <c r="D84" s="3272"/>
      <c r="E84" s="3272"/>
      <c r="F84" s="3261">
        <v>0.1</v>
      </c>
      <c r="G84" s="3278"/>
    </row>
    <row r="85" spans="1:7">
      <c r="A85" s="3271" t="s">
        <v>110</v>
      </c>
      <c r="B85" s="3260" t="s">
        <v>2975</v>
      </c>
      <c r="C85" s="3272"/>
      <c r="D85" s="3272"/>
      <c r="E85" s="3272"/>
      <c r="F85" s="3261">
        <v>0.1</v>
      </c>
      <c r="G85" s="3278"/>
    </row>
    <row r="86" spans="1:7" ht="14.25" thickBot="1">
      <c r="A86" s="3274" t="s">
        <v>110</v>
      </c>
      <c r="B86" s="3264" t="s">
        <v>2980</v>
      </c>
      <c r="C86" s="3265">
        <v>9.8000000000000004E-2</v>
      </c>
      <c r="D86" s="3265">
        <v>9.8000000000000004E-2</v>
      </c>
      <c r="E86" s="3265">
        <v>9.6000000000000002E-2</v>
      </c>
      <c r="F86" s="3275"/>
      <c r="G86" s="3267">
        <v>0.1</v>
      </c>
    </row>
    <row r="87" spans="1:7">
      <c r="A87" s="3270" t="s">
        <v>303</v>
      </c>
      <c r="B87" s="3256" t="s">
        <v>2856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2949</v>
      </c>
      <c r="C113" s="3261">
        <v>0.1</v>
      </c>
      <c r="D113" s="3261">
        <v>0.1</v>
      </c>
      <c r="E113" s="3272"/>
      <c r="F113" s="3272"/>
      <c r="G113" s="3262">
        <v>0.1</v>
      </c>
    </row>
    <row r="114" spans="1:7">
      <c r="A114" s="3271" t="s">
        <v>303</v>
      </c>
      <c r="B114" s="3260" t="s">
        <v>2956</v>
      </c>
      <c r="C114" s="3261">
        <v>9.7000000000000003E-2</v>
      </c>
      <c r="D114" s="3261">
        <v>9.7000000000000003E-2</v>
      </c>
      <c r="E114" s="3272"/>
      <c r="F114" s="3272"/>
      <c r="G114" s="3262">
        <v>9.9000000000000005E-2</v>
      </c>
    </row>
    <row r="115" spans="1:7">
      <c r="A115" s="3271" t="s">
        <v>303</v>
      </c>
      <c r="B115" s="3260" t="s">
        <v>2962</v>
      </c>
      <c r="C115" s="3261">
        <v>0.1</v>
      </c>
      <c r="D115" s="3261">
        <v>0.1</v>
      </c>
      <c r="E115" s="3272"/>
      <c r="F115" s="3272"/>
      <c r="G115" s="3262">
        <v>0.1</v>
      </c>
    </row>
    <row r="116" spans="1:7">
      <c r="A116" s="3271" t="s">
        <v>303</v>
      </c>
      <c r="B116" s="3260" t="s">
        <v>2969</v>
      </c>
      <c r="C116" s="3261">
        <v>0.1</v>
      </c>
      <c r="D116" s="3261">
        <v>0.1</v>
      </c>
      <c r="E116" s="3272"/>
      <c r="F116" s="3272"/>
      <c r="G116" s="3262">
        <v>0.1</v>
      </c>
    </row>
    <row r="117" spans="1:7">
      <c r="A117" s="3271" t="s">
        <v>303</v>
      </c>
      <c r="B117" s="3260" t="s">
        <v>2976</v>
      </c>
      <c r="C117" s="3261">
        <v>9.7000000000000003E-2</v>
      </c>
      <c r="D117" s="3261">
        <v>9.7000000000000003E-2</v>
      </c>
      <c r="E117" s="3272"/>
      <c r="F117" s="3272"/>
      <c r="G117" s="3262">
        <v>9.7000000000000003E-2</v>
      </c>
    </row>
    <row r="118" spans="1:7">
      <c r="A118" s="3271" t="s">
        <v>303</v>
      </c>
      <c r="B118" s="3260" t="s">
        <v>2981</v>
      </c>
      <c r="C118" s="3261">
        <v>0.1</v>
      </c>
      <c r="D118" s="3261">
        <v>0.1</v>
      </c>
      <c r="E118" s="3272"/>
      <c r="F118" s="3272"/>
      <c r="G118" s="3262">
        <v>0.1</v>
      </c>
    </row>
    <row r="119" spans="1:7">
      <c r="A119" s="3271" t="s">
        <v>303</v>
      </c>
      <c r="B119" s="3260" t="s">
        <v>2985</v>
      </c>
      <c r="C119" s="3261">
        <v>5.0999999999999997E-2</v>
      </c>
      <c r="D119" s="3261">
        <v>5.1999999999999998E-2</v>
      </c>
      <c r="E119" s="3272"/>
      <c r="F119" s="3277"/>
      <c r="G119" s="3262">
        <v>0.06</v>
      </c>
    </row>
    <row r="120" spans="1:7">
      <c r="A120" s="3271" t="s">
        <v>303</v>
      </c>
      <c r="B120" s="3260" t="s">
        <v>2989</v>
      </c>
      <c r="C120" s="3272"/>
      <c r="D120" s="3272"/>
      <c r="E120" s="3272"/>
      <c r="F120" s="3261">
        <v>0.1</v>
      </c>
      <c r="G120" s="3278"/>
    </row>
    <row r="121" spans="1:7">
      <c r="A121" s="3271" t="s">
        <v>303</v>
      </c>
      <c r="B121" s="3260" t="s">
        <v>2994</v>
      </c>
      <c r="C121" s="3272"/>
      <c r="D121" s="3272"/>
      <c r="E121" s="3272"/>
      <c r="F121" s="3261">
        <v>0.1</v>
      </c>
      <c r="G121" s="3278"/>
    </row>
    <row r="122" spans="1:7">
      <c r="A122" s="3271" t="s">
        <v>303</v>
      </c>
      <c r="B122" s="3260" t="s">
        <v>2999</v>
      </c>
      <c r="C122" s="3261">
        <v>0.1</v>
      </c>
      <c r="D122" s="3261">
        <v>0.1</v>
      </c>
      <c r="E122" s="3261">
        <v>9.8000000000000004E-2</v>
      </c>
      <c r="F122" s="3261">
        <v>0.1</v>
      </c>
      <c r="G122" s="3262">
        <v>0.1</v>
      </c>
    </row>
    <row r="123" spans="1:7">
      <c r="A123" s="3271" t="s">
        <v>303</v>
      </c>
      <c r="B123" s="3260" t="s">
        <v>3004</v>
      </c>
      <c r="C123" s="3261">
        <v>0.1</v>
      </c>
      <c r="D123" s="3261">
        <v>0.1</v>
      </c>
      <c r="E123" s="3261">
        <v>9.8000000000000004E-2</v>
      </c>
      <c r="F123" s="3261">
        <v>0.1</v>
      </c>
      <c r="G123" s="3262">
        <v>0.1</v>
      </c>
    </row>
    <row r="124" spans="1:7">
      <c r="A124" s="3271" t="s">
        <v>303</v>
      </c>
      <c r="B124" s="3260" t="s">
        <v>3009</v>
      </c>
      <c r="C124" s="3261">
        <v>0.1</v>
      </c>
      <c r="D124" s="3261">
        <v>0.1</v>
      </c>
      <c r="E124" s="3261">
        <v>9.8000000000000004E-2</v>
      </c>
      <c r="F124" s="3277"/>
      <c r="G124" s="3262">
        <v>0.1</v>
      </c>
    </row>
    <row r="125" spans="1:7">
      <c r="A125" s="3271" t="s">
        <v>303</v>
      </c>
      <c r="B125" s="3260" t="s">
        <v>3014</v>
      </c>
      <c r="C125" s="3261">
        <v>9.8000000000000004E-2</v>
      </c>
      <c r="D125" s="3261">
        <v>9.8000000000000004E-2</v>
      </c>
      <c r="E125" s="3261">
        <v>9.6000000000000002E-2</v>
      </c>
      <c r="F125" s="3277"/>
      <c r="G125" s="3262">
        <v>0.1</v>
      </c>
    </row>
    <row r="126" spans="1:7" ht="14.25" thickBot="1">
      <c r="A126" s="3274" t="s">
        <v>303</v>
      </c>
      <c r="B126" s="3264" t="s">
        <v>3180</v>
      </c>
      <c r="C126" s="3265">
        <v>0.1</v>
      </c>
      <c r="D126" s="3265">
        <v>0.1</v>
      </c>
      <c r="E126" s="3265">
        <v>9.8000000000000004E-2</v>
      </c>
      <c r="F126" s="3265">
        <v>0.1</v>
      </c>
      <c r="G126" s="3267">
        <v>0.1</v>
      </c>
    </row>
    <row r="127" spans="1:7">
      <c r="A127" s="3270" t="s">
        <v>29</v>
      </c>
      <c r="B127" s="3256" t="s">
        <v>2857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2927</v>
      </c>
      <c r="C148" s="3261">
        <v>0.13</v>
      </c>
      <c r="D148" s="3261">
        <v>0.13</v>
      </c>
      <c r="E148" s="3261">
        <v>0.13</v>
      </c>
      <c r="F148" s="3272"/>
      <c r="G148" s="3262">
        <v>0.13</v>
      </c>
    </row>
    <row r="149" spans="1:7">
      <c r="A149" s="3271" t="s">
        <v>29</v>
      </c>
      <c r="B149" s="3260" t="s">
        <v>2931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2950</v>
      </c>
      <c r="C153" s="3261">
        <v>0.13</v>
      </c>
      <c r="D153" s="3261">
        <v>0.13</v>
      </c>
      <c r="E153" s="3261">
        <v>0.13</v>
      </c>
      <c r="F153" s="3261">
        <v>0.13</v>
      </c>
      <c r="G153" s="3262">
        <v>0.13</v>
      </c>
    </row>
    <row r="154" spans="1:7">
      <c r="A154" s="3271" t="s">
        <v>29</v>
      </c>
      <c r="B154" s="3260" t="s">
        <v>2957</v>
      </c>
      <c r="C154" s="3261">
        <v>0.121</v>
      </c>
      <c r="D154" s="3261">
        <v>0.121</v>
      </c>
      <c r="E154" s="3261">
        <v>0.105</v>
      </c>
      <c r="F154" s="3261">
        <v>0.121</v>
      </c>
      <c r="G154" s="3262">
        <v>0.123</v>
      </c>
    </row>
    <row r="155" spans="1:7">
      <c r="A155" s="3271" t="s">
        <v>29</v>
      </c>
      <c r="B155" s="3260" t="s">
        <v>2963</v>
      </c>
      <c r="C155" s="3261">
        <v>0.1</v>
      </c>
      <c r="D155" s="3261">
        <v>0.1</v>
      </c>
      <c r="E155" s="3261">
        <v>0.1</v>
      </c>
      <c r="F155" s="3261">
        <v>0.1</v>
      </c>
      <c r="G155" s="3262">
        <v>0.1</v>
      </c>
    </row>
    <row r="156" spans="1:7">
      <c r="A156" s="3271" t="s">
        <v>29</v>
      </c>
      <c r="B156" s="3260" t="s">
        <v>2970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2990</v>
      </c>
      <c r="C160" s="3261">
        <v>0.13</v>
      </c>
      <c r="D160" s="3261">
        <v>0.13</v>
      </c>
      <c r="E160" s="3261">
        <v>0.124</v>
      </c>
      <c r="F160" s="3261">
        <v>0.126</v>
      </c>
      <c r="G160" s="3262">
        <v>0.13</v>
      </c>
    </row>
    <row r="161" spans="1:7">
      <c r="A161" s="3271" t="s">
        <v>29</v>
      </c>
      <c r="B161" s="3260" t="s">
        <v>2995</v>
      </c>
      <c r="C161" s="3261">
        <v>0.13</v>
      </c>
      <c r="D161" s="3261">
        <v>0.13</v>
      </c>
      <c r="E161" s="3261">
        <v>0.124</v>
      </c>
      <c r="F161" s="3261">
        <v>0.127</v>
      </c>
      <c r="G161" s="3262">
        <v>0.13</v>
      </c>
    </row>
    <row r="162" spans="1:7">
      <c r="A162" s="3271" t="s">
        <v>29</v>
      </c>
      <c r="B162" s="3260" t="s">
        <v>3000</v>
      </c>
      <c r="C162" s="3261">
        <v>0.1</v>
      </c>
      <c r="D162" s="3261">
        <v>0.1</v>
      </c>
      <c r="E162" s="3261">
        <v>0.1</v>
      </c>
      <c r="F162" s="3261">
        <v>0.121</v>
      </c>
      <c r="G162" s="3262">
        <v>0.105</v>
      </c>
    </row>
    <row r="163" spans="1:7">
      <c r="A163" s="3271" t="s">
        <v>29</v>
      </c>
      <c r="B163" s="3260" t="s">
        <v>3005</v>
      </c>
      <c r="C163" s="3261">
        <v>0.1</v>
      </c>
      <c r="D163" s="3261">
        <v>0.1</v>
      </c>
      <c r="E163" s="3261">
        <v>0.1</v>
      </c>
      <c r="F163" s="3261">
        <v>0.1</v>
      </c>
      <c r="G163" s="3262">
        <v>0.1</v>
      </c>
    </row>
    <row r="164" spans="1:7">
      <c r="A164" s="3271" t="s">
        <v>29</v>
      </c>
      <c r="B164" s="3260" t="s">
        <v>3010</v>
      </c>
      <c r="C164" s="3277"/>
      <c r="D164" s="3277"/>
      <c r="E164" s="3277"/>
      <c r="F164" s="3261">
        <v>0.1</v>
      </c>
      <c r="G164" s="3273"/>
    </row>
    <row r="165" spans="1:7">
      <c r="A165" s="3271" t="s">
        <v>29</v>
      </c>
      <c r="B165" s="3260" t="s">
        <v>3181</v>
      </c>
      <c r="C165" s="3261">
        <v>0.126</v>
      </c>
      <c r="D165" s="3261">
        <v>0.126</v>
      </c>
      <c r="E165" s="3261">
        <v>0.11899999999999999</v>
      </c>
      <c r="F165" s="3261">
        <v>0.13</v>
      </c>
      <c r="G165" s="3262">
        <v>0.128</v>
      </c>
    </row>
    <row r="166" spans="1:7">
      <c r="A166" s="3271" t="s">
        <v>29</v>
      </c>
      <c r="B166" s="3260" t="s">
        <v>3020</v>
      </c>
      <c r="C166" s="3261">
        <v>0.129</v>
      </c>
      <c r="D166" s="3261">
        <v>0.129</v>
      </c>
      <c r="E166" s="3261">
        <v>0.123</v>
      </c>
      <c r="F166" s="3261">
        <v>0.128</v>
      </c>
      <c r="G166" s="3262">
        <v>0.13</v>
      </c>
    </row>
    <row r="167" spans="1:7">
      <c r="A167" s="3271" t="s">
        <v>29</v>
      </c>
      <c r="B167" s="3260" t="s">
        <v>3024</v>
      </c>
      <c r="C167" s="3261">
        <v>0.125</v>
      </c>
      <c r="D167" s="3261">
        <v>0.125</v>
      </c>
      <c r="E167" s="3261">
        <v>0.11700000000000001</v>
      </c>
      <c r="F167" s="3261">
        <v>0.13</v>
      </c>
      <c r="G167" s="3262">
        <v>0.126</v>
      </c>
    </row>
    <row r="168" spans="1:7">
      <c r="A168" s="3271" t="s">
        <v>29</v>
      </c>
      <c r="B168" s="3260" t="s">
        <v>3029</v>
      </c>
      <c r="C168" s="3261">
        <v>0.128</v>
      </c>
      <c r="D168" s="3261">
        <v>0.128</v>
      </c>
      <c r="E168" s="3261">
        <v>0.123</v>
      </c>
      <c r="F168" s="3272"/>
      <c r="G168" s="3262">
        <v>0.13</v>
      </c>
    </row>
    <row r="169" spans="1:7">
      <c r="A169" s="3271" t="s">
        <v>29</v>
      </c>
      <c r="B169" s="3260" t="s">
        <v>3182</v>
      </c>
      <c r="C169" s="3277"/>
      <c r="D169" s="3277"/>
      <c r="E169" s="3277"/>
      <c r="F169" s="3261">
        <v>0.05</v>
      </c>
      <c r="G169" s="3273"/>
    </row>
    <row r="170" spans="1:7">
      <c r="A170" s="3271" t="s">
        <v>29</v>
      </c>
      <c r="B170" s="3260" t="s">
        <v>3183</v>
      </c>
      <c r="C170" s="3277"/>
      <c r="D170" s="3277"/>
      <c r="E170" s="3277"/>
      <c r="F170" s="3261">
        <v>0.05</v>
      </c>
      <c r="G170" s="3273"/>
    </row>
    <row r="171" spans="1:7">
      <c r="A171" s="3271" t="s">
        <v>29</v>
      </c>
      <c r="B171" s="3260" t="s">
        <v>3184</v>
      </c>
      <c r="C171" s="3277"/>
      <c r="D171" s="3277"/>
      <c r="E171" s="3277"/>
      <c r="F171" s="3261">
        <v>0.05</v>
      </c>
      <c r="G171" s="3278"/>
    </row>
    <row r="172" spans="1:7">
      <c r="A172" s="3271" t="s">
        <v>29</v>
      </c>
      <c r="B172" s="3260" t="s">
        <v>3185</v>
      </c>
      <c r="C172" s="3277"/>
      <c r="D172" s="3277"/>
      <c r="E172" s="3277"/>
      <c r="F172" s="3261">
        <v>0.05</v>
      </c>
      <c r="G172" s="3278"/>
    </row>
    <row r="173" spans="1:7">
      <c r="A173" s="3271" t="s">
        <v>29</v>
      </c>
      <c r="B173" s="3260" t="s">
        <v>3186</v>
      </c>
      <c r="C173" s="3277"/>
      <c r="D173" s="3277"/>
      <c r="E173" s="3277"/>
      <c r="F173" s="3261">
        <v>0.05</v>
      </c>
      <c r="G173" s="3273"/>
    </row>
    <row r="174" spans="1:7">
      <c r="A174" s="3271" t="s">
        <v>29</v>
      </c>
      <c r="B174" s="3260" t="s">
        <v>3187</v>
      </c>
      <c r="C174" s="3277"/>
      <c r="D174" s="3277"/>
      <c r="E174" s="3277"/>
      <c r="F174" s="3261">
        <v>0.05</v>
      </c>
      <c r="G174" s="3273"/>
    </row>
    <row r="175" spans="1:7">
      <c r="A175" s="3271" t="s">
        <v>29</v>
      </c>
      <c r="B175" s="3260" t="s">
        <v>3188</v>
      </c>
      <c r="C175" s="3277"/>
      <c r="D175" s="3277"/>
      <c r="E175" s="3277"/>
      <c r="F175" s="3261">
        <v>0.05</v>
      </c>
      <c r="G175" s="3273"/>
    </row>
    <row r="176" spans="1:7">
      <c r="A176" s="3271" t="s">
        <v>29</v>
      </c>
      <c r="B176" s="3260" t="s">
        <v>3189</v>
      </c>
      <c r="C176" s="3277"/>
      <c r="D176" s="3277"/>
      <c r="E176" s="3277"/>
      <c r="F176" s="3261">
        <v>0.05</v>
      </c>
      <c r="G176" s="3273"/>
    </row>
    <row r="177" spans="1:7">
      <c r="A177" s="3271" t="s">
        <v>29</v>
      </c>
      <c r="B177" s="3260" t="s">
        <v>3190</v>
      </c>
      <c r="C177" s="3272"/>
      <c r="D177" s="3272"/>
      <c r="E177" s="3272"/>
      <c r="F177" s="3261">
        <v>0.05</v>
      </c>
      <c r="G177" s="3278"/>
    </row>
    <row r="178" spans="1:7">
      <c r="A178" s="3271" t="s">
        <v>29</v>
      </c>
      <c r="B178" s="3260" t="s">
        <v>3191</v>
      </c>
      <c r="C178" s="3272"/>
      <c r="D178" s="3272"/>
      <c r="E178" s="3272"/>
      <c r="F178" s="3261">
        <v>0.05</v>
      </c>
      <c r="G178" s="3278"/>
    </row>
    <row r="179" spans="1:7">
      <c r="A179" s="3271" t="s">
        <v>29</v>
      </c>
      <c r="B179" s="3260" t="s">
        <v>3192</v>
      </c>
      <c r="C179" s="3272"/>
      <c r="D179" s="3272"/>
      <c r="E179" s="3272"/>
      <c r="F179" s="3261">
        <v>0.05</v>
      </c>
      <c r="G179" s="3278"/>
    </row>
    <row r="180" spans="1:7">
      <c r="A180" s="3271" t="s">
        <v>29</v>
      </c>
      <c r="B180" s="3260" t="s">
        <v>3193</v>
      </c>
      <c r="C180" s="3272"/>
      <c r="D180" s="3272"/>
      <c r="E180" s="3272"/>
      <c r="F180" s="3261">
        <v>0.05</v>
      </c>
      <c r="G180" s="3278"/>
    </row>
    <row r="181" spans="1:7">
      <c r="A181" s="3271" t="s">
        <v>29</v>
      </c>
      <c r="B181" s="3260" t="s">
        <v>3194</v>
      </c>
      <c r="C181" s="3272"/>
      <c r="D181" s="3272"/>
      <c r="E181" s="3272"/>
      <c r="F181" s="3261">
        <v>0.05</v>
      </c>
      <c r="G181" s="3278"/>
    </row>
    <row r="182" spans="1:7">
      <c r="A182" s="3271" t="s">
        <v>29</v>
      </c>
      <c r="B182" s="3260" t="s">
        <v>3195</v>
      </c>
      <c r="C182" s="3272"/>
      <c r="D182" s="3272"/>
      <c r="E182" s="3272"/>
      <c r="F182" s="3261">
        <v>0.05</v>
      </c>
      <c r="G182" s="3278"/>
    </row>
    <row r="183" spans="1:7">
      <c r="A183" s="3271" t="s">
        <v>29</v>
      </c>
      <c r="B183" s="3260" t="s">
        <v>3196</v>
      </c>
      <c r="C183" s="3272"/>
      <c r="D183" s="3272"/>
      <c r="E183" s="3272"/>
      <c r="F183" s="3261">
        <v>0.05</v>
      </c>
      <c r="G183" s="3278"/>
    </row>
    <row r="184" spans="1:7">
      <c r="A184" s="3271" t="s">
        <v>29</v>
      </c>
      <c r="B184" s="3260" t="s">
        <v>3197</v>
      </c>
      <c r="C184" s="3272"/>
      <c r="D184" s="3272"/>
      <c r="E184" s="3272"/>
      <c r="F184" s="3261">
        <v>0.05</v>
      </c>
      <c r="G184" s="3278"/>
    </row>
    <row r="185" spans="1:7">
      <c r="A185" s="3271" t="s">
        <v>29</v>
      </c>
      <c r="B185" s="3260" t="s">
        <v>3198</v>
      </c>
      <c r="C185" s="3272"/>
      <c r="D185" s="3272"/>
      <c r="E185" s="3272"/>
      <c r="F185" s="3261">
        <v>0.05</v>
      </c>
      <c r="G185" s="3278"/>
    </row>
    <row r="186" spans="1:7">
      <c r="A186" s="3271" t="s">
        <v>29</v>
      </c>
      <c r="B186" s="3260" t="s">
        <v>3199</v>
      </c>
      <c r="C186" s="3272"/>
      <c r="D186" s="3272"/>
      <c r="E186" s="3272"/>
      <c r="F186" s="3261">
        <v>0.05</v>
      </c>
      <c r="G186" s="3278"/>
    </row>
    <row r="187" spans="1:7">
      <c r="A187" s="3271" t="s">
        <v>29</v>
      </c>
      <c r="B187" s="3260" t="s">
        <v>3200</v>
      </c>
      <c r="C187" s="3272"/>
      <c r="D187" s="3272"/>
      <c r="E187" s="3272"/>
      <c r="F187" s="3261">
        <v>0.05</v>
      </c>
      <c r="G187" s="3278"/>
    </row>
    <row r="188" spans="1:7">
      <c r="A188" s="3271" t="s">
        <v>29</v>
      </c>
      <c r="B188" s="3260" t="s">
        <v>3201</v>
      </c>
      <c r="C188" s="3272"/>
      <c r="D188" s="3272"/>
      <c r="E188" s="3272"/>
      <c r="F188" s="3261">
        <v>0.05</v>
      </c>
      <c r="G188" s="3278"/>
    </row>
    <row r="189" spans="1:7" ht="14.25" thickBot="1">
      <c r="A189" s="3274" t="s">
        <v>29</v>
      </c>
      <c r="B189" s="3264" t="s">
        <v>3202</v>
      </c>
      <c r="C189" s="3266"/>
      <c r="D189" s="3266"/>
      <c r="E189" s="3266"/>
      <c r="F189" s="3265">
        <v>0.05</v>
      </c>
      <c r="G189" s="3279"/>
    </row>
    <row r="190" spans="1:7">
      <c r="A190" s="3270" t="s">
        <v>304</v>
      </c>
      <c r="B190" s="3256" t="s">
        <v>2858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2894</v>
      </c>
      <c r="C199" s="3261">
        <v>0.13</v>
      </c>
      <c r="D199" s="3261">
        <v>0.13</v>
      </c>
      <c r="E199" s="3261">
        <v>0.13</v>
      </c>
      <c r="F199" s="3261">
        <v>0.13</v>
      </c>
      <c r="G199" s="3262">
        <v>0.13</v>
      </c>
    </row>
    <row r="200" spans="1:7">
      <c r="A200" s="3271" t="s">
        <v>304</v>
      </c>
      <c r="B200" s="3260" t="s">
        <v>2897</v>
      </c>
      <c r="C200" s="3277"/>
      <c r="D200" s="3277"/>
      <c r="E200" s="3277"/>
      <c r="F200" s="3261">
        <v>0.13</v>
      </c>
      <c r="G200" s="3273"/>
    </row>
    <row r="201" spans="1:7">
      <c r="A201" s="3271" t="s">
        <v>304</v>
      </c>
      <c r="B201" s="3260" t="s">
        <v>2902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2905</v>
      </c>
      <c r="C203" s="3261">
        <v>0.129</v>
      </c>
      <c r="D203" s="3261">
        <v>0.129</v>
      </c>
      <c r="E203" s="3261">
        <v>0.13</v>
      </c>
      <c r="F203" s="3261">
        <v>0.13</v>
      </c>
      <c r="G203" s="3262">
        <v>0.13</v>
      </c>
    </row>
    <row r="204" spans="1:7">
      <c r="A204" s="3271" t="s">
        <v>304</v>
      </c>
      <c r="B204" s="3260" t="s">
        <v>2908</v>
      </c>
      <c r="C204" s="3261">
        <v>0.129</v>
      </c>
      <c r="D204" s="3261">
        <v>0.129</v>
      </c>
      <c r="E204" s="3261">
        <v>0.123</v>
      </c>
      <c r="F204" s="3261">
        <v>0.13</v>
      </c>
      <c r="G204" s="3262">
        <v>0.13</v>
      </c>
    </row>
    <row r="205" spans="1:7">
      <c r="A205" s="3271" t="s">
        <v>304</v>
      </c>
      <c r="B205" s="3260" t="s">
        <v>2910</v>
      </c>
      <c r="C205" s="3261">
        <v>0.13</v>
      </c>
      <c r="D205" s="3261">
        <v>0.13</v>
      </c>
      <c r="E205" s="3261">
        <v>0.13</v>
      </c>
      <c r="F205" s="3261">
        <v>0.13</v>
      </c>
      <c r="G205" s="3262">
        <v>0.13</v>
      </c>
    </row>
    <row r="206" spans="1:7">
      <c r="A206" s="3271" t="s">
        <v>304</v>
      </c>
      <c r="B206" s="3260" t="s">
        <v>2913</v>
      </c>
      <c r="C206" s="3261">
        <v>0.13</v>
      </c>
      <c r="D206" s="3261">
        <v>0.13</v>
      </c>
      <c r="E206" s="3261">
        <v>0.13</v>
      </c>
      <c r="F206" s="3261">
        <v>0.128</v>
      </c>
      <c r="G206" s="3262">
        <v>0.13</v>
      </c>
    </row>
    <row r="207" spans="1:7">
      <c r="A207" s="3271" t="s">
        <v>304</v>
      </c>
      <c r="B207" s="3260" t="s">
        <v>2915</v>
      </c>
      <c r="C207" s="3261">
        <v>0.13</v>
      </c>
      <c r="D207" s="3261">
        <v>0.13</v>
      </c>
      <c r="E207" s="3261">
        <v>0.13</v>
      </c>
      <c r="F207" s="3261">
        <v>0.13</v>
      </c>
      <c r="G207" s="3262">
        <v>0.13</v>
      </c>
    </row>
    <row r="208" spans="1:7">
      <c r="A208" s="3271" t="s">
        <v>304</v>
      </c>
      <c r="B208" s="3260" t="s">
        <v>2918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2925</v>
      </c>
      <c r="C210" s="3261">
        <v>0.121</v>
      </c>
      <c r="D210" s="3261">
        <v>0.121</v>
      </c>
      <c r="E210" s="3261">
        <v>0.125</v>
      </c>
      <c r="F210" s="3261">
        <v>0.13</v>
      </c>
      <c r="G210" s="3262">
        <v>0.123</v>
      </c>
    </row>
    <row r="211" spans="1:7">
      <c r="A211" s="3271" t="s">
        <v>304</v>
      </c>
      <c r="B211" s="3260" t="s">
        <v>2928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2940</v>
      </c>
      <c r="C214" s="3261">
        <v>0.128</v>
      </c>
      <c r="D214" s="3261">
        <v>0.128</v>
      </c>
      <c r="E214" s="3261">
        <v>0.13</v>
      </c>
      <c r="F214" s="3261">
        <v>0.13</v>
      </c>
      <c r="G214" s="3262">
        <v>0.13</v>
      </c>
    </row>
    <row r="215" spans="1:7">
      <c r="A215" s="3271" t="s">
        <v>304</v>
      </c>
      <c r="B215" s="3260" t="s">
        <v>2944</v>
      </c>
      <c r="C215" s="3261">
        <v>0.13</v>
      </c>
      <c r="D215" s="3261">
        <v>0.13</v>
      </c>
      <c r="E215" s="3261">
        <v>0.13</v>
      </c>
      <c r="F215" s="3261">
        <v>0.129</v>
      </c>
      <c r="G215" s="3262">
        <v>0.13</v>
      </c>
    </row>
    <row r="216" spans="1:7">
      <c r="A216" s="3271" t="s">
        <v>304</v>
      </c>
      <c r="B216" s="3260" t="s">
        <v>2951</v>
      </c>
      <c r="C216" s="3261">
        <v>0.13</v>
      </c>
      <c r="D216" s="3261">
        <v>0.13</v>
      </c>
      <c r="E216" s="3261">
        <v>0.13</v>
      </c>
      <c r="F216" s="3261">
        <v>0.13</v>
      </c>
      <c r="G216" s="3262">
        <v>0.13</v>
      </c>
    </row>
    <row r="217" spans="1:7">
      <c r="A217" s="3271" t="s">
        <v>304</v>
      </c>
      <c r="B217" s="3260" t="s">
        <v>2958</v>
      </c>
      <c r="C217" s="3261">
        <v>0.129</v>
      </c>
      <c r="D217" s="3261">
        <v>0.129</v>
      </c>
      <c r="E217" s="3261">
        <v>0.13</v>
      </c>
      <c r="F217" s="3261">
        <v>0.13</v>
      </c>
      <c r="G217" s="3262">
        <v>0.13</v>
      </c>
    </row>
    <row r="218" spans="1:7">
      <c r="A218" s="3271" t="s">
        <v>304</v>
      </c>
      <c r="B218" s="3260" t="s">
        <v>2964</v>
      </c>
      <c r="C218" s="3272"/>
      <c r="D218" s="3272"/>
      <c r="E218" s="3272"/>
      <c r="F218" s="3261">
        <v>0.05</v>
      </c>
      <c r="G218" s="3278"/>
    </row>
    <row r="219" spans="1:7">
      <c r="A219" s="3271" t="s">
        <v>304</v>
      </c>
      <c r="B219" s="3260" t="s">
        <v>2971</v>
      </c>
      <c r="C219" s="3272"/>
      <c r="D219" s="3272"/>
      <c r="E219" s="3272"/>
      <c r="F219" s="3261">
        <v>0.05</v>
      </c>
      <c r="G219" s="3278"/>
    </row>
    <row r="220" spans="1:7">
      <c r="A220" s="3271" t="s">
        <v>304</v>
      </c>
      <c r="B220" s="3260" t="s">
        <v>2977</v>
      </c>
      <c r="C220" s="3272"/>
      <c r="D220" s="3272"/>
      <c r="E220" s="3272"/>
      <c r="F220" s="3261">
        <v>0.05</v>
      </c>
      <c r="G220" s="3278"/>
    </row>
    <row r="221" spans="1:7">
      <c r="A221" s="3271" t="s">
        <v>304</v>
      </c>
      <c r="B221" s="3260" t="s">
        <v>2982</v>
      </c>
      <c r="C221" s="3272"/>
      <c r="D221" s="3272"/>
      <c r="E221" s="3272"/>
      <c r="F221" s="3261">
        <v>0.05</v>
      </c>
      <c r="G221" s="3278"/>
    </row>
    <row r="222" spans="1:7">
      <c r="A222" s="3271" t="s">
        <v>304</v>
      </c>
      <c r="B222" s="3260" t="s">
        <v>2986</v>
      </c>
      <c r="C222" s="3272"/>
      <c r="D222" s="3272"/>
      <c r="E222" s="3272"/>
      <c r="F222" s="3261">
        <v>0.05</v>
      </c>
      <c r="G222" s="3278"/>
    </row>
    <row r="223" spans="1:7">
      <c r="A223" s="3271" t="s">
        <v>304</v>
      </c>
      <c r="B223" s="3260" t="s">
        <v>2991</v>
      </c>
      <c r="C223" s="3272"/>
      <c r="D223" s="3272"/>
      <c r="E223" s="3272"/>
      <c r="F223" s="3261">
        <v>0.05</v>
      </c>
      <c r="G223" s="3278"/>
    </row>
    <row r="224" spans="1:7">
      <c r="A224" s="3271" t="s">
        <v>304</v>
      </c>
      <c r="B224" s="3260" t="s">
        <v>2996</v>
      </c>
      <c r="C224" s="3272"/>
      <c r="D224" s="3272"/>
      <c r="E224" s="3272"/>
      <c r="F224" s="3261">
        <v>0.05</v>
      </c>
      <c r="G224" s="3278"/>
    </row>
    <row r="225" spans="1:7">
      <c r="A225" s="3271" t="s">
        <v>304</v>
      </c>
      <c r="B225" s="3260" t="s">
        <v>3001</v>
      </c>
      <c r="C225" s="3272"/>
      <c r="D225" s="3272"/>
      <c r="E225" s="3272"/>
      <c r="F225" s="3261">
        <v>0.05</v>
      </c>
      <c r="G225" s="3278"/>
    </row>
    <row r="226" spans="1:7">
      <c r="A226" s="3271" t="s">
        <v>304</v>
      </c>
      <c r="B226" s="3260" t="s">
        <v>3203</v>
      </c>
      <c r="C226" s="3272"/>
      <c r="D226" s="3272"/>
      <c r="E226" s="3272"/>
      <c r="F226" s="3261">
        <v>0.05</v>
      </c>
      <c r="G226" s="3278"/>
    </row>
    <row r="227" spans="1:7">
      <c r="A227" s="3271" t="s">
        <v>304</v>
      </c>
      <c r="B227" s="3260" t="s">
        <v>3204</v>
      </c>
      <c r="C227" s="3272"/>
      <c r="D227" s="3272"/>
      <c r="E227" s="3272"/>
      <c r="F227" s="3261">
        <v>0.05</v>
      </c>
      <c r="G227" s="3278"/>
    </row>
    <row r="228" spans="1:7">
      <c r="A228" s="3271" t="s">
        <v>304</v>
      </c>
      <c r="B228" s="3260" t="s">
        <v>3205</v>
      </c>
      <c r="C228" s="3272"/>
      <c r="D228" s="3272"/>
      <c r="E228" s="3272"/>
      <c r="F228" s="3261">
        <v>0.05</v>
      </c>
      <c r="G228" s="3278"/>
    </row>
    <row r="229" spans="1:7">
      <c r="A229" s="3271" t="s">
        <v>304</v>
      </c>
      <c r="B229" s="3260" t="s">
        <v>3206</v>
      </c>
      <c r="C229" s="3272"/>
      <c r="D229" s="3272"/>
      <c r="E229" s="3272"/>
      <c r="F229" s="3261">
        <v>0.05</v>
      </c>
      <c r="G229" s="3278"/>
    </row>
    <row r="230" spans="1:7">
      <c r="A230" s="3271" t="s">
        <v>304</v>
      </c>
      <c r="B230" s="3260" t="s">
        <v>3207</v>
      </c>
      <c r="C230" s="3272"/>
      <c r="D230" s="3272"/>
      <c r="E230" s="3272"/>
      <c r="F230" s="3261">
        <v>0.05</v>
      </c>
      <c r="G230" s="3278"/>
    </row>
    <row r="231" spans="1:7">
      <c r="A231" s="3271" t="s">
        <v>304</v>
      </c>
      <c r="B231" s="3260" t="s">
        <v>3208</v>
      </c>
      <c r="C231" s="3272"/>
      <c r="D231" s="3272"/>
      <c r="E231" s="3272"/>
      <c r="F231" s="3261">
        <v>0.05</v>
      </c>
      <c r="G231" s="3278"/>
    </row>
    <row r="232" spans="1:7">
      <c r="A232" s="3271" t="s">
        <v>304</v>
      </c>
      <c r="B232" s="3260" t="s">
        <v>3209</v>
      </c>
      <c r="C232" s="3272"/>
      <c r="D232" s="3272"/>
      <c r="E232" s="3272"/>
      <c r="F232" s="3261">
        <v>0.05</v>
      </c>
      <c r="G232" s="3278"/>
    </row>
    <row r="233" spans="1:7" ht="14.25" thickBot="1">
      <c r="A233" s="3274" t="s">
        <v>304</v>
      </c>
      <c r="B233" s="3264" t="s">
        <v>3210</v>
      </c>
      <c r="C233" s="3266"/>
      <c r="D233" s="3266"/>
      <c r="E233" s="3266"/>
      <c r="F233" s="3265">
        <v>0.05</v>
      </c>
      <c r="G233" s="3279"/>
    </row>
    <row r="234" spans="1:7">
      <c r="A234" s="3270" t="s">
        <v>305</v>
      </c>
      <c r="B234" s="3256" t="s">
        <v>2859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2879</v>
      </c>
      <c r="C238" s="3261">
        <v>0.14899999999999999</v>
      </c>
      <c r="D238" s="3261">
        <v>0.14899999999999999</v>
      </c>
      <c r="E238" s="3261">
        <v>0.15</v>
      </c>
      <c r="F238" s="3261">
        <v>0.15</v>
      </c>
      <c r="G238" s="3262">
        <v>0.15</v>
      </c>
    </row>
    <row r="239" spans="1:7">
      <c r="A239" s="3271" t="s">
        <v>305</v>
      </c>
      <c r="B239" s="3260" t="s">
        <v>2883</v>
      </c>
      <c r="C239" s="3261">
        <v>0.15</v>
      </c>
      <c r="D239" s="3261">
        <v>0.15</v>
      </c>
      <c r="E239" s="3261">
        <v>0.15</v>
      </c>
      <c r="F239" s="3261">
        <v>0.15</v>
      </c>
      <c r="G239" s="3262">
        <v>0.15</v>
      </c>
    </row>
    <row r="240" spans="1:7">
      <c r="A240" s="3271" t="s">
        <v>305</v>
      </c>
      <c r="B240" s="3260" t="s">
        <v>2888</v>
      </c>
      <c r="C240" s="3261">
        <v>0.15</v>
      </c>
      <c r="D240" s="3261">
        <v>0.15</v>
      </c>
      <c r="E240" s="3261">
        <v>0.15</v>
      </c>
      <c r="F240" s="3261">
        <v>0.15</v>
      </c>
      <c r="G240" s="3262">
        <v>0.15</v>
      </c>
    </row>
    <row r="241" spans="1:7">
      <c r="A241" s="3271" t="s">
        <v>305</v>
      </c>
      <c r="B241" s="3260" t="s">
        <v>2892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2941</v>
      </c>
      <c r="C258" s="3261">
        <v>0.14299999999999999</v>
      </c>
      <c r="D258" s="3261">
        <v>0.14299999999999999</v>
      </c>
      <c r="E258" s="3261">
        <v>0.15</v>
      </c>
      <c r="F258" s="3261">
        <v>0.14799999999999999</v>
      </c>
      <c r="G258" s="3262">
        <v>0.14599999999999999</v>
      </c>
    </row>
    <row r="259" spans="1:7">
      <c r="A259" s="3271" t="s">
        <v>305</v>
      </c>
      <c r="B259" s="3260" t="s">
        <v>2945</v>
      </c>
      <c r="C259" s="3261">
        <v>0.14399999999999999</v>
      </c>
      <c r="D259" s="3261">
        <v>0.14399999999999999</v>
      </c>
      <c r="E259" s="3261">
        <v>0.14899999999999999</v>
      </c>
      <c r="F259" s="3261">
        <v>0.14699999999999999</v>
      </c>
      <c r="G259" s="3262">
        <v>0.14599999999999999</v>
      </c>
    </row>
    <row r="260" spans="1:7">
      <c r="A260" s="3271" t="s">
        <v>305</v>
      </c>
      <c r="B260" s="3260" t="s">
        <v>2952</v>
      </c>
      <c r="C260" s="3261">
        <v>0.109</v>
      </c>
      <c r="D260" s="3261">
        <v>0.111</v>
      </c>
      <c r="E260" s="3261">
        <v>0.13100000000000001</v>
      </c>
      <c r="F260" s="3261">
        <v>0.126</v>
      </c>
      <c r="G260" s="3262">
        <v>0.11899999999999999</v>
      </c>
    </row>
    <row r="261" spans="1:7">
      <c r="A261" s="3271" t="s">
        <v>305</v>
      </c>
      <c r="B261" s="3260" t="s">
        <v>2959</v>
      </c>
      <c r="C261" s="3261">
        <v>0.1</v>
      </c>
      <c r="D261" s="3261">
        <v>0.1</v>
      </c>
      <c r="E261" s="3261">
        <v>0.11799999999999999</v>
      </c>
      <c r="F261" s="3261">
        <v>0.108</v>
      </c>
      <c r="G261" s="3262">
        <v>0.107</v>
      </c>
    </row>
    <row r="262" spans="1:7">
      <c r="A262" s="3271" t="s">
        <v>305</v>
      </c>
      <c r="B262" s="3260" t="s">
        <v>2965</v>
      </c>
      <c r="C262" s="3261">
        <v>0.1</v>
      </c>
      <c r="D262" s="3261">
        <v>0.1</v>
      </c>
      <c r="E262" s="3261">
        <v>0.1</v>
      </c>
      <c r="F262" s="3261">
        <v>0.14099999999999999</v>
      </c>
      <c r="G262" s="3262">
        <v>0.1</v>
      </c>
    </row>
    <row r="263" spans="1:7">
      <c r="A263" s="3271" t="s">
        <v>305</v>
      </c>
      <c r="B263" s="3260" t="s">
        <v>2972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2983</v>
      </c>
      <c r="C265" s="3272"/>
      <c r="D265" s="3272"/>
      <c r="E265" s="3272"/>
      <c r="F265" s="3261">
        <v>0.05</v>
      </c>
      <c r="G265" s="3278"/>
    </row>
    <row r="266" spans="1:7">
      <c r="A266" s="3271" t="s">
        <v>305</v>
      </c>
      <c r="B266" s="3260" t="s">
        <v>2987</v>
      </c>
      <c r="C266" s="3272"/>
      <c r="D266" s="3272"/>
      <c r="E266" s="3272"/>
      <c r="F266" s="3261">
        <v>0.05</v>
      </c>
      <c r="G266" s="3278"/>
    </row>
    <row r="267" spans="1:7">
      <c r="A267" s="3271" t="s">
        <v>305</v>
      </c>
      <c r="B267" s="3260" t="s">
        <v>2992</v>
      </c>
      <c r="C267" s="3272"/>
      <c r="D267" s="3272"/>
      <c r="E267" s="3272"/>
      <c r="F267" s="3261">
        <v>0.05</v>
      </c>
      <c r="G267" s="3278"/>
    </row>
    <row r="268" spans="1:7">
      <c r="A268" s="3271" t="s">
        <v>305</v>
      </c>
      <c r="B268" s="3260" t="s">
        <v>2997</v>
      </c>
      <c r="C268" s="3272"/>
      <c r="D268" s="3272"/>
      <c r="E268" s="3272"/>
      <c r="F268" s="3261">
        <v>0.05</v>
      </c>
      <c r="G268" s="3278"/>
    </row>
    <row r="269" spans="1:7">
      <c r="A269" s="3271" t="s">
        <v>305</v>
      </c>
      <c r="B269" s="3260" t="s">
        <v>3002</v>
      </c>
      <c r="C269" s="3272"/>
      <c r="D269" s="3272"/>
      <c r="E269" s="3272"/>
      <c r="F269" s="3261">
        <v>0.05</v>
      </c>
      <c r="G269" s="3278"/>
    </row>
    <row r="270" spans="1:7">
      <c r="A270" s="3271" t="s">
        <v>305</v>
      </c>
      <c r="B270" s="3260" t="s">
        <v>3007</v>
      </c>
      <c r="C270" s="3272"/>
      <c r="D270" s="3272"/>
      <c r="E270" s="3272"/>
      <c r="F270" s="3261">
        <v>0.05</v>
      </c>
      <c r="G270" s="3278"/>
    </row>
    <row r="271" spans="1:7">
      <c r="A271" s="3271" t="s">
        <v>305</v>
      </c>
      <c r="B271" s="3260" t="s">
        <v>3211</v>
      </c>
      <c r="C271" s="3272"/>
      <c r="D271" s="3272"/>
      <c r="E271" s="3272"/>
      <c r="F271" s="3261">
        <v>0.05</v>
      </c>
      <c r="G271" s="3278"/>
    </row>
    <row r="272" spans="1:7">
      <c r="A272" s="3271" t="s">
        <v>305</v>
      </c>
      <c r="B272" s="3260" t="s">
        <v>3212</v>
      </c>
      <c r="C272" s="3272"/>
      <c r="D272" s="3272"/>
      <c r="E272" s="3272"/>
      <c r="F272" s="3261">
        <v>0.05</v>
      </c>
      <c r="G272" s="3278"/>
    </row>
    <row r="273" spans="1:7">
      <c r="A273" s="3271" t="s">
        <v>305</v>
      </c>
      <c r="B273" s="3260" t="s">
        <v>3213</v>
      </c>
      <c r="C273" s="3272"/>
      <c r="D273" s="3272"/>
      <c r="E273" s="3272"/>
      <c r="F273" s="3261">
        <v>0.05</v>
      </c>
      <c r="G273" s="3278"/>
    </row>
    <row r="274" spans="1:7">
      <c r="A274" s="3271" t="s">
        <v>305</v>
      </c>
      <c r="B274" s="3260" t="s">
        <v>3214</v>
      </c>
      <c r="C274" s="3272"/>
      <c r="D274" s="3272"/>
      <c r="E274" s="3272"/>
      <c r="F274" s="3261">
        <v>0.05</v>
      </c>
      <c r="G274" s="3278"/>
    </row>
    <row r="275" spans="1:7">
      <c r="A275" s="3271" t="s">
        <v>305</v>
      </c>
      <c r="B275" s="3260" t="s">
        <v>3215</v>
      </c>
      <c r="C275" s="3272"/>
      <c r="D275" s="3272"/>
      <c r="E275" s="3272"/>
      <c r="F275" s="3261">
        <v>0.05</v>
      </c>
      <c r="G275" s="3278"/>
    </row>
    <row r="276" spans="1:7" ht="14.25" thickBot="1">
      <c r="A276" s="3274" t="s">
        <v>305</v>
      </c>
      <c r="B276" s="3264" t="s">
        <v>3216</v>
      </c>
      <c r="C276" s="3266"/>
      <c r="D276" s="3266"/>
      <c r="E276" s="3266"/>
      <c r="F276" s="3265">
        <v>0.05</v>
      </c>
      <c r="G276" s="3279"/>
    </row>
    <row r="277" spans="1:7">
      <c r="A277" s="3270" t="s">
        <v>306</v>
      </c>
      <c r="B277" s="3256" t="s">
        <v>2860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2872</v>
      </c>
      <c r="C279" s="3261">
        <v>0.15</v>
      </c>
      <c r="D279" s="3261">
        <v>0.15</v>
      </c>
      <c r="E279" s="3261">
        <v>0.15</v>
      </c>
      <c r="F279" s="3261">
        <v>0.15</v>
      </c>
      <c r="G279" s="3262">
        <v>0.15</v>
      </c>
    </row>
    <row r="280" spans="1:7">
      <c r="A280" s="3271" t="s">
        <v>306</v>
      </c>
      <c r="B280" s="3260" t="s">
        <v>2876</v>
      </c>
      <c r="C280" s="3261">
        <v>0.15</v>
      </c>
      <c r="D280" s="3261">
        <v>0.15</v>
      </c>
      <c r="E280" s="3261">
        <v>0.15</v>
      </c>
      <c r="F280" s="3261">
        <v>0.15</v>
      </c>
      <c r="G280" s="3262">
        <v>0.15</v>
      </c>
    </row>
    <row r="281" spans="1:7">
      <c r="A281" s="3271" t="s">
        <v>306</v>
      </c>
      <c r="B281" s="3260" t="s">
        <v>2880</v>
      </c>
      <c r="C281" s="3261">
        <v>0.15</v>
      </c>
      <c r="D281" s="3261">
        <v>0.15</v>
      </c>
      <c r="E281" s="3261">
        <v>0.15</v>
      </c>
      <c r="F281" s="3261">
        <v>0.15</v>
      </c>
      <c r="G281" s="3262">
        <v>0.15</v>
      </c>
    </row>
    <row r="282" spans="1:7">
      <c r="A282" s="3271" t="s">
        <v>306</v>
      </c>
      <c r="B282" s="3260" t="s">
        <v>2884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2914</v>
      </c>
      <c r="C293" s="3261">
        <v>0.15</v>
      </c>
      <c r="D293" s="3261">
        <v>0.15</v>
      </c>
      <c r="E293" s="3261">
        <v>0.15</v>
      </c>
      <c r="F293" s="3261">
        <v>0.14499999999999999</v>
      </c>
      <c r="G293" s="3262">
        <v>0.15</v>
      </c>
    </row>
    <row r="294" spans="1:7">
      <c r="A294" s="3271" t="s">
        <v>306</v>
      </c>
      <c r="B294" s="3260" t="s">
        <v>2916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2946</v>
      </c>
      <c r="C302" s="3261">
        <v>0.15</v>
      </c>
      <c r="D302" s="3261">
        <v>0.15</v>
      </c>
      <c r="E302" s="3261">
        <v>0.15</v>
      </c>
      <c r="F302" s="3261">
        <v>0.14699999999999999</v>
      </c>
      <c r="G302" s="3262">
        <v>0.15</v>
      </c>
    </row>
    <row r="303" spans="1:7">
      <c r="A303" s="3271" t="s">
        <v>306</v>
      </c>
      <c r="B303" s="3260" t="s">
        <v>2953</v>
      </c>
      <c r="C303" s="3261">
        <v>0.15</v>
      </c>
      <c r="D303" s="3261">
        <v>0.15</v>
      </c>
      <c r="E303" s="3261">
        <v>0.15</v>
      </c>
      <c r="F303" s="3261">
        <v>0.14199999999999999</v>
      </c>
      <c r="G303" s="3262">
        <v>0.15</v>
      </c>
    </row>
    <row r="304" spans="1:7">
      <c r="A304" s="3271" t="s">
        <v>306</v>
      </c>
      <c r="B304" s="3260" t="s">
        <v>2960</v>
      </c>
      <c r="C304" s="3261">
        <v>0.15</v>
      </c>
      <c r="D304" s="3261">
        <v>0.15</v>
      </c>
      <c r="E304" s="3261">
        <v>0.15</v>
      </c>
      <c r="F304" s="3261">
        <v>0.14499999999999999</v>
      </c>
      <c r="G304" s="3262">
        <v>0.15</v>
      </c>
    </row>
    <row r="305" spans="1:7">
      <c r="A305" s="3271" t="s">
        <v>306</v>
      </c>
      <c r="B305" s="3260" t="s">
        <v>2966</v>
      </c>
      <c r="C305" s="3261">
        <v>0.15</v>
      </c>
      <c r="D305" s="3261">
        <v>0.15</v>
      </c>
      <c r="E305" s="3261">
        <v>0.15</v>
      </c>
      <c r="F305" s="3261">
        <v>0.111</v>
      </c>
      <c r="G305" s="3262">
        <v>0.15</v>
      </c>
    </row>
    <row r="306" spans="1:7">
      <c r="A306" s="3271" t="s">
        <v>306</v>
      </c>
      <c r="B306" s="3260" t="s">
        <v>2973</v>
      </c>
      <c r="C306" s="3261">
        <v>0.15</v>
      </c>
      <c r="D306" s="3261">
        <v>0.15</v>
      </c>
      <c r="E306" s="3261">
        <v>0.15</v>
      </c>
      <c r="F306" s="3261">
        <v>0.126</v>
      </c>
      <c r="G306" s="3262">
        <v>0.15</v>
      </c>
    </row>
    <row r="307" spans="1:7">
      <c r="A307" s="3271" t="s">
        <v>306</v>
      </c>
      <c r="B307" s="3260" t="s">
        <v>2978</v>
      </c>
      <c r="C307" s="3261">
        <v>0.15</v>
      </c>
      <c r="D307" s="3261">
        <v>0.15</v>
      </c>
      <c r="E307" s="3261">
        <v>0.15</v>
      </c>
      <c r="F307" s="3261">
        <v>0.12</v>
      </c>
      <c r="G307" s="3262">
        <v>0.15</v>
      </c>
    </row>
    <row r="308" spans="1:7">
      <c r="A308" s="3271" t="s">
        <v>306</v>
      </c>
      <c r="B308" s="3260" t="s">
        <v>2984</v>
      </c>
      <c r="C308" s="3261">
        <v>0.15</v>
      </c>
      <c r="D308" s="3261">
        <v>0.15</v>
      </c>
      <c r="E308" s="3261">
        <v>0.15</v>
      </c>
      <c r="F308" s="3261">
        <v>0.13</v>
      </c>
      <c r="G308" s="3262">
        <v>0.15</v>
      </c>
    </row>
    <row r="309" spans="1:7">
      <c r="A309" s="3271" t="s">
        <v>306</v>
      </c>
      <c r="B309" s="3260" t="s">
        <v>2988</v>
      </c>
      <c r="C309" s="3261">
        <v>0.15</v>
      </c>
      <c r="D309" s="3261">
        <v>0.15</v>
      </c>
      <c r="E309" s="3261">
        <v>0.15</v>
      </c>
      <c r="F309" s="3261">
        <v>0.14099999999999999</v>
      </c>
      <c r="G309" s="3262">
        <v>0.15</v>
      </c>
    </row>
    <row r="310" spans="1:7">
      <c r="A310" s="3271" t="s">
        <v>306</v>
      </c>
      <c r="B310" s="3260" t="s">
        <v>2993</v>
      </c>
      <c r="C310" s="3261">
        <v>0.15</v>
      </c>
      <c r="D310" s="3261">
        <v>0.15</v>
      </c>
      <c r="E310" s="3261">
        <v>0.15</v>
      </c>
      <c r="F310" s="3261">
        <v>0.15</v>
      </c>
      <c r="G310" s="3262">
        <v>0.15</v>
      </c>
    </row>
    <row r="311" spans="1:7">
      <c r="A311" s="3271" t="s">
        <v>306</v>
      </c>
      <c r="B311" s="3260" t="s">
        <v>2998</v>
      </c>
      <c r="C311" s="3261">
        <v>0.13200000000000001</v>
      </c>
      <c r="D311" s="3261">
        <v>0.13300000000000001</v>
      </c>
      <c r="E311" s="3261">
        <v>0.14499999999999999</v>
      </c>
      <c r="F311" s="3261">
        <v>0.14199999999999999</v>
      </c>
      <c r="G311" s="3262">
        <v>0.14000000000000001</v>
      </c>
    </row>
    <row r="312" spans="1:7">
      <c r="A312" s="3271" t="s">
        <v>306</v>
      </c>
      <c r="B312" s="3260" t="s">
        <v>3003</v>
      </c>
      <c r="C312" s="3261">
        <v>0.13800000000000001</v>
      </c>
      <c r="D312" s="3261">
        <v>0.14000000000000001</v>
      </c>
      <c r="E312" s="3261">
        <v>0.14599999999999999</v>
      </c>
      <c r="F312" s="3261">
        <v>0.14899999999999999</v>
      </c>
      <c r="G312" s="3262">
        <v>0.14199999999999999</v>
      </c>
    </row>
    <row r="313" spans="1:7">
      <c r="A313" s="3271" t="s">
        <v>306</v>
      </c>
      <c r="B313" s="3260" t="s">
        <v>3008</v>
      </c>
      <c r="C313" s="3261">
        <v>0.125</v>
      </c>
      <c r="D313" s="3261">
        <v>0.127</v>
      </c>
      <c r="E313" s="3261">
        <v>0.14399999999999999</v>
      </c>
      <c r="F313" s="3261">
        <v>0.115</v>
      </c>
      <c r="G313" s="3262">
        <v>0.13600000000000001</v>
      </c>
    </row>
    <row r="314" spans="1:7">
      <c r="A314" s="3271" t="s">
        <v>306</v>
      </c>
      <c r="B314" s="3260" t="s">
        <v>3217</v>
      </c>
      <c r="C314" s="3277"/>
      <c r="D314" s="3277"/>
      <c r="E314" s="3277"/>
      <c r="F314" s="3261">
        <v>0.05</v>
      </c>
      <c r="G314" s="3278"/>
    </row>
    <row r="315" spans="1:7">
      <c r="A315" s="3271" t="s">
        <v>306</v>
      </c>
      <c r="B315" s="3260" t="s">
        <v>3218</v>
      </c>
      <c r="C315" s="3277"/>
      <c r="D315" s="3277"/>
      <c r="E315" s="3277"/>
      <c r="F315" s="3261">
        <v>0.05</v>
      </c>
      <c r="G315" s="3278"/>
    </row>
    <row r="316" spans="1:7">
      <c r="A316" s="3271" t="s">
        <v>306</v>
      </c>
      <c r="B316" s="3260" t="s">
        <v>3219</v>
      </c>
      <c r="C316" s="3272"/>
      <c r="D316" s="3272"/>
      <c r="E316" s="3272"/>
      <c r="F316" s="3261">
        <v>0.05</v>
      </c>
      <c r="G316" s="3278"/>
    </row>
    <row r="317" spans="1:7">
      <c r="A317" s="3271" t="s">
        <v>306</v>
      </c>
      <c r="B317" s="3260" t="s">
        <v>3220</v>
      </c>
      <c r="C317" s="3272"/>
      <c r="D317" s="3272"/>
      <c r="E317" s="3272"/>
      <c r="F317" s="3261">
        <v>0.05</v>
      </c>
      <c r="G317" s="3278"/>
    </row>
    <row r="318" spans="1:7">
      <c r="A318" s="3271" t="s">
        <v>306</v>
      </c>
      <c r="B318" s="3260" t="s">
        <v>3221</v>
      </c>
      <c r="C318" s="3272"/>
      <c r="D318" s="3272"/>
      <c r="E318" s="3272"/>
      <c r="F318" s="3261">
        <v>0.05</v>
      </c>
      <c r="G318" s="3278"/>
    </row>
    <row r="319" spans="1:7">
      <c r="A319" s="3271" t="s">
        <v>306</v>
      </c>
      <c r="B319" s="3260" t="s">
        <v>3222</v>
      </c>
      <c r="C319" s="3272"/>
      <c r="D319" s="3272"/>
      <c r="E319" s="3272"/>
      <c r="F319" s="3261">
        <v>0.05</v>
      </c>
      <c r="G319" s="3278"/>
    </row>
    <row r="320" spans="1:7">
      <c r="A320" s="3271" t="s">
        <v>306</v>
      </c>
      <c r="B320" s="3260" t="s">
        <v>3223</v>
      </c>
      <c r="C320" s="3272"/>
      <c r="D320" s="3272"/>
      <c r="E320" s="3272"/>
      <c r="F320" s="3261">
        <v>0.05</v>
      </c>
      <c r="G320" s="3278"/>
    </row>
    <row r="321" spans="1:7">
      <c r="A321" s="3271" t="s">
        <v>306</v>
      </c>
      <c r="B321" s="3260" t="s">
        <v>3224</v>
      </c>
      <c r="C321" s="3272"/>
      <c r="D321" s="3272"/>
      <c r="E321" s="3272"/>
      <c r="F321" s="3261">
        <v>0.05</v>
      </c>
      <c r="G321" s="3278"/>
    </row>
    <row r="322" spans="1:7">
      <c r="A322" s="3271" t="s">
        <v>306</v>
      </c>
      <c r="B322" s="3260" t="s">
        <v>3225</v>
      </c>
      <c r="C322" s="3272"/>
      <c r="D322" s="3272"/>
      <c r="E322" s="3272"/>
      <c r="F322" s="3261">
        <v>0.05</v>
      </c>
      <c r="G322" s="3278"/>
    </row>
    <row r="323" spans="1:7">
      <c r="A323" s="3271" t="s">
        <v>306</v>
      </c>
      <c r="B323" s="3260" t="s">
        <v>3226</v>
      </c>
      <c r="C323" s="3272"/>
      <c r="D323" s="3272"/>
      <c r="E323" s="3272"/>
      <c r="F323" s="3261">
        <v>0.05</v>
      </c>
      <c r="G323" s="3278"/>
    </row>
    <row r="324" spans="1:7">
      <c r="A324" s="3271" t="s">
        <v>306</v>
      </c>
      <c r="B324" s="3260" t="s">
        <v>3227</v>
      </c>
      <c r="C324" s="3272"/>
      <c r="D324" s="3272"/>
      <c r="E324" s="3272"/>
      <c r="F324" s="3261">
        <v>0.05</v>
      </c>
      <c r="G324" s="3278"/>
    </row>
    <row r="325" spans="1:7">
      <c r="A325" s="3271" t="s">
        <v>306</v>
      </c>
      <c r="B325" s="3260" t="s">
        <v>3228</v>
      </c>
      <c r="C325" s="3272"/>
      <c r="D325" s="3272"/>
      <c r="E325" s="3272"/>
      <c r="F325" s="3261">
        <v>0.05</v>
      </c>
      <c r="G325" s="3278"/>
    </row>
    <row r="326" spans="1:7" ht="14.25" thickBot="1">
      <c r="A326" s="3274" t="s">
        <v>306</v>
      </c>
      <c r="B326" s="3264" t="s">
        <v>3229</v>
      </c>
      <c r="C326" s="3266"/>
      <c r="D326" s="3266"/>
      <c r="E326" s="3266"/>
      <c r="F326" s="3265">
        <v>0.05</v>
      </c>
      <c r="G326" s="3279"/>
    </row>
    <row r="327" spans="1:7">
      <c r="A327" s="3270" t="s">
        <v>307</v>
      </c>
      <c r="B327" s="3256" t="s">
        <v>2861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2873</v>
      </c>
      <c r="C329" s="3261">
        <v>0.15</v>
      </c>
      <c r="D329" s="3261">
        <v>0.15</v>
      </c>
      <c r="E329" s="3261">
        <v>0.15</v>
      </c>
      <c r="F329" s="3261">
        <v>0.15</v>
      </c>
      <c r="G329" s="3262">
        <v>0.15</v>
      </c>
    </row>
    <row r="330" spans="1:7">
      <c r="A330" s="3271" t="s">
        <v>307</v>
      </c>
      <c r="B330" s="3260" t="s">
        <v>2877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2885</v>
      </c>
      <c r="C332" s="3261">
        <v>0.15</v>
      </c>
      <c r="D332" s="3261">
        <v>0.15</v>
      </c>
      <c r="E332" s="3261">
        <v>0.15</v>
      </c>
      <c r="F332" s="3261">
        <v>0.15</v>
      </c>
      <c r="G332" s="3262">
        <v>0.15</v>
      </c>
    </row>
    <row r="333" spans="1:7">
      <c r="A333" s="3271" t="s">
        <v>307</v>
      </c>
      <c r="B333" s="3260" t="s">
        <v>2889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2895</v>
      </c>
      <c r="C336" s="3261">
        <v>0.15</v>
      </c>
      <c r="D336" s="3261">
        <v>0.15</v>
      </c>
      <c r="E336" s="3261">
        <v>0.15</v>
      </c>
      <c r="F336" s="3261">
        <v>0.14199999999999999</v>
      </c>
      <c r="G336" s="3262">
        <v>0.15</v>
      </c>
    </row>
    <row r="337" spans="1:7">
      <c r="A337" s="3271" t="s">
        <v>307</v>
      </c>
      <c r="B337" s="3260" t="s">
        <v>2900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2920</v>
      </c>
      <c r="C345" s="3261">
        <v>0.15</v>
      </c>
      <c r="D345" s="3261">
        <v>0.15</v>
      </c>
      <c r="E345" s="3261">
        <v>0.15</v>
      </c>
      <c r="F345" s="3261">
        <v>0.13800000000000001</v>
      </c>
      <c r="G345" s="3262">
        <v>0.15</v>
      </c>
    </row>
    <row r="346" spans="1:7">
      <c r="A346" s="3271" t="s">
        <v>307</v>
      </c>
      <c r="B346" s="3260" t="s">
        <v>2922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2929</v>
      </c>
      <c r="C348" s="3261">
        <v>0.15</v>
      </c>
      <c r="D348" s="3261">
        <v>0.15</v>
      </c>
      <c r="E348" s="3261">
        <v>0.15</v>
      </c>
      <c r="F348" s="3261">
        <v>0.14399999999999999</v>
      </c>
      <c r="G348" s="3262">
        <v>0.15</v>
      </c>
    </row>
    <row r="349" spans="1:7">
      <c r="A349" s="3271" t="s">
        <v>307</v>
      </c>
      <c r="B349" s="3260" t="s">
        <v>2934</v>
      </c>
      <c r="C349" s="3261">
        <v>0.15</v>
      </c>
      <c r="D349" s="3261">
        <v>0.15</v>
      </c>
      <c r="E349" s="3261">
        <v>0.15</v>
      </c>
      <c r="F349" s="3261">
        <v>0.15</v>
      </c>
      <c r="G349" s="3262">
        <v>0.15</v>
      </c>
    </row>
    <row r="350" spans="1:7">
      <c r="A350" s="3271" t="s">
        <v>307</v>
      </c>
      <c r="B350" s="3260" t="s">
        <v>2937</v>
      </c>
      <c r="C350" s="3261">
        <v>0.15</v>
      </c>
      <c r="D350" s="3261">
        <v>0.15</v>
      </c>
      <c r="E350" s="3261">
        <v>0.15</v>
      </c>
      <c r="F350" s="3261">
        <v>0.14699999999999999</v>
      </c>
      <c r="G350" s="3262">
        <v>0.15</v>
      </c>
    </row>
    <row r="351" spans="1:7">
      <c r="A351" s="3271" t="s">
        <v>307</v>
      </c>
      <c r="B351" s="3260" t="s">
        <v>2942</v>
      </c>
      <c r="C351" s="3261">
        <v>0.15</v>
      </c>
      <c r="D351" s="3261">
        <v>0.15</v>
      </c>
      <c r="E351" s="3261">
        <v>0.15</v>
      </c>
      <c r="F351" s="3261">
        <v>0.13</v>
      </c>
      <c r="G351" s="3262">
        <v>0.15</v>
      </c>
    </row>
    <row r="352" spans="1:7">
      <c r="A352" s="3271" t="s">
        <v>307</v>
      </c>
      <c r="B352" s="3260" t="s">
        <v>2947</v>
      </c>
      <c r="C352" s="3261">
        <v>0.15</v>
      </c>
      <c r="D352" s="3261">
        <v>0.15</v>
      </c>
      <c r="E352" s="3261">
        <v>0.15</v>
      </c>
      <c r="F352" s="3261">
        <v>0.14599999999999999</v>
      </c>
      <c r="G352" s="3262">
        <v>0.15</v>
      </c>
    </row>
    <row r="353" spans="1:7">
      <c r="A353" s="3271" t="s">
        <v>307</v>
      </c>
      <c r="B353" s="3260" t="s">
        <v>2954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2967</v>
      </c>
      <c r="C355" s="3261">
        <v>0.15</v>
      </c>
      <c r="D355" s="3261">
        <v>0.15</v>
      </c>
      <c r="E355" s="3261">
        <v>0.15</v>
      </c>
      <c r="F355" s="3261">
        <v>0.15</v>
      </c>
      <c r="G355" s="3262">
        <v>0.15</v>
      </c>
    </row>
    <row r="356" spans="1:7">
      <c r="A356" s="3271" t="s">
        <v>307</v>
      </c>
      <c r="B356" s="3260" t="s">
        <v>2974</v>
      </c>
      <c r="C356" s="3261">
        <v>0.15</v>
      </c>
      <c r="D356" s="3261">
        <v>0.15</v>
      </c>
      <c r="E356" s="3261">
        <v>0.15</v>
      </c>
      <c r="F356" s="3261">
        <v>0.15</v>
      </c>
      <c r="G356" s="3262">
        <v>0.15</v>
      </c>
    </row>
    <row r="357" spans="1:7" ht="14.25" thickBot="1">
      <c r="A357" s="3274" t="s">
        <v>307</v>
      </c>
      <c r="B357" s="3264" t="s">
        <v>2979</v>
      </c>
      <c r="C357" s="3265">
        <v>0.126</v>
      </c>
      <c r="D357" s="3265">
        <v>0.127</v>
      </c>
      <c r="E357" s="3265">
        <v>0.14299999999999999</v>
      </c>
      <c r="F357" s="3265">
        <v>0.125</v>
      </c>
      <c r="G357" s="3267">
        <v>0.129</v>
      </c>
    </row>
    <row r="358" spans="1:7">
      <c r="A358" s="3270" t="s">
        <v>2848</v>
      </c>
      <c r="B358" s="3256" t="s">
        <v>2862</v>
      </c>
      <c r="C358" s="3257">
        <v>0.15</v>
      </c>
      <c r="D358" s="3257">
        <v>0.15</v>
      </c>
      <c r="E358" s="3257">
        <v>0.15</v>
      </c>
      <c r="F358" s="3257">
        <v>0.15</v>
      </c>
      <c r="G358" s="3258">
        <v>0.15</v>
      </c>
    </row>
    <row r="359" spans="1:7">
      <c r="A359" s="3271" t="s">
        <v>2848</v>
      </c>
      <c r="B359" s="3260" t="s">
        <v>2868</v>
      </c>
      <c r="C359" s="3261">
        <v>0.1</v>
      </c>
      <c r="D359" s="3261">
        <v>0.1</v>
      </c>
      <c r="E359" s="3261">
        <v>0.1</v>
      </c>
      <c r="F359" s="3261">
        <v>0.1</v>
      </c>
      <c r="G359" s="3262">
        <v>0.1</v>
      </c>
    </row>
    <row r="360" spans="1:7">
      <c r="A360" s="3271" t="s">
        <v>2848</v>
      </c>
      <c r="B360" s="3260" t="s">
        <v>2874</v>
      </c>
      <c r="C360" s="3261">
        <v>0.15</v>
      </c>
      <c r="D360" s="3261">
        <v>0.15</v>
      </c>
      <c r="E360" s="3261">
        <v>0.15</v>
      </c>
      <c r="F360" s="3261">
        <v>0.14899999999999999</v>
      </c>
      <c r="G360" s="3262">
        <v>0.15</v>
      </c>
    </row>
    <row r="361" spans="1:7">
      <c r="A361" s="3271" t="s">
        <v>2848</v>
      </c>
      <c r="B361" s="3260" t="s">
        <v>153</v>
      </c>
      <c r="C361" s="3261">
        <v>0.15</v>
      </c>
      <c r="D361" s="3261">
        <v>0.15</v>
      </c>
      <c r="E361" s="3261">
        <v>0.15</v>
      </c>
      <c r="F361" s="3261">
        <v>0.115</v>
      </c>
      <c r="G361" s="3262">
        <v>0.15</v>
      </c>
    </row>
    <row r="362" spans="1:7">
      <c r="A362" s="3271" t="s">
        <v>2848</v>
      </c>
      <c r="B362" s="3260" t="s">
        <v>2881</v>
      </c>
      <c r="C362" s="3261">
        <v>0.15</v>
      </c>
      <c r="D362" s="3261">
        <v>0.15</v>
      </c>
      <c r="E362" s="3261">
        <v>0.15</v>
      </c>
      <c r="F362" s="3261">
        <v>0.106</v>
      </c>
      <c r="G362" s="3262">
        <v>0.15</v>
      </c>
    </row>
    <row r="363" spans="1:7">
      <c r="A363" s="3271" t="s">
        <v>2848</v>
      </c>
      <c r="B363" s="3260" t="s">
        <v>2886</v>
      </c>
      <c r="C363" s="3261">
        <v>0.15</v>
      </c>
      <c r="D363" s="3261">
        <v>0.15</v>
      </c>
      <c r="E363" s="3261">
        <v>0.15</v>
      </c>
      <c r="F363" s="3261">
        <v>0.14699999999999999</v>
      </c>
      <c r="G363" s="3262">
        <v>0.15</v>
      </c>
    </row>
    <row r="364" spans="1:7">
      <c r="A364" s="3271" t="s">
        <v>2848</v>
      </c>
      <c r="B364" s="3260" t="s">
        <v>2890</v>
      </c>
      <c r="C364" s="3261">
        <v>0.15</v>
      </c>
      <c r="D364" s="3261">
        <v>0.15</v>
      </c>
      <c r="E364" s="3261">
        <v>0.15</v>
      </c>
      <c r="F364" s="3261">
        <v>0.14799999999999999</v>
      </c>
      <c r="G364" s="3262">
        <v>0.15</v>
      </c>
    </row>
    <row r="365" spans="1:7">
      <c r="A365" s="3271" t="s">
        <v>2848</v>
      </c>
      <c r="B365" s="3260" t="s">
        <v>200</v>
      </c>
      <c r="C365" s="3261">
        <v>0.15</v>
      </c>
      <c r="D365" s="3261">
        <v>0.15</v>
      </c>
      <c r="E365" s="3261">
        <v>0.15</v>
      </c>
      <c r="F365" s="3261">
        <v>0.15</v>
      </c>
      <c r="G365" s="3262">
        <v>0.15</v>
      </c>
    </row>
    <row r="366" spans="1:7">
      <c r="A366" s="3271" t="s">
        <v>2848</v>
      </c>
      <c r="B366" s="3260" t="s">
        <v>2893</v>
      </c>
      <c r="C366" s="3261">
        <v>0.15</v>
      </c>
      <c r="D366" s="3261">
        <v>0.15</v>
      </c>
      <c r="E366" s="3261">
        <v>0.15</v>
      </c>
      <c r="F366" s="3261">
        <v>0.15</v>
      </c>
      <c r="G366" s="3262">
        <v>0.15</v>
      </c>
    </row>
    <row r="367" spans="1:7">
      <c r="A367" s="3271" t="s">
        <v>2848</v>
      </c>
      <c r="B367" s="3260" t="s">
        <v>2896</v>
      </c>
      <c r="C367" s="3261">
        <v>0.15</v>
      </c>
      <c r="D367" s="3261">
        <v>0.15</v>
      </c>
      <c r="E367" s="3261">
        <v>0.15</v>
      </c>
      <c r="F367" s="3261">
        <v>0.14699999999999999</v>
      </c>
      <c r="G367" s="3262">
        <v>0.15</v>
      </c>
    </row>
    <row r="368" spans="1:7">
      <c r="A368" s="3271" t="s">
        <v>2848</v>
      </c>
      <c r="B368" s="3260" t="s">
        <v>2901</v>
      </c>
      <c r="C368" s="3261">
        <v>0.15</v>
      </c>
      <c r="D368" s="3261">
        <v>0.15</v>
      </c>
      <c r="E368" s="3261">
        <v>0.15</v>
      </c>
      <c r="F368" s="3261">
        <v>0.13600000000000001</v>
      </c>
      <c r="G368" s="3262">
        <v>0.15</v>
      </c>
    </row>
    <row r="369" spans="1:7">
      <c r="A369" s="3271" t="s">
        <v>2848</v>
      </c>
      <c r="B369" s="3260" t="s">
        <v>214</v>
      </c>
      <c r="C369" s="3261">
        <v>0.15</v>
      </c>
      <c r="D369" s="3261">
        <v>0.15</v>
      </c>
      <c r="E369" s="3261">
        <v>0.15</v>
      </c>
      <c r="F369" s="3261">
        <v>0.14399999999999999</v>
      </c>
      <c r="G369" s="3262">
        <v>0.15</v>
      </c>
    </row>
    <row r="370" spans="1:7">
      <c r="A370" s="3271" t="s">
        <v>2848</v>
      </c>
      <c r="B370" s="3260" t="s">
        <v>221</v>
      </c>
      <c r="C370" s="3261">
        <v>0.15</v>
      </c>
      <c r="D370" s="3261">
        <v>0.15</v>
      </c>
      <c r="E370" s="3261">
        <v>0.15</v>
      </c>
      <c r="F370" s="3261">
        <v>0.14599999999999999</v>
      </c>
      <c r="G370" s="3262">
        <v>0.15</v>
      </c>
    </row>
    <row r="371" spans="1:7">
      <c r="A371" s="3271" t="s">
        <v>2848</v>
      </c>
      <c r="B371" s="3260" t="s">
        <v>229</v>
      </c>
      <c r="C371" s="3261">
        <v>0.15</v>
      </c>
      <c r="D371" s="3261">
        <v>0.15</v>
      </c>
      <c r="E371" s="3261">
        <v>0.15</v>
      </c>
      <c r="F371" s="3261">
        <v>0.12</v>
      </c>
      <c r="G371" s="3262">
        <v>0.15</v>
      </c>
    </row>
    <row r="372" spans="1:7">
      <c r="A372" s="3271" t="s">
        <v>2848</v>
      </c>
      <c r="B372" s="3260" t="s">
        <v>2909</v>
      </c>
      <c r="C372" s="3261">
        <v>0.15</v>
      </c>
      <c r="D372" s="3261">
        <v>0.15</v>
      </c>
      <c r="E372" s="3261">
        <v>0.15</v>
      </c>
      <c r="F372" s="3261">
        <v>0.14299999999999999</v>
      </c>
      <c r="G372" s="3262">
        <v>0.15</v>
      </c>
    </row>
    <row r="373" spans="1:7">
      <c r="A373" s="3271" t="s">
        <v>2848</v>
      </c>
      <c r="B373" s="3260" t="s">
        <v>258</v>
      </c>
      <c r="C373" s="3261">
        <v>0.15</v>
      </c>
      <c r="D373" s="3261">
        <v>0.15</v>
      </c>
      <c r="E373" s="3261">
        <v>0.15</v>
      </c>
      <c r="F373" s="3261">
        <v>0.14599999999999999</v>
      </c>
      <c r="G373" s="3262">
        <v>0.15</v>
      </c>
    </row>
    <row r="374" spans="1:7">
      <c r="A374" s="3271" t="s">
        <v>2848</v>
      </c>
      <c r="B374" s="3260" t="s">
        <v>266</v>
      </c>
      <c r="C374" s="3261">
        <v>0.15</v>
      </c>
      <c r="D374" s="3261">
        <v>0.15</v>
      </c>
      <c r="E374" s="3261">
        <v>0.15</v>
      </c>
      <c r="F374" s="3261">
        <v>0.14399999999999999</v>
      </c>
      <c r="G374" s="3262">
        <v>0.15</v>
      </c>
    </row>
    <row r="375" spans="1:7">
      <c r="A375" s="3271" t="s">
        <v>2848</v>
      </c>
      <c r="B375" s="3260" t="s">
        <v>2917</v>
      </c>
      <c r="C375" s="3261">
        <v>0.15</v>
      </c>
      <c r="D375" s="3261">
        <v>0.15</v>
      </c>
      <c r="E375" s="3261">
        <v>0.15</v>
      </c>
      <c r="F375" s="3261">
        <v>0.13</v>
      </c>
      <c r="G375" s="3262">
        <v>0.15</v>
      </c>
    </row>
    <row r="376" spans="1:7">
      <c r="A376" s="3271" t="s">
        <v>2848</v>
      </c>
      <c r="B376" s="3260" t="s">
        <v>277</v>
      </c>
      <c r="C376" s="3261">
        <v>0.15</v>
      </c>
      <c r="D376" s="3261">
        <v>0.15</v>
      </c>
      <c r="E376" s="3261">
        <v>0.15</v>
      </c>
      <c r="F376" s="3261">
        <v>0.14199999999999999</v>
      </c>
      <c r="G376" s="3262">
        <v>0.15</v>
      </c>
    </row>
    <row r="377" spans="1:7" ht="14.25" thickBot="1">
      <c r="A377" s="3274" t="s">
        <v>2848</v>
      </c>
      <c r="B377" s="3264" t="s">
        <v>2923</v>
      </c>
      <c r="C377" s="3265">
        <v>0.15</v>
      </c>
      <c r="D377" s="3265">
        <v>0.15</v>
      </c>
      <c r="E377" s="3265">
        <v>0.15</v>
      </c>
      <c r="F377" s="3265">
        <v>0.14000000000000001</v>
      </c>
      <c r="G377" s="3267">
        <v>0.15</v>
      </c>
    </row>
    <row r="378" spans="1:7">
      <c r="A378" s="3270" t="s">
        <v>2849</v>
      </c>
      <c r="B378" s="3256" t="s">
        <v>2863</v>
      </c>
      <c r="C378" s="3257">
        <v>0.15</v>
      </c>
      <c r="D378" s="3257">
        <v>0.15</v>
      </c>
      <c r="E378" s="3257">
        <v>0.15</v>
      </c>
      <c r="F378" s="3257">
        <v>0.107</v>
      </c>
      <c r="G378" s="3258">
        <v>0.15</v>
      </c>
    </row>
    <row r="379" spans="1:7">
      <c r="A379" s="3271" t="s">
        <v>2849</v>
      </c>
      <c r="B379" s="3260" t="s">
        <v>2869</v>
      </c>
      <c r="C379" s="3261">
        <v>0.15</v>
      </c>
      <c r="D379" s="3261">
        <v>0.15</v>
      </c>
      <c r="E379" s="3261">
        <v>0.15</v>
      </c>
      <c r="F379" s="3261">
        <v>0.115</v>
      </c>
      <c r="G379" s="3262">
        <v>0.14899999999999999</v>
      </c>
    </row>
    <row r="380" spans="1:7">
      <c r="A380" s="3271" t="s">
        <v>2849</v>
      </c>
      <c r="B380" s="3260" t="s">
        <v>2875</v>
      </c>
      <c r="C380" s="3261">
        <v>0.15</v>
      </c>
      <c r="D380" s="3261">
        <v>0.15</v>
      </c>
      <c r="E380" s="3261">
        <v>0.15</v>
      </c>
      <c r="F380" s="3261">
        <v>0.1</v>
      </c>
      <c r="G380" s="3262">
        <v>0.14799999999999999</v>
      </c>
    </row>
    <row r="381" spans="1:7">
      <c r="A381" s="3271" t="s">
        <v>2849</v>
      </c>
      <c r="B381" s="3260" t="s">
        <v>2878</v>
      </c>
      <c r="C381" s="3261">
        <v>0.15</v>
      </c>
      <c r="D381" s="3261">
        <v>0.15</v>
      </c>
      <c r="E381" s="3261">
        <v>0.15</v>
      </c>
      <c r="F381" s="3261">
        <v>0.126</v>
      </c>
      <c r="G381" s="3262">
        <v>0.15</v>
      </c>
    </row>
    <row r="382" spans="1:7">
      <c r="A382" s="3271" t="s">
        <v>2849</v>
      </c>
      <c r="B382" s="3260" t="s">
        <v>2882</v>
      </c>
      <c r="C382" s="3261">
        <v>0.15</v>
      </c>
      <c r="D382" s="3261">
        <v>0.15</v>
      </c>
      <c r="E382" s="3261">
        <v>0.15</v>
      </c>
      <c r="F382" s="3261">
        <v>0.15</v>
      </c>
      <c r="G382" s="3262">
        <v>0.15</v>
      </c>
    </row>
    <row r="383" spans="1:7">
      <c r="A383" s="3271" t="s">
        <v>2849</v>
      </c>
      <c r="B383" s="3260" t="s">
        <v>2887</v>
      </c>
      <c r="C383" s="3261">
        <v>0.15</v>
      </c>
      <c r="D383" s="3261">
        <v>0.15</v>
      </c>
      <c r="E383" s="3261">
        <v>0.15</v>
      </c>
      <c r="F383" s="3261">
        <v>0.14699999999999999</v>
      </c>
      <c r="G383" s="3262">
        <v>0.15</v>
      </c>
    </row>
    <row r="384" spans="1:7" ht="14.25" thickBot="1">
      <c r="A384" s="3281" t="s">
        <v>2849</v>
      </c>
      <c r="B384" s="3282" t="s">
        <v>2891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41" t="s">
        <v>3230</v>
      </c>
      <c r="B1" s="3841"/>
      <c r="C1" s="3841"/>
      <c r="D1" s="3841"/>
      <c r="E1" s="3841"/>
      <c r="F1" s="3842"/>
    </row>
    <row r="2" spans="1:6">
      <c r="A2" s="3287" t="s">
        <v>3231</v>
      </c>
      <c r="B2" s="3288"/>
      <c r="C2" s="3288"/>
      <c r="D2" s="3288"/>
      <c r="E2" s="3288"/>
      <c r="F2" s="3288"/>
    </row>
    <row r="3" spans="1:6">
      <c r="A3" s="3287" t="s">
        <v>3232</v>
      </c>
      <c r="B3" s="3288"/>
      <c r="C3" s="3288"/>
      <c r="D3" s="3288"/>
      <c r="E3" s="3288"/>
      <c r="F3" s="3289" t="s">
        <v>3233</v>
      </c>
    </row>
    <row r="4" spans="1:6">
      <c r="A4" s="3290" t="s">
        <v>672</v>
      </c>
      <c r="B4" s="3290" t="s">
        <v>673</v>
      </c>
      <c r="C4" s="3290" t="s">
        <v>21</v>
      </c>
      <c r="D4" s="3290" t="s">
        <v>674</v>
      </c>
      <c r="E4" s="3290" t="s">
        <v>3</v>
      </c>
      <c r="F4" s="3290" t="s">
        <v>3234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45608</v>
      </c>
      <c r="B1" s="3206" t="s">
        <v>3379</v>
      </c>
      <c r="C1" s="3207"/>
      <c r="D1" s="3207"/>
      <c r="E1" s="3207"/>
      <c r="F1" s="3207"/>
      <c r="G1" s="3207"/>
      <c r="H1" s="3207"/>
      <c r="I1" s="3207"/>
      <c r="J1" s="3161"/>
      <c r="K1" s="3207" t="s">
        <v>454</v>
      </c>
      <c r="L1" s="3207"/>
      <c r="M1" s="3207"/>
      <c r="N1" s="3207"/>
      <c r="O1" s="3207"/>
      <c r="P1" s="3207"/>
      <c r="Q1" s="3161"/>
      <c r="R1" s="3843" t="s">
        <v>456</v>
      </c>
      <c r="S1" s="3844"/>
      <c r="T1" s="3844"/>
      <c r="U1" s="3844"/>
      <c r="V1" s="3844"/>
      <c r="W1" s="3844"/>
      <c r="X1" s="3161"/>
      <c r="Y1" s="3843" t="s">
        <v>457</v>
      </c>
      <c r="Z1" s="3844"/>
      <c r="AA1" s="3844"/>
      <c r="AB1" s="3844"/>
      <c r="AC1" s="3844"/>
      <c r="AD1" s="3844"/>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3375</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3384</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4" t="s">
        <v>3383</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3376</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3372</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3368</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3367</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3365</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3364</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3363</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3361</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3352</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2818</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2819</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2820</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2821</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2822</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3382</v>
      </c>
    </row>
    <row r="24" spans="1:30" s="3005" customFormat="1">
      <c r="I24" s="3204" t="s">
        <v>2823</v>
      </c>
    </row>
    <row r="25" spans="1:30" s="3005" customFormat="1"/>
    <row r="26" spans="1:30" s="3205" customFormat="1" ht="12.75">
      <c r="B26" s="3206" t="s">
        <v>3380</v>
      </c>
      <c r="C26" s="3207"/>
      <c r="D26" s="3207"/>
      <c r="E26" s="3207"/>
      <c r="F26" s="3207"/>
      <c r="G26" s="3207"/>
      <c r="H26" s="3207"/>
      <c r="I26" s="3207"/>
      <c r="J26" s="3161"/>
      <c r="K26" s="3207" t="s">
        <v>2824</v>
      </c>
      <c r="L26" s="3207"/>
      <c r="M26" s="3207"/>
      <c r="N26" s="3207"/>
      <c r="O26" s="3207"/>
      <c r="P26" s="3207"/>
      <c r="Q26" s="3161"/>
      <c r="R26" s="3843" t="s">
        <v>2825</v>
      </c>
      <c r="S26" s="3844"/>
      <c r="T26" s="3844"/>
      <c r="U26" s="3844"/>
      <c r="V26" s="3844"/>
      <c r="W26" s="3844"/>
      <c r="X26" s="3161"/>
      <c r="Y26" s="3843" t="s">
        <v>2826</v>
      </c>
      <c r="Z26" s="3844"/>
      <c r="AA26" s="3844"/>
      <c r="AB26" s="3844"/>
      <c r="AC26" s="3844"/>
      <c r="AD26" s="3844"/>
    </row>
    <row r="27" spans="1:30" s="3139" customFormat="1" ht="14.25" thickBot="1">
      <c r="B27" s="3140"/>
      <c r="C27" s="3141"/>
      <c r="D27" s="3142" t="s">
        <v>2827</v>
      </c>
      <c r="E27" s="3143" t="s">
        <v>2828</v>
      </c>
      <c r="F27" s="3143" t="s">
        <v>2829</v>
      </c>
      <c r="G27" s="3143" t="s">
        <v>2830</v>
      </c>
      <c r="H27" s="3143"/>
      <c r="I27" s="3143" t="s">
        <v>2831</v>
      </c>
      <c r="J27" s="3144"/>
      <c r="K27" s="3142" t="s">
        <v>2827</v>
      </c>
      <c r="L27" s="3143" t="s">
        <v>2828</v>
      </c>
      <c r="M27" s="3143" t="s">
        <v>2829</v>
      </c>
      <c r="N27" s="3143" t="s">
        <v>2830</v>
      </c>
      <c r="O27" s="3143"/>
      <c r="P27" s="3143" t="s">
        <v>2831</v>
      </c>
      <c r="Q27" s="3144"/>
      <c r="R27" s="3142" t="s">
        <v>2827</v>
      </c>
      <c r="S27" s="3143" t="s">
        <v>2828</v>
      </c>
      <c r="T27" s="3143" t="s">
        <v>2829</v>
      </c>
      <c r="U27" s="3143" t="s">
        <v>2830</v>
      </c>
      <c r="V27" s="3143"/>
      <c r="W27" s="3143" t="s">
        <v>2831</v>
      </c>
      <c r="X27" s="3144"/>
      <c r="Y27" s="3142" t="s">
        <v>2827</v>
      </c>
      <c r="Z27" s="3143" t="s">
        <v>2828</v>
      </c>
      <c r="AA27" s="3143" t="s">
        <v>2829</v>
      </c>
      <c r="AB27" s="3143" t="s">
        <v>2830</v>
      </c>
      <c r="AC27" s="3143"/>
      <c r="AD27" s="3143" t="s">
        <v>2831</v>
      </c>
    </row>
    <row r="28" spans="1:30" s="3157" customFormat="1" ht="12.75">
      <c r="A28" s="3145" t="s">
        <v>2832</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4" t="s">
        <v>3375</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3377</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4" t="s">
        <v>3370</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3378</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3371</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3369</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3367</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3366</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3364</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3363</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3362</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3352</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2833</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2834</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2835</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2836</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2822</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50" t="s">
        <v>452</v>
      </c>
      <c r="C1" s="3850"/>
      <c r="D1" s="3850"/>
      <c r="E1" s="3850"/>
      <c r="F1" s="3850"/>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2306</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2305</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5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45608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45586</v>
      </c>
      <c r="D13" s="2818">
        <v>3.1</v>
      </c>
      <c r="E13" s="2818">
        <f>D13</f>
        <v>3.1</v>
      </c>
      <c r="F13" s="2818">
        <f>D13</f>
        <v>3.1</v>
      </c>
      <c r="G13" s="2818">
        <f>D13</f>
        <v>3.1</v>
      </c>
      <c r="H13" s="2818">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45495</v>
      </c>
      <c r="D14" s="2813">
        <v>3.35</v>
      </c>
      <c r="E14" s="2813">
        <f>D14</f>
        <v>3.35</v>
      </c>
      <c r="F14" s="2813">
        <f>D14</f>
        <v>3.35</v>
      </c>
      <c r="G14" s="2813">
        <f>D14</f>
        <v>3.35</v>
      </c>
      <c r="H14" s="2813">
        <v>3.85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45342</v>
      </c>
      <c r="D15" s="2813">
        <v>3.45</v>
      </c>
      <c r="E15" s="2813">
        <f>D15</f>
        <v>3.45</v>
      </c>
      <c r="F15" s="2813">
        <f>D15</f>
        <v>3.45</v>
      </c>
      <c r="G15" s="2813">
        <f>D15</f>
        <v>3.45</v>
      </c>
      <c r="H15" s="2813">
        <v>3.95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45159</v>
      </c>
      <c r="D16" s="2813">
        <v>3.45</v>
      </c>
      <c r="E16" s="2813">
        <f>D16</f>
        <v>3.45</v>
      </c>
      <c r="F16" s="2813">
        <f>D16</f>
        <v>3.45</v>
      </c>
      <c r="G16" s="2813">
        <f>D16</f>
        <v>3.45</v>
      </c>
      <c r="H16" s="2813">
        <v>4.2</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45097</v>
      </c>
      <c r="D17" s="2813">
        <v>3.55</v>
      </c>
      <c r="E17" s="2813">
        <f>D17</f>
        <v>3.55</v>
      </c>
      <c r="F17" s="2813">
        <f>D17</f>
        <v>3.55</v>
      </c>
      <c r="G17" s="2813">
        <f>D17</f>
        <v>3.55</v>
      </c>
      <c r="H17" s="2813">
        <v>4.2</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2"/>
      <c r="C19" s="2814">
        <v>44701</v>
      </c>
      <c r="D19" s="2813">
        <v>3.7</v>
      </c>
      <c r="E19" s="2813">
        <f>D19</f>
        <v>3.7</v>
      </c>
      <c r="F19" s="2813">
        <f>D19</f>
        <v>3.7</v>
      </c>
      <c r="G19" s="2813">
        <f>D19</f>
        <v>3.7</v>
      </c>
      <c r="H19" s="2813">
        <v>4.45</v>
      </c>
      <c r="I19" s="2818"/>
      <c r="J19" s="2818"/>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4">
        <v>44581</v>
      </c>
      <c r="D20" s="2813">
        <v>3.7</v>
      </c>
      <c r="E20" s="2813">
        <f>D20</f>
        <v>3.7</v>
      </c>
      <c r="F20" s="2813">
        <f>D20</f>
        <v>3.7</v>
      </c>
      <c r="G20" s="2813">
        <f>D20</f>
        <v>3.7</v>
      </c>
      <c r="H20" s="2813">
        <v>4.5999999999999996</v>
      </c>
      <c r="I20" s="2818"/>
      <c r="J20" s="2818"/>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44550</v>
      </c>
      <c r="D21" s="2813">
        <v>3.8</v>
      </c>
      <c r="E21" s="2813">
        <f>D21</f>
        <v>3.8</v>
      </c>
      <c r="F21" s="2813">
        <f>D21</f>
        <v>3.8</v>
      </c>
      <c r="G21" s="2813">
        <f>D21</f>
        <v>3.8</v>
      </c>
      <c r="H21" s="2813">
        <v>4.6500000000000004</v>
      </c>
      <c r="I21" s="2813"/>
      <c r="J21" s="2818"/>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43941</v>
      </c>
      <c r="D22" s="2813">
        <v>3.85</v>
      </c>
      <c r="E22" s="2813">
        <v>3.85</v>
      </c>
      <c r="F22" s="2813">
        <v>3.85</v>
      </c>
      <c r="G22" s="2813">
        <v>3.85</v>
      </c>
      <c r="H22" s="2813">
        <v>4.6500000000000004</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3"/>
      <c r="C23" s="2814">
        <v>43881</v>
      </c>
      <c r="D23" s="2813">
        <v>4.05</v>
      </c>
      <c r="E23" s="2813">
        <v>4.05</v>
      </c>
      <c r="F23" s="2813">
        <v>4.05</v>
      </c>
      <c r="G23" s="2813">
        <v>4.05</v>
      </c>
      <c r="H23" s="2813">
        <v>4.75</v>
      </c>
      <c r="I23" s="2813"/>
      <c r="J23" s="2813"/>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3"/>
      <c r="C24" s="2814">
        <v>43789</v>
      </c>
      <c r="D24" s="2813">
        <v>4.1500000000000004</v>
      </c>
      <c r="E24" s="2813">
        <v>4.1500000000000004</v>
      </c>
      <c r="F24" s="2813">
        <v>4.1500000000000004</v>
      </c>
      <c r="G24" s="2813">
        <v>4.1500000000000004</v>
      </c>
      <c r="H24" s="2813">
        <v>4.8</v>
      </c>
      <c r="I24" s="2813"/>
      <c r="J24" s="2813"/>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3"/>
      <c r="C25" s="2814">
        <v>43728</v>
      </c>
      <c r="D25" s="2813">
        <v>4.2</v>
      </c>
      <c r="E25" s="2813">
        <v>4.2</v>
      </c>
      <c r="F25" s="2813">
        <v>4.2</v>
      </c>
      <c r="G25" s="2813">
        <v>4.2</v>
      </c>
      <c r="H25" s="2813">
        <v>4.8499999999999996</v>
      </c>
      <c r="I25" s="2813"/>
      <c r="J25" s="2813"/>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2" t="s">
        <v>2307</v>
      </c>
      <c r="C26" s="2815">
        <v>43697</v>
      </c>
      <c r="D26" s="2816">
        <v>4.25</v>
      </c>
      <c r="E26" s="2816">
        <v>4.25</v>
      </c>
      <c r="F26" s="2816">
        <v>4.25</v>
      </c>
      <c r="G26" s="2816">
        <v>4.25</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0"/>
      <c r="C27" s="2821">
        <v>42301</v>
      </c>
      <c r="D27" s="2822">
        <v>4.3499999999999996</v>
      </c>
      <c r="E27" s="2822">
        <v>4.3499999999999996</v>
      </c>
      <c r="F27" s="2822">
        <v>4.75</v>
      </c>
      <c r="G27" s="2822">
        <v>4.75</v>
      </c>
      <c r="H27" s="2822">
        <v>4.9000000000000004</v>
      </c>
      <c r="I27" s="2822"/>
      <c r="J27" s="2822"/>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3.5"/>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F27" sqref="F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24593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15092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6590</v>
      </c>
      <c r="D5" s="211" t="s">
        <v>1469</v>
      </c>
      <c r="E5" s="212" t="s">
        <v>1470</v>
      </c>
      <c r="F5" s="212" t="s">
        <v>1471</v>
      </c>
      <c r="G5" s="213"/>
    </row>
    <row r="6" spans="1:9" s="214" customFormat="1" ht="13.5" customHeight="1">
      <c r="A6" s="778" t="s">
        <v>1472</v>
      </c>
      <c r="B6" s="215" t="s">
        <v>1473</v>
      </c>
      <c r="C6" s="216">
        <f>基准地价修正!B2</f>
        <v>6079</v>
      </c>
      <c r="D6" s="217"/>
      <c r="E6" s="218"/>
      <c r="F6" s="218"/>
      <c r="G6" s="219"/>
    </row>
    <row r="7" spans="1:9" s="214" customFormat="1" ht="13.5" customHeight="1">
      <c r="A7" s="778" t="s">
        <v>1474</v>
      </c>
      <c r="B7" s="215" t="s">
        <v>1475</v>
      </c>
      <c r="C7" s="220">
        <f>ROUND(C6*F7,0)</f>
        <v>185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326</v>
      </c>
      <c r="D8" s="222"/>
      <c r="E8" s="220"/>
      <c r="F8" s="221"/>
      <c r="G8" s="1855" t="s">
        <v>3422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326</v>
      </c>
      <c r="D10" s="845">
        <f ca="1">IF(B1="",'数据-汇总表'!E6,IF(INDIRECT("'数据-取费表'!c"&amp;$G$1)="住宅",INDIRECT("'数据-取费表'!s"&amp;$G$1),INDIRECT("'数据-取费表'!k"&amp;$G$1)+INDIRECT("'数据-取费表'!s"&amp;$G$1)))</f>
        <v>16295.3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16295.3</v>
      </c>
      <c r="E19" s="211">
        <f>'数据-取费表'!B31</f>
        <v>200</v>
      </c>
      <c r="F19" s="231"/>
      <c r="G19" s="1855" t="s">
        <v>3423</v>
      </c>
    </row>
    <row r="20" spans="1:7" s="214" customFormat="1" ht="13.5" customHeight="1">
      <c r="A20" s="255" t="s">
        <v>1493</v>
      </c>
      <c r="B20" s="210" t="s">
        <v>1494</v>
      </c>
      <c r="C20" s="232">
        <f ca="1">ROUND((C5+C19)*F20,0)</f>
        <v>198</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421</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1018</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1018</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11660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10592</v>
      </c>
      <c r="D34" s="217"/>
      <c r="E34" s="220"/>
      <c r="F34" s="257">
        <f ca="1">IF('数据-取费表'!B24=0,1,IF(B1="",'数据-取费表'!N16,INDIRECT("'数据-取费表'!n"&amp;$G$1)))</f>
        <v>1</v>
      </c>
      <c r="G34" s="219" t="s">
        <v>1526</v>
      </c>
    </row>
    <row r="35" spans="1:7" ht="13.5" customHeight="1">
      <c r="A35" s="780" t="s">
        <v>351</v>
      </c>
      <c r="B35" s="215" t="s">
        <v>1527</v>
      </c>
      <c r="C35" s="220">
        <f ca="1">ROUND(C34*F35,0)</f>
        <v>530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326</v>
      </c>
      <c r="D37" s="217">
        <f ca="1">D19</f>
        <v>16295.3</v>
      </c>
      <c r="E37" s="249">
        <f>'数据-取费表'!B35</f>
        <v>200</v>
      </c>
      <c r="F37" s="259"/>
      <c r="G37" s="261" t="s">
        <v>1532</v>
      </c>
    </row>
    <row r="38" spans="1:7" ht="13.5" customHeight="1">
      <c r="A38" s="780" t="s">
        <v>354</v>
      </c>
      <c r="B38" s="215" t="s">
        <v>1533</v>
      </c>
      <c r="C38" s="220">
        <f ca="1">ROUND(C34*F38,0)</f>
        <v>212</v>
      </c>
      <c r="D38" s="220"/>
      <c r="E38" s="220"/>
      <c r="F38" s="259">
        <f>'数据-取费表'!B36</f>
        <v>0.02</v>
      </c>
      <c r="G38" s="219" t="s">
        <v>1528</v>
      </c>
    </row>
    <row r="39" spans="1:7" s="214" customFormat="1" ht="13.5" customHeight="1">
      <c r="A39" s="255" t="s">
        <v>1534</v>
      </c>
      <c r="B39" s="210" t="s">
        <v>1535</v>
      </c>
      <c r="C39" s="232">
        <f ca="1">ROUND(C33*F20,0)</f>
        <v>350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372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361</v>
      </c>
      <c r="D42" s="238"/>
      <c r="E42" s="238"/>
      <c r="F42" s="239"/>
      <c r="G42" s="3770" t="s">
        <v>1544</v>
      </c>
    </row>
    <row r="43" spans="1:7" ht="13.5" customHeight="1">
      <c r="A43" s="780" t="s">
        <v>347</v>
      </c>
      <c r="B43" s="215" t="s">
        <v>1545</v>
      </c>
      <c r="C43" s="238">
        <f ca="1">ROUND(IF('数据-取费表'!B22&lt;=1,C39*F22*'数据-取费表'!B21/2,C39*(POWER((1+F22),'数据-取费表'!B21/2)-1)),0)</f>
        <v>11</v>
      </c>
      <c r="D43" s="238"/>
      <c r="E43" s="238"/>
      <c r="F43" s="239"/>
      <c r="G43" s="3771"/>
    </row>
    <row r="44" spans="1:7" ht="13.5" customHeight="1">
      <c r="A44" s="780" t="s">
        <v>348</v>
      </c>
      <c r="B44" s="215" t="s">
        <v>1546</v>
      </c>
      <c r="C44" s="238">
        <f ca="1">ROUND(IF('数据-取费表'!B22&lt;=1,C40*F22*'数据-取费表'!B21/2,C40*(POWER((1+F22),'数据-取费表'!B21/2)-1)),4)</f>
        <v>8.9999999999999998E-4</v>
      </c>
      <c r="D44" s="238"/>
      <c r="E44" s="238"/>
      <c r="F44" s="239"/>
      <c r="G44" s="3772"/>
    </row>
    <row r="45" spans="1:7" s="214" customFormat="1" ht="13.5" customHeight="1">
      <c r="A45" s="255" t="s">
        <v>1547</v>
      </c>
      <c r="B45" s="244" t="s">
        <v>1513</v>
      </c>
      <c r="C45" s="245">
        <f ca="1">C46</f>
        <v>1802</v>
      </c>
      <c r="D45" s="235">
        <f ca="1">C47</f>
        <v>4.4999999999999997E-3</v>
      </c>
      <c r="E45" s="236" t="s">
        <v>1539</v>
      </c>
      <c r="F45" s="246">
        <f ca="1">F27</f>
        <v>0.15</v>
      </c>
      <c r="G45" s="247" t="s">
        <v>1548</v>
      </c>
    </row>
    <row r="46" spans="1:7" s="214" customFormat="1" ht="13.5" customHeight="1">
      <c r="A46" s="780" t="s">
        <v>346</v>
      </c>
      <c r="B46" s="248" t="s">
        <v>1549</v>
      </c>
      <c r="C46" s="249">
        <f ca="1">ROUND((C33+C39)*F27,0)</f>
        <v>1802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15565</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15565</v>
      </c>
      <c r="D51" s="232"/>
      <c r="E51" s="232"/>
      <c r="F51" s="264"/>
      <c r="G51" s="234" t="s">
        <v>1560</v>
      </c>
    </row>
    <row r="52" spans="1:7" s="208" customFormat="1" ht="16.5" thickBot="1">
      <c r="A52" s="265" t="s">
        <v>1561</v>
      </c>
      <c r="B52" s="266"/>
      <c r="C52" s="267">
        <f ca="1">C31+C51</f>
        <v>24593</v>
      </c>
      <c r="D52" s="266"/>
      <c r="E52" s="266"/>
      <c r="F52" s="266"/>
      <c r="G52" s="268"/>
    </row>
    <row r="55" spans="1:7" ht="15">
      <c r="B55" s="270" t="s">
        <v>1562</v>
      </c>
      <c r="C55" s="271"/>
    </row>
    <row r="56" spans="1:7">
      <c r="B56" s="273" t="s">
        <v>802</v>
      </c>
      <c r="C56" s="275">
        <f ca="1">1-C57</f>
        <v>0.36699999999999999</v>
      </c>
    </row>
    <row r="57" spans="1:7">
      <c r="B57" s="273" t="s">
        <v>803</v>
      </c>
      <c r="C57" s="274">
        <f ca="1">ROUND(C51/C52,3)</f>
        <v>0.63300000000000001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4" zoomScale="110" zoomScaleNormal="80" zoomScaleSheetLayoutView="110" workbookViewId="0">
      <selection activeCell="C42" sqref="C4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16295.3</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6079</v>
      </c>
      <c r="C2" s="1998" t="s">
        <v>1935</v>
      </c>
      <c r="D2" s="1999" t="s">
        <v>1936</v>
      </c>
      <c r="E2" s="3418" t="s">
        <v>3400</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1.5019</v>
      </c>
      <c r="T2" s="3357">
        <f t="shared" ref="T2:T16" si="0">ROUND($C$5*$C$22*$C$23*$C$24*S2*$C$28,0)</f>
        <v>6528</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3731</v>
      </c>
      <c r="C3" s="1998" t="s">
        <v>1941</v>
      </c>
      <c r="D3" s="1999" t="s">
        <v>1942</v>
      </c>
      <c r="E3" s="3416" t="s">
        <v>2456</v>
      </c>
      <c r="F3" s="2003" t="s">
        <v>3415</v>
      </c>
      <c r="G3" s="752">
        <f>IF(F3="宗地容积率",'数据-汇总表'!I4,IF(F3="估价对象容积率",'数据-汇总表'!I6,'数据-汇总表'!I7))</f>
        <v>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1.1838</v>
      </c>
      <c r="T3" s="3357">
        <f t="shared" si="0"/>
        <v>5145</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863"/>
      <c r="B4" s="3864"/>
      <c r="C4" s="3864"/>
      <c r="D4" s="3865"/>
      <c r="E4" s="3865"/>
      <c r="F4" s="3865"/>
      <c r="G4" s="3865"/>
      <c r="H4" s="3865"/>
      <c r="I4" s="3865"/>
      <c r="J4" s="3866"/>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1.0004999999999999</v>
      </c>
      <c r="T4" s="3357">
        <f t="shared" si="0"/>
        <v>4348</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5445</v>
      </c>
      <c r="D5" s="1338">
        <f>ROUND(C6*C17+C20,0)</f>
        <v>5445</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0.88239999999999996</v>
      </c>
      <c r="T5" s="3357">
        <f t="shared" si="0"/>
        <v>3835</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5490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0.84799999999999998</v>
      </c>
      <c r="T6" s="3357">
        <f t="shared" si="0"/>
        <v>3686</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3235</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5490</v>
      </c>
      <c r="N7" s="866">
        <f>SUMPRODUCT((因素修正幅度!B190:B233=I2)*(因素修正幅度!C3:G3=E2)*(因素修正幅度!C190:G233))</f>
        <v>0.13</v>
      </c>
      <c r="O7" s="1119"/>
      <c r="P7" s="1119"/>
      <c r="Q7" s="1119"/>
      <c r="R7" s="1211">
        <v>6</v>
      </c>
      <c r="S7" s="3415"/>
      <c r="T7" s="3357">
        <f t="shared" si="0"/>
        <v>0</v>
      </c>
      <c r="U7" s="1212"/>
      <c r="V7" s="3357">
        <f t="shared" si="1"/>
        <v>0</v>
      </c>
      <c r="W7" s="1357" t="s">
        <v>1955</v>
      </c>
      <c r="X7" s="1213" t="str">
        <f>G2</f>
        <v>七级</v>
      </c>
      <c r="Y7" s="1213" t="s">
        <v>1956</v>
      </c>
      <c r="Z7" s="1214">
        <f>G3</f>
        <v>2</v>
      </c>
      <c r="AA7" s="1215"/>
      <c r="AB7" s="1215"/>
      <c r="AC7" s="1216"/>
      <c r="AD7" s="1217"/>
      <c r="AE7" s="1217"/>
      <c r="AF7" s="1217"/>
      <c r="AG7" s="1217"/>
      <c r="AH7" s="1217"/>
      <c r="AI7" s="1217"/>
      <c r="AJ7" s="1218"/>
    </row>
    <row r="8" spans="1:36" ht="25.5">
      <c r="A8" s="3295"/>
      <c r="B8" s="170" t="s">
        <v>1957</v>
      </c>
      <c r="C8" s="2025" t="s">
        <v>3417</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860" t="s">
        <v>1960</v>
      </c>
      <c r="X8" s="386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862"/>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86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3236</v>
      </c>
      <c r="B12" s="3301" t="s">
        <v>3237</v>
      </c>
      <c r="C12" s="3302">
        <v>1</v>
      </c>
      <c r="D12" s="3303" t="s">
        <v>3238</v>
      </c>
      <c r="E12" s="3304" t="s">
        <v>3239</v>
      </c>
      <c r="F12" s="3305"/>
      <c r="G12" s="3306"/>
      <c r="H12" s="3306"/>
      <c r="I12" s="3306"/>
      <c r="J12" s="3307"/>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3240</v>
      </c>
      <c r="B13" s="2033" t="s">
        <v>1982</v>
      </c>
      <c r="C13" s="755">
        <f>ROUND(C16*D16*E16*F16*G16*H16*I16*J16,4)</f>
        <v>0</v>
      </c>
      <c r="D13" s="2034" t="s">
        <v>1983</v>
      </c>
      <c r="E13" s="2035"/>
      <c r="F13" s="2035"/>
      <c r="G13" s="2036"/>
      <c r="H13" s="2036"/>
      <c r="I13" s="2036"/>
      <c r="J13" s="2037"/>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1985</v>
      </c>
      <c r="C14" s="2040" t="s">
        <v>1986</v>
      </c>
      <c r="D14" s="1349" t="s">
        <v>1987</v>
      </c>
      <c r="E14" s="27" t="s">
        <v>1988</v>
      </c>
      <c r="F14" s="3308" t="s">
        <v>3241</v>
      </c>
      <c r="G14" s="3308" t="s">
        <v>3241</v>
      </c>
      <c r="H14" s="3308" t="s">
        <v>3241</v>
      </c>
      <c r="I14" s="3308" t="s">
        <v>3241</v>
      </c>
      <c r="J14" s="3308" t="s">
        <v>3241</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3242</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6"/>
      <c r="M16" s="1996"/>
      <c r="N16" s="1996"/>
      <c r="O16" s="1996"/>
      <c r="P16" s="1996"/>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0.93</v>
      </c>
      <c r="F17" s="3318" t="s">
        <v>3248</v>
      </c>
      <c r="G17" s="3327">
        <f>ROUND(E19/G19,2)</f>
        <v>1</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6"/>
      <c r="C18" s="3324"/>
      <c r="D18" s="3319" t="s">
        <v>3246</v>
      </c>
      <c r="E18" s="3325">
        <f>I24</f>
        <v>38.82</v>
      </c>
      <c r="F18" s="3320" t="s">
        <v>3249</v>
      </c>
      <c r="G18" s="3324">
        <f>ROUND(1-(1/(POWER(1+G24,E18))),4)</f>
        <v>0.84950000000000003</v>
      </c>
      <c r="H18" s="3320" t="s">
        <v>3251</v>
      </c>
      <c r="I18" s="3324">
        <f>ROUND(1-(1/(POWER(1+G24,J24))),4)</f>
        <v>0.91279999999999994</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4"/>
    </row>
    <row r="19" spans="1:37" s="2013" customFormat="1" ht="15" thickBot="1">
      <c r="A19" s="3331"/>
      <c r="B19" s="3332"/>
      <c r="C19" s="3333"/>
      <c r="D19" s="3333" t="s">
        <v>3247</v>
      </c>
      <c r="E19" s="3334">
        <f>D1</f>
        <v>16295.3</v>
      </c>
      <c r="F19" s="3335" t="s">
        <v>3250</v>
      </c>
      <c r="G19" s="3334">
        <f>D1</f>
        <v>16295.3</v>
      </c>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7"/>
      <c r="AH19" s="2140"/>
      <c r="AI19" s="2788"/>
      <c r="AJ19" s="2788"/>
      <c r="AK19" s="2056"/>
    </row>
    <row r="20" spans="1:37" s="2013" customFormat="1" ht="14.25">
      <c r="A20" s="3867" t="s">
        <v>3252</v>
      </c>
      <c r="B20" s="167" t="s">
        <v>1994</v>
      </c>
      <c r="C20" s="3321">
        <f>ROUND(IF(F21="与级别开发程度一致",0,(G21-E21)/C21),0)</f>
        <v>-45</v>
      </c>
      <c r="D20" s="3337" t="s">
        <v>1998</v>
      </c>
      <c r="E20" s="3338"/>
      <c r="F20" s="3873" t="s">
        <v>1995</v>
      </c>
      <c r="G20" s="3874"/>
      <c r="H20" s="3322" t="s">
        <v>3393</v>
      </c>
      <c r="I20" s="3322" t="s">
        <v>3394</v>
      </c>
      <c r="J20" s="3323" t="s">
        <v>3395</v>
      </c>
      <c r="K20" s="2046" t="s">
        <v>3396</v>
      </c>
      <c r="L20" s="2046" t="s">
        <v>3397</v>
      </c>
      <c r="M20" s="2046" t="s">
        <v>3418</v>
      </c>
      <c r="N20" s="2046"/>
      <c r="O20" s="2047"/>
      <c r="P20" s="1996"/>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3" customFormat="1" ht="26.25" thickBot="1">
      <c r="A21" s="3868"/>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3419</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3" customFormat="1" ht="15.75" thickBot="1">
      <c r="A22" s="2157" t="s">
        <v>363</v>
      </c>
      <c r="B22" s="2158" t="s">
        <v>2000</v>
      </c>
      <c r="C22" s="2159">
        <f>SUMIF(修正!C20:C51,E3,修正!E20:E51)</f>
        <v>0.8</v>
      </c>
      <c r="D22" s="2160"/>
      <c r="E22" s="2161"/>
      <c r="F22" s="2161"/>
      <c r="G22" s="2161"/>
      <c r="H22" s="2161"/>
      <c r="I22" s="2161"/>
      <c r="J22" s="2162"/>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3" t="s">
        <v>2002</v>
      </c>
      <c r="E23" s="761">
        <v>44197</v>
      </c>
      <c r="F23" s="2053" t="s">
        <v>2003</v>
      </c>
      <c r="G23" s="762">
        <f>'数据-取费表'!B2</f>
        <v>45608</v>
      </c>
      <c r="H23" s="3339" t="s">
        <v>3253</v>
      </c>
      <c r="I23" s="3340" t="str">
        <f>IF(H23="季度增幅（自定义）",SUMIF(N25:N28,E2,O25:O28),"")</f>
        <v/>
      </c>
      <c r="J23" s="3442" t="s">
        <v>3420</v>
      </c>
      <c r="K23" s="1125"/>
      <c r="L23" s="2054" t="s">
        <v>2004</v>
      </c>
      <c r="M23" s="1327">
        <f>ROUND(SUMIF(地价!B2:G2,E2,地价!B16:G16),0)</f>
        <v>0</v>
      </c>
      <c r="N23" s="2055" t="s">
        <v>2005</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0.93069999999999997</v>
      </c>
      <c r="D24" s="2059" t="s">
        <v>2007</v>
      </c>
      <c r="E24" s="1334">
        <f>存贷款利率!E27/100</f>
        <v>4.3499999999999997E-2</v>
      </c>
      <c r="F24" s="2059" t="s">
        <v>1999</v>
      </c>
      <c r="G24" s="768">
        <f>SUMIF(M30:Q30,E2,M33:Q33)</f>
        <v>0.05</v>
      </c>
      <c r="H24" s="2059" t="s">
        <v>2008</v>
      </c>
      <c r="I24" s="769">
        <f>SUMIF('数据-取费表'!C6:C15,E2,'数据-取费表'!F6:F15)/COUNTIF('数据-取费表'!C6:C15,E2)</f>
        <v>38.82</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4" t="s">
        <v>366</v>
      </c>
      <c r="B25" s="2065" t="s">
        <v>3332</v>
      </c>
      <c r="C25" s="771">
        <f>IF(B25="容积率修正",IF(G3&lt;10,D26,J26),C27)</f>
        <v>1</v>
      </c>
      <c r="D25" s="2066"/>
      <c r="E25" s="2066"/>
      <c r="F25" s="2066"/>
      <c r="G25" s="2066"/>
      <c r="H25" s="2066"/>
      <c r="I25" s="2066"/>
      <c r="J25" s="2067"/>
      <c r="K25" s="1125"/>
      <c r="L25" s="2784"/>
      <c r="M25" s="2784"/>
      <c r="N25" s="2068"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1" t="s">
        <v>3254</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3255</v>
      </c>
      <c r="J26" s="772" t="str">
        <f>IF(G3&gt;=10,D115,"——")</f>
        <v>——</v>
      </c>
      <c r="K26" s="1125"/>
      <c r="L26" s="2784"/>
      <c r="M26" s="2784"/>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1.0465</v>
      </c>
      <c r="D28" s="2051"/>
      <c r="E28" s="2076"/>
      <c r="F28" s="2076"/>
      <c r="G28" s="2076"/>
      <c r="H28" s="2076"/>
      <c r="I28" s="2076"/>
      <c r="J28" s="2077"/>
      <c r="K28" s="1125"/>
      <c r="L28" s="2784"/>
      <c r="M28" s="2784"/>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6079</v>
      </c>
      <c r="D30" s="2082"/>
      <c r="E30" s="2045"/>
      <c r="F30" s="2083"/>
      <c r="G30" s="2045"/>
      <c r="H30" s="2045"/>
      <c r="I30" s="2045"/>
      <c r="J30" s="2084"/>
      <c r="K30" s="1119"/>
      <c r="L30" s="3347" t="s">
        <v>1936</v>
      </c>
      <c r="M30" s="3348" t="s">
        <v>1990</v>
      </c>
      <c r="N30" s="3348" t="s">
        <v>1991</v>
      </c>
      <c r="O30" s="3348" t="s">
        <v>1992</v>
      </c>
      <c r="P30" s="3348" t="s">
        <v>1993</v>
      </c>
      <c r="Q30" s="3351" t="s">
        <v>3259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44</v>
      </c>
      <c r="D31" s="2086"/>
      <c r="E31" s="2087"/>
      <c r="F31" s="2088"/>
      <c r="G31" s="2087"/>
      <c r="H31" s="2087"/>
      <c r="I31" s="2087"/>
      <c r="J31" s="2089"/>
      <c r="K31" s="1119"/>
      <c r="L31" s="3349" t="s">
        <v>1996</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4346</v>
      </c>
      <c r="D33" s="2097">
        <f>'数据-汇总表'!F19</f>
        <v>13579.42</v>
      </c>
      <c r="E33" s="773">
        <f>ROUND(C33*D33/10000,0)</f>
        <v>5902</v>
      </c>
      <c r="F33" s="3342" t="s">
        <v>3257</v>
      </c>
      <c r="G33" s="2098"/>
      <c r="H33" s="2098"/>
      <c r="I33" s="2098"/>
      <c r="J33" s="2099"/>
      <c r="K33" s="1119"/>
      <c r="L33" s="3345" t="s">
        <v>3260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1087</v>
      </c>
      <c r="D34" s="2102"/>
      <c r="E34" s="773">
        <f>ROUND(IF(B25="楼层修正",SUM(V2:V16)*M40,C34*D34/10000),0)</f>
        <v>0</v>
      </c>
      <c r="F34" s="2103" t="s">
        <v>2032</v>
      </c>
      <c r="G34" s="2104"/>
      <c r="H34" s="2104"/>
      <c r="I34" s="2104"/>
      <c r="J34" s="2105"/>
      <c r="K34" s="1119"/>
      <c r="L34" s="3345" t="s">
        <v>3261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3" t="s">
        <v>3258</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3" t="s">
        <v>3262</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71"/>
      <c r="B37" s="2112" t="s">
        <v>2036</v>
      </c>
      <c r="C37" s="175">
        <f>ROUND(D5*C22*C23*C24*C28*F37,0)</f>
        <v>2608</v>
      </c>
      <c r="D37" s="2097"/>
      <c r="E37" s="171">
        <f>ROUND(C37*D37/10000,0)</f>
        <v>0</v>
      </c>
      <c r="F37" s="171">
        <f>SUMIF(修正!A57:A68,G2,修正!B57:B68)</f>
        <v>0.6</v>
      </c>
      <c r="G37" s="171">
        <f>ROUND(IF(E2="工业",C37*$M$42,C37*$M$41),0)</f>
        <v>652</v>
      </c>
      <c r="H37" s="171">
        <f>D37</f>
        <v>0</v>
      </c>
      <c r="I37" s="171">
        <f>ROUND(G37*H37/10000,0)</f>
        <v>0</v>
      </c>
      <c r="J37" s="3008"/>
      <c r="K37" s="3355" t="s">
        <v>3263</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72"/>
      <c r="B38" s="2040" t="s">
        <v>2037</v>
      </c>
      <c r="C38" s="175">
        <f>ROUND(D5*C22*C23*C24*C28*F38,0)</f>
        <v>1304</v>
      </c>
      <c r="D38" s="2097"/>
      <c r="E38" s="171">
        <f t="shared" ref="E38:E42" si="4">ROUND(C38*D38/10000,0)</f>
        <v>0</v>
      </c>
      <c r="F38" s="171">
        <f>SUMIF(修正!A57:A68,G2,修正!C57:C68)</f>
        <v>0.3</v>
      </c>
      <c r="G38" s="171">
        <f>ROUND(IF(E2="工业",C38*$M$42,C38*$M$41),0)</f>
        <v>326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72"/>
      <c r="B39" s="2040" t="s">
        <v>3256</v>
      </c>
      <c r="C39" s="175">
        <f>ROUND(D5*C22*C23*C24*C28*F39,0)</f>
        <v>1087</v>
      </c>
      <c r="D39" s="2097"/>
      <c r="E39" s="171">
        <f t="shared" si="4"/>
        <v>0</v>
      </c>
      <c r="F39" s="171">
        <f>SUMIF(修正!A57:A68,G2,修正!D57:D68)</f>
        <v>0.25</v>
      </c>
      <c r="G39" s="171">
        <f>ROUND(IF(E2="工业",C39*$M$42,C39*$M$41),0)</f>
        <v>272</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1087</v>
      </c>
      <c r="D40" s="2097"/>
      <c r="E40" s="171">
        <f t="shared" si="4"/>
        <v>0</v>
      </c>
      <c r="F40" s="175">
        <f>SUMIF(修正!A57:A68,G2,修正!E57:E68)</f>
        <v>0.25</v>
      </c>
      <c r="G40" s="171">
        <f>ROUND(IF(E2="工业",C40*$M$42,C40*$M$41),0)</f>
        <v>272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1087</v>
      </c>
      <c r="D41" s="2097"/>
      <c r="E41" s="171">
        <f t="shared" si="4"/>
        <v>0</v>
      </c>
      <c r="F41" s="175">
        <f>SUMIF(修正!A57:A68,G2,修正!F57:F68)</f>
        <v>0.25</v>
      </c>
      <c r="G41" s="171">
        <f>ROUND(IF(E2="工业",C41*$M$42,C41*$M$41),0)</f>
        <v>272</v>
      </c>
      <c r="H41" s="171">
        <f t="shared" si="5"/>
        <v>0</v>
      </c>
      <c r="I41" s="171">
        <f t="shared" si="6"/>
        <v>0</v>
      </c>
      <c r="J41" s="2113"/>
      <c r="L41" s="3356" t="s">
        <v>3264</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652</v>
      </c>
      <c r="D42" s="2102">
        <f>'数据-汇总表'!G19</f>
        <v>2715.88</v>
      </c>
      <c r="E42" s="187">
        <f t="shared" si="4"/>
        <v>177</v>
      </c>
      <c r="F42" s="767">
        <f>SUMIF(修正!A57:A68,G2,修正!G57:G68)</f>
        <v>0.15</v>
      </c>
      <c r="G42" s="187">
        <f>ROUND(IF(E2="工业",C42*$M$42,C42*$M$41),0)</f>
        <v>163</v>
      </c>
      <c r="H42" s="187">
        <f t="shared" si="5"/>
        <v>2715.88</v>
      </c>
      <c r="I42" s="187">
        <f t="shared" si="6"/>
        <v>44</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0.93069999999999997</v>
      </c>
      <c r="D44" s="171" t="s">
        <v>1999</v>
      </c>
      <c r="E44" s="2152">
        <f>G24</f>
        <v>0.05</v>
      </c>
      <c r="F44" s="171" t="s">
        <v>2008</v>
      </c>
      <c r="G44" s="183">
        <f>项目基本情况!F15</f>
        <v>38.82</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9" t="s">
        <v>2052</v>
      </c>
      <c r="B50" s="2132" t="str">
        <f>估价对象房地状况!C4</f>
        <v>一般</v>
      </c>
      <c r="C50" s="2043"/>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9" t="s">
        <v>2053</v>
      </c>
      <c r="B51" s="2133" t="str">
        <f>估价对象房地状况!C18</f>
        <v>一般</v>
      </c>
      <c r="C51" s="2043"/>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3266</v>
      </c>
      <c r="B52" s="2133">
        <f>估价对象房地状况!C19</f>
        <v>0</v>
      </c>
      <c r="C52" s="2043"/>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2054</v>
      </c>
      <c r="B53" s="2134" t="s">
        <v>2055</v>
      </c>
      <c r="C53" s="2043"/>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2056</v>
      </c>
      <c r="B54" s="2133">
        <f>估价对象房地状况!C24</f>
        <v>0</v>
      </c>
      <c r="C54" s="2043"/>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2057</v>
      </c>
      <c r="B55" s="2135" t="s">
        <v>2058</v>
      </c>
      <c r="C55" s="2043"/>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6" t="s">
        <v>2059</v>
      </c>
      <c r="B56" s="1325" t="str">
        <f>估价对象房地状况!C21</f>
        <v>一般</v>
      </c>
      <c r="C56" s="2043"/>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6" t="s">
        <v>2060</v>
      </c>
      <c r="B57" s="2133" t="str">
        <f>估价对象房地状况!C22</f>
        <v>七通</v>
      </c>
      <c r="C57" s="2043"/>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7" t="s">
        <v>2061</v>
      </c>
      <c r="B58" s="2138" t="str">
        <f>估价对象房地状况!C20</f>
        <v>较好</v>
      </c>
      <c r="C58" s="2043"/>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29" t="s">
        <v>2064</v>
      </c>
      <c r="B61" s="2132" t="str">
        <f>估价对象房地状况!C17</f>
        <v>一般</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29" t="s">
        <v>2053</v>
      </c>
      <c r="B62" s="2133" t="str">
        <f>估价对象房地状况!C18</f>
        <v>一般</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3266</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2054</v>
      </c>
      <c r="B64" s="2134" t="s">
        <v>2055</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2056</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2057</v>
      </c>
      <c r="B66" s="2135" t="s">
        <v>2058</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29" t="s">
        <v>2059</v>
      </c>
      <c r="B67" s="1325" t="str">
        <f>估价对象房地状况!C21</f>
        <v>一般</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9" t="s">
        <v>2060</v>
      </c>
      <c r="B68" s="1325" t="str">
        <f>估价对象房地状况!C22</f>
        <v>七通</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7" t="s">
        <v>2061</v>
      </c>
      <c r="B69" s="2139" t="str">
        <f>估价对象房地状况!C20</f>
        <v>较好</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29" t="s">
        <v>2066</v>
      </c>
      <c r="B72" s="2132" t="str">
        <f>估价对象房地状况!C15</f>
        <v>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29" t="s">
        <v>2053</v>
      </c>
      <c r="B73" s="2133" t="str">
        <f>估价对象房地状况!C18</f>
        <v>一般</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5" t="s">
        <v>3266</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2067</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hidden="1">
      <c r="A76" s="2129" t="s">
        <v>2059</v>
      </c>
      <c r="B76" s="1325" t="str">
        <f>估价对象房地状况!C21</f>
        <v>一般</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4" hidden="1">
      <c r="A77" s="2129" t="s">
        <v>2060</v>
      </c>
      <c r="B77" s="1325" t="str">
        <f>估价对象房地状况!C22</f>
        <v>七通</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2057</v>
      </c>
      <c r="B78" s="2135" t="s">
        <v>2058</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4" hidden="1">
      <c r="A79" s="2129" t="s">
        <v>2061</v>
      </c>
      <c r="B79" s="2132" t="str">
        <f>估价对象房地状况!C20</f>
        <v>较好</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2068</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hidden="1">
      <c r="A81" s="2125" t="s">
        <v>2069</v>
      </c>
      <c r="B81" s="2126">
        <f>1+E83</f>
        <v>1</v>
      </c>
      <c r="C81" s="741"/>
      <c r="D81" s="741"/>
      <c r="E81" s="742"/>
      <c r="F81" s="2128"/>
      <c r="G81" s="3"/>
      <c r="H81" s="3"/>
      <c r="I81" s="3"/>
      <c r="J81" s="4"/>
      <c r="K81" s="4"/>
      <c r="L81" s="4"/>
      <c r="M81" s="4"/>
      <c r="N81" s="4"/>
      <c r="Z81" s="1997"/>
      <c r="AA81" s="2052"/>
      <c r="AG81" s="1121"/>
      <c r="AK81" s="2052"/>
    </row>
    <row r="82" spans="1:37" ht="24.75" hidden="1">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hidden="1">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hidden="1">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7"/>
      <c r="AA84" s="2052"/>
      <c r="AG84" s="1121"/>
      <c r="AK84" s="2052"/>
    </row>
    <row r="85" spans="1:37" ht="36" hidden="1">
      <c r="A85" s="3365" t="s">
        <v>3267</v>
      </c>
      <c r="B85" s="2133">
        <f>估价对象房地状况!G17</f>
        <v>0</v>
      </c>
      <c r="C85" s="2043"/>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7"/>
      <c r="AA85" s="2052"/>
      <c r="AG85" s="1121"/>
      <c r="AK85" s="2052"/>
    </row>
    <row r="86" spans="1:37" ht="14.25" hidden="1">
      <c r="A86" s="2129" t="s">
        <v>2067</v>
      </c>
      <c r="B86" s="2133">
        <f>估价对象房地状况!G22</f>
        <v>0</v>
      </c>
      <c r="C86" s="2043"/>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7"/>
      <c r="AA86" s="2052"/>
      <c r="AG86" s="1121"/>
      <c r="AK86" s="2052"/>
    </row>
    <row r="87" spans="1:37" ht="25.5" hidden="1">
      <c r="A87" s="2129" t="s">
        <v>2059</v>
      </c>
      <c r="B87" s="1325" t="str">
        <f>估价对象房地状况!G19</f>
        <v>估价对象所在区域公共配套设施齐备情况</v>
      </c>
      <c r="C87" s="2043"/>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hidden="1">
      <c r="A88" s="2129" t="s">
        <v>2060</v>
      </c>
      <c r="B88" s="1325" t="str">
        <f>估价对象房地状况!G20</f>
        <v>估价对象所在区域基础设施水平</v>
      </c>
      <c r="C88" s="2043"/>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hidden="1">
      <c r="A89" s="2129" t="s">
        <v>2057</v>
      </c>
      <c r="B89" s="2135" t="s">
        <v>2071</v>
      </c>
      <c r="C89" s="2043"/>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hidden="1"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2610</v>
      </c>
      <c r="B91" s="3374">
        <f>1+E93</f>
        <v>1.0465</v>
      </c>
      <c r="C91" s="3367"/>
      <c r="D91" s="3368"/>
      <c r="E91" s="1813"/>
      <c r="F91" s="1813"/>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5"/>
      <c r="C93" s="2043" t="s">
        <v>3413</v>
      </c>
      <c r="D93" s="3362">
        <f>SUMIF($J$92:$N$92,C93,J93:N93)</f>
        <v>1.6199999999999999E-2</v>
      </c>
      <c r="E93" s="3378">
        <f>ROUND(SUM(D93:D101),4)</f>
        <v>4.65E-2</v>
      </c>
      <c r="F93" s="1813">
        <f>IF(E2="公共服务",SUMIF(L1:L12,G2,N1:N12),"——")</f>
        <v>0.13</v>
      </c>
      <c r="G93" s="3369">
        <v>1.6199999999999999E-2</v>
      </c>
      <c r="H93" s="3417">
        <f>IFERROR(ROUNDDOWN($F$93*I93/2,4),"——")</f>
        <v>1.6199999999999999E-2</v>
      </c>
      <c r="I93" s="3363">
        <v>0.25</v>
      </c>
      <c r="J93" s="3341">
        <f t="shared" ref="J93:J101" si="27">K93+$G93</f>
        <v>3.2399999999999998E-2</v>
      </c>
      <c r="K93" s="3341">
        <f t="shared" ref="K93:K101" si="28">$L93+$G93</f>
        <v>1.6199999999999999E-2</v>
      </c>
      <c r="L93" s="3341">
        <v>0</v>
      </c>
      <c r="M93" s="3341">
        <f t="shared" ref="M93:N101" si="29">L93-$G93</f>
        <v>-1.6199999999999999E-2</v>
      </c>
      <c r="N93" s="3341">
        <f t="shared" si="29"/>
        <v>-3.2399999999999998E-2</v>
      </c>
    </row>
    <row r="94" spans="1:37" ht="14.25">
      <c r="A94" s="3375" t="s">
        <v>3270</v>
      </c>
      <c r="B94" s="3366" t="str">
        <f>估价对象房地状况!C18</f>
        <v>一般</v>
      </c>
      <c r="C94" s="2043" t="s">
        <v>3406</v>
      </c>
      <c r="D94" s="3362">
        <f t="shared" ref="D94:D101" si="30">SUMIF($J$60:$N$60,C94,J94:N94)</f>
        <v>0</v>
      </c>
      <c r="E94" s="3379"/>
      <c r="F94" s="1813"/>
      <c r="G94" s="3369">
        <v>1.6899999999999998E-2</v>
      </c>
      <c r="H94" s="3417">
        <f>IFERROR(ROUNDDOWN($F$93*I94/2,4),"——")</f>
        <v>1.6899999999999998E-2</v>
      </c>
      <c r="I94" s="3363">
        <v>0.26</v>
      </c>
      <c r="J94" s="3341">
        <f t="shared" si="27"/>
        <v>3.3799999999999997E-2</v>
      </c>
      <c r="K94" s="3341">
        <f t="shared" si="28"/>
        <v>1.6899999999999998E-2</v>
      </c>
      <c r="L94" s="3341">
        <v>0</v>
      </c>
      <c r="M94" s="3341">
        <f t="shared" si="29"/>
        <v>-1.6899999999999998E-2</v>
      </c>
      <c r="N94" s="3341">
        <f t="shared" si="29"/>
        <v>-3.3799999999999997E-2</v>
      </c>
    </row>
    <row r="95" spans="1:37" ht="36">
      <c r="A95" s="3365" t="s">
        <v>3266</v>
      </c>
      <c r="B95" s="3366">
        <f>估价对象房地状况!C19</f>
        <v>0</v>
      </c>
      <c r="C95" s="2043" t="s">
        <v>3413</v>
      </c>
      <c r="D95" s="3362">
        <f t="shared" si="30"/>
        <v>7.1000000000000004E-3</v>
      </c>
      <c r="E95" s="3379"/>
      <c r="F95" s="1813"/>
      <c r="G95" s="3369">
        <v>7.1000000000000004E-3</v>
      </c>
      <c r="H95" s="3417">
        <f t="shared" ref="H95:H101" si="31">IFERROR(ROUNDDOWN($F$93*I95/2,4),"——")</f>
        <v>7.1000000000000004E-3</v>
      </c>
      <c r="I95" s="3363">
        <v>0.11</v>
      </c>
      <c r="J95" s="3341">
        <f t="shared" si="27"/>
        <v>1.4200000000000001E-2</v>
      </c>
      <c r="K95" s="3341">
        <f t="shared" si="28"/>
        <v>7.1000000000000004E-3</v>
      </c>
      <c r="L95" s="3341">
        <v>0</v>
      </c>
      <c r="M95" s="3341">
        <f t="shared" si="29"/>
        <v>-7.1000000000000004E-3</v>
      </c>
      <c r="N95" s="3341">
        <f t="shared" si="29"/>
        <v>-1.4200000000000001E-2</v>
      </c>
    </row>
    <row r="96" spans="1:37" ht="36.75">
      <c r="A96" s="3375" t="s">
        <v>3271</v>
      </c>
      <c r="B96" s="3381" t="s">
        <v>3282</v>
      </c>
      <c r="C96" s="2043" t="s">
        <v>3413</v>
      </c>
      <c r="D96" s="3362">
        <f t="shared" si="30"/>
        <v>3.2000000000000002E-3</v>
      </c>
      <c r="E96" s="3379"/>
      <c r="F96" s="1813"/>
      <c r="G96" s="3369">
        <v>3.2000000000000002E-3</v>
      </c>
      <c r="H96" s="3417">
        <f t="shared" si="31"/>
        <v>3.2000000000000002E-3</v>
      </c>
      <c r="I96" s="3363">
        <v>0.05</v>
      </c>
      <c r="J96" s="3341">
        <f t="shared" si="27"/>
        <v>6.4000000000000003E-3</v>
      </c>
      <c r="K96" s="3341">
        <f t="shared" si="28"/>
        <v>3.2000000000000002E-3</v>
      </c>
      <c r="L96" s="3341">
        <v>0</v>
      </c>
      <c r="M96" s="3341">
        <f t="shared" si="29"/>
        <v>-3.2000000000000002E-3</v>
      </c>
      <c r="N96" s="3341">
        <f t="shared" si="29"/>
        <v>-6.4000000000000003E-3</v>
      </c>
    </row>
    <row r="97" spans="1:14" ht="24">
      <c r="A97" s="3375" t="s">
        <v>3272</v>
      </c>
      <c r="B97" s="3366">
        <f>估价对象房地状况!C24</f>
        <v>0</v>
      </c>
      <c r="C97" s="2043" t="s">
        <v>3406</v>
      </c>
      <c r="D97" s="3362">
        <f t="shared" si="30"/>
        <v>0</v>
      </c>
      <c r="E97" s="3379"/>
      <c r="F97" s="1813"/>
      <c r="G97" s="3369">
        <v>3.2000000000000002E-3</v>
      </c>
      <c r="H97" s="3417">
        <f t="shared" si="31"/>
        <v>3.2000000000000002E-3</v>
      </c>
      <c r="I97" s="3363">
        <v>0.05</v>
      </c>
      <c r="J97" s="3341">
        <f t="shared" si="27"/>
        <v>6.4000000000000003E-3</v>
      </c>
      <c r="K97" s="3341">
        <f t="shared" si="28"/>
        <v>3.2000000000000002E-3</v>
      </c>
      <c r="L97" s="3341">
        <v>0</v>
      </c>
      <c r="M97" s="3341">
        <f t="shared" si="29"/>
        <v>-3.2000000000000002E-3</v>
      </c>
      <c r="N97" s="3341">
        <f t="shared" si="29"/>
        <v>-6.4000000000000003E-3</v>
      </c>
    </row>
    <row r="98" spans="1:14" ht="24">
      <c r="A98" s="3375" t="s">
        <v>3273</v>
      </c>
      <c r="B98" s="3382" t="s">
        <v>3283</v>
      </c>
      <c r="C98" s="2043" t="s">
        <v>3413</v>
      </c>
      <c r="D98" s="3362">
        <f t="shared" si="30"/>
        <v>3.8999999999999998E-3</v>
      </c>
      <c r="E98" s="3379"/>
      <c r="F98" s="1813"/>
      <c r="G98" s="3369">
        <v>3.8999999999999998E-3</v>
      </c>
      <c r="H98" s="3417">
        <f t="shared" si="31"/>
        <v>3.8999999999999998E-3</v>
      </c>
      <c r="I98" s="3363">
        <v>0.06</v>
      </c>
      <c r="J98" s="3341">
        <f t="shared" si="27"/>
        <v>7.7999999999999996E-3</v>
      </c>
      <c r="K98" s="3341">
        <f t="shared" si="28"/>
        <v>3.8999999999999998E-3</v>
      </c>
      <c r="L98" s="3341">
        <v>0</v>
      </c>
      <c r="M98" s="3341">
        <f t="shared" si="29"/>
        <v>-3.8999999999999998E-3</v>
      </c>
      <c r="N98" s="3341">
        <f t="shared" si="29"/>
        <v>-7.7999999999999996E-3</v>
      </c>
    </row>
    <row r="99" spans="1:14" ht="24">
      <c r="A99" s="3375" t="s">
        <v>3274</v>
      </c>
      <c r="B99" s="3366" t="str">
        <f>估价对象房地状况!C21</f>
        <v>一般</v>
      </c>
      <c r="C99" s="2043" t="s">
        <v>3406</v>
      </c>
      <c r="D99" s="3362">
        <f t="shared" si="30"/>
        <v>0</v>
      </c>
      <c r="E99" s="3379"/>
      <c r="F99" s="1813"/>
      <c r="G99" s="3369">
        <v>3.8999999999999998E-3</v>
      </c>
      <c r="H99" s="3417">
        <f t="shared" si="31"/>
        <v>3.8999999999999998E-3</v>
      </c>
      <c r="I99" s="3363">
        <v>0.06</v>
      </c>
      <c r="J99" s="3341">
        <f t="shared" si="27"/>
        <v>7.7999999999999996E-3</v>
      </c>
      <c r="K99" s="3341">
        <f t="shared" si="28"/>
        <v>3.8999999999999998E-3</v>
      </c>
      <c r="L99" s="3341">
        <v>0</v>
      </c>
      <c r="M99" s="3341">
        <f t="shared" si="29"/>
        <v>-3.8999999999999998E-3</v>
      </c>
      <c r="N99" s="3341">
        <f t="shared" si="29"/>
        <v>-7.7999999999999996E-3</v>
      </c>
    </row>
    <row r="100" spans="1:14" ht="24">
      <c r="A100" s="3375" t="s">
        <v>3275</v>
      </c>
      <c r="B100" s="3366" t="str">
        <f>估价对象房地状况!C22</f>
        <v>七通</v>
      </c>
      <c r="C100" s="2043" t="s">
        <v>3421</v>
      </c>
      <c r="D100" s="3362">
        <f t="shared" si="30"/>
        <v>1.1599999999999999E-2</v>
      </c>
      <c r="E100" s="3379"/>
      <c r="F100" s="1813"/>
      <c r="G100" s="3369">
        <v>5.7999999999999996E-3</v>
      </c>
      <c r="H100" s="3417">
        <f t="shared" si="31"/>
        <v>5.7999999999999996E-3</v>
      </c>
      <c r="I100" s="3363">
        <v>0.09</v>
      </c>
      <c r="J100" s="3341">
        <f t="shared" si="27"/>
        <v>1.1599999999999999E-2</v>
      </c>
      <c r="K100" s="3341">
        <f t="shared" si="28"/>
        <v>5.7999999999999996E-3</v>
      </c>
      <c r="L100" s="3341">
        <v>0</v>
      </c>
      <c r="M100" s="3341">
        <f t="shared" si="29"/>
        <v>-5.7999999999999996E-3</v>
      </c>
      <c r="N100" s="3341">
        <f t="shared" si="29"/>
        <v>-1.1599999999999999E-2</v>
      </c>
    </row>
    <row r="101" spans="1:14" ht="24.75" thickBot="1">
      <c r="A101" s="3376" t="s">
        <v>3276</v>
      </c>
      <c r="B101" s="3383" t="str">
        <f>估价对象房地状况!C20</f>
        <v>较好</v>
      </c>
      <c r="C101" s="2043" t="s">
        <v>3413</v>
      </c>
      <c r="D101" s="3362">
        <f t="shared" si="30"/>
        <v>4.4999999999999997E-3</v>
      </c>
      <c r="E101" s="3380"/>
      <c r="F101" s="1813"/>
      <c r="G101" s="3369">
        <v>4.4999999999999997E-3</v>
      </c>
      <c r="H101" s="3417">
        <f t="shared" si="31"/>
        <v>4.4999999999999997E-3</v>
      </c>
      <c r="I101" s="3364">
        <v>7.0000000000000007E-2</v>
      </c>
      <c r="J101" s="3341">
        <f t="shared" si="27"/>
        <v>8.9999999999999993E-3</v>
      </c>
      <c r="K101" s="3341">
        <f t="shared" si="28"/>
        <v>4.4999999999999997E-3</v>
      </c>
      <c r="L101" s="3341">
        <v>0</v>
      </c>
      <c r="M101" s="3341">
        <f t="shared" si="29"/>
        <v>-4.4999999999999997E-3</v>
      </c>
      <c r="N101" s="3341">
        <f t="shared" si="29"/>
        <v>-8.9999999999999993E-3</v>
      </c>
    </row>
    <row r="103" spans="1:14">
      <c r="A103" s="3869" t="s">
        <v>3291</v>
      </c>
      <c r="B103" s="3869"/>
      <c r="C103" s="3869"/>
      <c r="D103" s="3869"/>
      <c r="E103" s="3869"/>
      <c r="F103" s="3869"/>
      <c r="G103" s="3869"/>
      <c r="H103" s="3869"/>
      <c r="I103" s="3869"/>
      <c r="J103" s="3869"/>
      <c r="K103" s="3386"/>
      <c r="L103" s="3386"/>
      <c r="M103" s="3386"/>
      <c r="N103" s="3386"/>
    </row>
    <row r="104" spans="1:14">
      <c r="A104" s="3870" t="s">
        <v>3292</v>
      </c>
      <c r="B104" s="3870" t="s">
        <v>3293</v>
      </c>
      <c r="C104" s="3387" t="s">
        <v>3294</v>
      </c>
      <c r="D104" s="3388"/>
      <c r="E104" s="3388"/>
      <c r="F104" s="3388"/>
      <c r="G104" s="3388"/>
      <c r="H104" s="3388"/>
      <c r="I104" s="3388"/>
      <c r="J104" s="3389"/>
      <c r="K104" s="3390"/>
      <c r="L104" s="3390"/>
      <c r="M104" s="3390"/>
      <c r="N104" s="3390"/>
    </row>
    <row r="105" spans="1:14">
      <c r="A105" s="3870"/>
      <c r="B105" s="3870"/>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856"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5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5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5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5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57"/>
      <c r="B111" s="3391" t="s">
        <v>3265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5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59" t="s">
        <v>3308</v>
      </c>
      <c r="B113" s="3859"/>
      <c r="C113" s="3859"/>
      <c r="D113" s="3859"/>
      <c r="E113" s="3859"/>
      <c r="F113" s="3859"/>
      <c r="G113" s="3859"/>
      <c r="H113" s="3859"/>
      <c r="I113" s="3859"/>
      <c r="J113" s="385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2</v>
      </c>
      <c r="C116" s="3396" t="s">
        <v>3310</v>
      </c>
      <c r="D116" s="3397">
        <f>SUMPRODUCT((A118:A122=F116)*(B117:M117=H116)*B118:M122)</f>
        <v>0.86850000000000005</v>
      </c>
      <c r="E116" s="1999" t="s">
        <v>3311</v>
      </c>
      <c r="F116" s="3398" t="str">
        <f>E2</f>
        <v>公共服务</v>
      </c>
      <c r="G116" s="1999" t="s">
        <v>3312</v>
      </c>
      <c r="H116" s="3398" t="str">
        <f>G2</f>
        <v>七级</v>
      </c>
      <c r="I116" s="1999"/>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0.9748</v>
      </c>
      <c r="C118" s="3384">
        <f>B118</f>
        <v>0.9748</v>
      </c>
      <c r="D118" s="3384">
        <f>ROUND(0.949-0.014*B116,4)</f>
        <v>0.92100000000000004</v>
      </c>
      <c r="E118" s="3384">
        <f>D118</f>
        <v>0.92100000000000004</v>
      </c>
      <c r="F118" s="3384">
        <f>E118</f>
        <v>0.92100000000000004</v>
      </c>
      <c r="G118" s="3384">
        <f>F118</f>
        <v>0.92100000000000004</v>
      </c>
      <c r="H118" s="3384">
        <f>G118</f>
        <v>0.92100000000000004</v>
      </c>
      <c r="I118" s="3384">
        <f>ROUND(0.8486-0.018*B116,4)</f>
        <v>0.81259999999999999</v>
      </c>
      <c r="J118" s="3384">
        <f t="shared" ref="J118:M122" si="35">I118</f>
        <v>0.81259999999999999</v>
      </c>
      <c r="K118" s="3384">
        <f t="shared" si="35"/>
        <v>0.81259999999999999</v>
      </c>
      <c r="L118" s="3384">
        <f t="shared" si="35"/>
        <v>0.81259999999999999</v>
      </c>
      <c r="M118" s="3407">
        <f t="shared" si="35"/>
        <v>0.81259999999999999</v>
      </c>
      <c r="N118" s="3394"/>
    </row>
    <row r="119" spans="1:14">
      <c r="A119" s="3406" t="s">
        <v>3326</v>
      </c>
      <c r="B119" s="3384">
        <f>ROUND(0.993-0.0112*B116,4)</f>
        <v>0.97060000000000002</v>
      </c>
      <c r="C119" s="3384">
        <f>B119</f>
        <v>0.97060000000000002</v>
      </c>
      <c r="D119" s="3384">
        <f>ROUND(0.9415-0.0142*B116,4)</f>
        <v>0.91310000000000002</v>
      </c>
      <c r="E119" s="3384">
        <f t="shared" ref="E119:H120" si="36">D119</f>
        <v>0.91310000000000002</v>
      </c>
      <c r="F119" s="3384">
        <f t="shared" si="36"/>
        <v>0.91310000000000002</v>
      </c>
      <c r="G119" s="3384">
        <f t="shared" si="36"/>
        <v>0.91310000000000002</v>
      </c>
      <c r="H119" s="3384">
        <f t="shared" si="36"/>
        <v>0.91310000000000002</v>
      </c>
      <c r="I119" s="3384">
        <f>ROUND(0.838-0.0182*B116,4)</f>
        <v>0.80159999999999998</v>
      </c>
      <c r="J119" s="3384">
        <f t="shared" si="35"/>
        <v>0.80159999999999998</v>
      </c>
      <c r="K119" s="3384">
        <f t="shared" si="35"/>
        <v>0.80159999999999998</v>
      </c>
      <c r="L119" s="3384">
        <f t="shared" si="35"/>
        <v>0.80159999999999998</v>
      </c>
      <c r="M119" s="3407">
        <f t="shared" si="35"/>
        <v>0.80159999999999998</v>
      </c>
      <c r="N119" s="3394"/>
    </row>
    <row r="120" spans="1:14">
      <c r="A120" s="3406" t="s">
        <v>3327</v>
      </c>
      <c r="B120" s="3384">
        <f>ROUND(0.9448-0.0115*B116,4)</f>
        <v>0.92179999999999995</v>
      </c>
      <c r="C120" s="3384">
        <f>B120</f>
        <v>0.92179999999999995</v>
      </c>
      <c r="D120" s="3384">
        <f>ROUND(0.937-0.0145*B116,4)</f>
        <v>0.90800000000000003</v>
      </c>
      <c r="E120" s="3384">
        <f t="shared" si="36"/>
        <v>0.90800000000000003</v>
      </c>
      <c r="F120" s="3384">
        <f t="shared" si="36"/>
        <v>0.90800000000000003</v>
      </c>
      <c r="G120" s="3384">
        <f t="shared" si="36"/>
        <v>0.90800000000000003</v>
      </c>
      <c r="H120" s="3384">
        <f t="shared" si="36"/>
        <v>0.90800000000000003</v>
      </c>
      <c r="I120" s="3384">
        <f>ROUND(0.7965-0.0185*B116,4)</f>
        <v>0.75949999999999995</v>
      </c>
      <c r="J120" s="3384">
        <f t="shared" si="35"/>
        <v>0.75949999999999995</v>
      </c>
      <c r="K120" s="3384">
        <f t="shared" si="35"/>
        <v>0.75949999999999995</v>
      </c>
      <c r="L120" s="3384">
        <f t="shared" si="35"/>
        <v>0.75949999999999995</v>
      </c>
      <c r="M120" s="3407">
        <f t="shared" si="35"/>
        <v>0.75949999999999995</v>
      </c>
      <c r="N120" s="3394"/>
    </row>
    <row r="121" spans="1:14" ht="13.5" thickBot="1">
      <c r="A121" s="3408" t="s">
        <v>3328</v>
      </c>
      <c r="B121" s="3409">
        <f>ROUND(0.7836-0.012*B116,4)</f>
        <v>0.75960000000000005</v>
      </c>
      <c r="C121" s="3409">
        <f>B121</f>
        <v>0.75960000000000005</v>
      </c>
      <c r="D121" s="3409">
        <f>ROUND(0.753-0.015*B116,4)</f>
        <v>0.72299999999999998</v>
      </c>
      <c r="E121" s="3409">
        <f>D121</f>
        <v>0.72299999999999998</v>
      </c>
      <c r="F121" s="3409">
        <f>E121</f>
        <v>0.72299999999999998</v>
      </c>
      <c r="G121" s="3409">
        <f>ROUND(0.6612-0.018*B116,4)</f>
        <v>0.62519999999999998</v>
      </c>
      <c r="H121" s="3409">
        <f>G121</f>
        <v>0.62519999999999998</v>
      </c>
      <c r="I121" s="3409">
        <f>ROUND(0.5905-0.019*B116,4)</f>
        <v>0.55249999999999999</v>
      </c>
      <c r="J121" s="3409">
        <f t="shared" si="35"/>
        <v>0.55249999999999999</v>
      </c>
      <c r="K121" s="3409">
        <f t="shared" si="35"/>
        <v>0.55249999999999999</v>
      </c>
      <c r="L121" s="3409">
        <f t="shared" si="35"/>
        <v>0.55249999999999999</v>
      </c>
      <c r="M121" s="3410">
        <f t="shared" si="35"/>
        <v>0.55249999999999999</v>
      </c>
      <c r="N121" s="3394"/>
    </row>
    <row r="122" spans="1:14">
      <c r="A122" s="3411" t="s">
        <v>2610</v>
      </c>
      <c r="B122" s="3384">
        <f>ROUND(0.9404-0.0106*B116,4)</f>
        <v>0.91920000000000002</v>
      </c>
      <c r="C122" s="3384">
        <f>B122</f>
        <v>0.91920000000000002</v>
      </c>
      <c r="D122" s="3384">
        <f>ROUND(0.8955-0.0135*B116,4)</f>
        <v>0.86850000000000005</v>
      </c>
      <c r="E122" s="3384">
        <f t="shared" ref="E122:H122" si="37">D122</f>
        <v>0.86850000000000005</v>
      </c>
      <c r="F122" s="3384">
        <f t="shared" si="37"/>
        <v>0.86850000000000005</v>
      </c>
      <c r="G122" s="3384">
        <f t="shared" si="37"/>
        <v>0.86850000000000005</v>
      </c>
      <c r="H122" s="3384">
        <f t="shared" si="37"/>
        <v>0.86850000000000005</v>
      </c>
      <c r="I122" s="3384">
        <f>ROUND(0.7632-0.0166*B116,4)</f>
        <v>0.73</v>
      </c>
      <c r="J122" s="3384">
        <f t="shared" si="35"/>
        <v>0.73</v>
      </c>
      <c r="K122" s="3384">
        <f t="shared" si="35"/>
        <v>0.73</v>
      </c>
      <c r="L122" s="3384">
        <f t="shared" si="35"/>
        <v>0.73</v>
      </c>
      <c r="M122" s="3407">
        <f t="shared" si="35"/>
        <v>0.73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N48" sqref="N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12154</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7459</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40" t="s">
        <v>1770</v>
      </c>
      <c r="D4" s="3741"/>
      <c r="E4" s="3742" t="s">
        <v>1771</v>
      </c>
      <c r="F4" s="3743"/>
      <c r="G4" s="3740" t="s">
        <v>1772</v>
      </c>
      <c r="H4" s="3741"/>
      <c r="I4" s="3740" t="s">
        <v>1773</v>
      </c>
      <c r="J4" s="3741"/>
      <c r="K4" s="559" t="s">
        <v>1774</v>
      </c>
      <c r="L4" s="2711"/>
      <c r="M4" s="2712"/>
      <c r="N4" s="2712"/>
      <c r="O4" s="2712"/>
      <c r="P4" s="3802" t="s">
        <v>1775</v>
      </c>
      <c r="Q4" s="3803"/>
      <c r="R4" s="3800" t="s">
        <v>1771</v>
      </c>
      <c r="S4" s="3801"/>
      <c r="T4" s="3800" t="s">
        <v>1772</v>
      </c>
      <c r="U4" s="3801"/>
      <c r="V4" s="3753" t="s">
        <v>1773</v>
      </c>
      <c r="W4" s="3753"/>
      <c r="X4" s="1354"/>
      <c r="Y4" s="3800" t="s">
        <v>1775</v>
      </c>
      <c r="Z4" s="3801"/>
      <c r="AA4" s="3799" t="s">
        <v>1771</v>
      </c>
      <c r="AB4" s="3720" t="s">
        <v>1772</v>
      </c>
      <c r="AC4" s="3799" t="s">
        <v>1773</v>
      </c>
    </row>
    <row r="5" spans="1:30" ht="63" customHeight="1">
      <c r="A5" s="358"/>
      <c r="B5" s="359"/>
      <c r="C5" s="3875" t="str">
        <f>项目基本情况!F10</f>
        <v>顺义区汇海南路6号院25号楼-2至10层101</v>
      </c>
      <c r="D5" s="3731"/>
      <c r="E5" s="3728" t="str">
        <f>土地案例!A2</f>
        <v>北京市顺义区天竺旧村改造土地一级开发项目SY00-2801-0149地块B4综合性商业金融服务用地</v>
      </c>
      <c r="F5" s="3729"/>
      <c r="G5" s="3730" t="str">
        <f>土地案例!A3</f>
        <v>北京城市副中心0403街区FZX-0403-0146、0148地块F3 其他类多功能用地</v>
      </c>
      <c r="H5" s="3731"/>
      <c r="I5" s="3730" t="str">
        <f>土地案例!A4</f>
        <v>北京市通州区永顺镇0401街区 46号地块(西马庄收储) B4综合性商业金融服务业用地</v>
      </c>
      <c r="J5" s="3731"/>
      <c r="K5" s="559"/>
      <c r="L5" s="2711"/>
      <c r="M5" s="2712"/>
      <c r="N5" s="2712"/>
      <c r="O5" s="2712"/>
      <c r="P5" s="3804"/>
      <c r="Q5" s="3747"/>
      <c r="R5" s="3726"/>
      <c r="S5" s="3727"/>
      <c r="T5" s="3726"/>
      <c r="U5" s="3727"/>
      <c r="V5" s="3753"/>
      <c r="W5" s="3753"/>
      <c r="X5" s="1354"/>
      <c r="Y5" s="3726"/>
      <c r="Z5" s="3727"/>
      <c r="AA5" s="3720"/>
      <c r="AB5" s="3720"/>
      <c r="AC5" s="3720"/>
    </row>
    <row r="6" spans="1:30" ht="15.75" thickBot="1">
      <c r="A6" s="360"/>
      <c r="B6" s="361"/>
      <c r="C6" s="3732" t="s">
        <v>1677</v>
      </c>
      <c r="D6" s="3733"/>
      <c r="E6" s="3734" t="s">
        <v>1677</v>
      </c>
      <c r="F6" s="3735"/>
      <c r="G6" s="3732" t="s">
        <v>1677</v>
      </c>
      <c r="H6" s="3733"/>
      <c r="I6" s="3732" t="s">
        <v>1677</v>
      </c>
      <c r="J6" s="3733"/>
      <c r="K6" s="559" t="s">
        <v>1678</v>
      </c>
      <c r="L6" s="2711"/>
      <c r="M6" s="2712"/>
      <c r="N6" s="2712"/>
      <c r="O6" s="2712"/>
      <c r="P6" s="3805"/>
      <c r="Q6" s="3749"/>
      <c r="R6" s="3726"/>
      <c r="S6" s="3727"/>
      <c r="T6" s="3750"/>
      <c r="U6" s="3751"/>
      <c r="V6" s="3753"/>
      <c r="W6" s="3753"/>
      <c r="X6" s="1354"/>
      <c r="Y6" s="3750"/>
      <c r="Z6" s="3751"/>
      <c r="AA6" s="3721"/>
      <c r="AB6" s="3721"/>
      <c r="AC6" s="3721"/>
    </row>
    <row r="7" spans="1:30" s="108" customFormat="1" ht="15.75" thickBot="1">
      <c r="A7" s="362" t="s">
        <v>1679</v>
      </c>
      <c r="B7" s="363"/>
      <c r="C7" s="364">
        <f>'数据-取费表'!B2</f>
        <v>45608</v>
      </c>
      <c r="D7" s="365">
        <v>100</v>
      </c>
      <c r="E7" s="366">
        <f>土地案例!AG2</f>
        <v>45495.000497685185</v>
      </c>
      <c r="F7" s="367">
        <f>SUMIF(69:69,YEAR(E7)&amp;"-"&amp;INT((MONTH(E7)+2)/3),70:70)</f>
        <v>100</v>
      </c>
      <c r="G7" s="1973">
        <f>土地案例!AG3</f>
        <v>45114.000497685185</v>
      </c>
      <c r="H7" s="365">
        <f>SUMIF(69:69,YEAR(G7)&amp;"-"&amp;INT((MONTH(G7)+2)/3),70:70)</f>
        <v>100</v>
      </c>
      <c r="I7" s="1973">
        <f>土地案例!AG4</f>
        <v>45030.000497685185</v>
      </c>
      <c r="J7" s="365">
        <f>SUMIF(69:69,YEAR(I7)&amp;"-"&amp;INT((MONTH(I7)+2)/3),70:70)</f>
        <v>100</v>
      </c>
      <c r="K7" s="560"/>
      <c r="L7" s="2713"/>
      <c r="M7" s="2714"/>
      <c r="N7" s="2714"/>
      <c r="O7" s="2714"/>
      <c r="P7" s="3722" t="s">
        <v>1680</v>
      </c>
      <c r="Q7" s="3755"/>
      <c r="R7" s="701" t="s">
        <v>14</v>
      </c>
      <c r="S7" s="702">
        <f t="shared" ref="S7:S15" si="0">F7</f>
        <v>100</v>
      </c>
      <c r="T7" s="701" t="s">
        <v>14</v>
      </c>
      <c r="U7" s="702">
        <f t="shared" ref="U7:U15" si="1">H7</f>
        <v>100</v>
      </c>
      <c r="V7" s="701" t="s">
        <v>14</v>
      </c>
      <c r="W7" s="702">
        <f t="shared" ref="W7:W15" si="2">J7</f>
        <v>100</v>
      </c>
      <c r="X7" s="703"/>
      <c r="Y7" s="3722" t="s">
        <v>1680</v>
      </c>
      <c r="Z7" s="3723"/>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3"/>
      <c r="M8" s="2714"/>
      <c r="N8" s="2714"/>
      <c r="O8" s="2714"/>
      <c r="P8" s="3722" t="s">
        <v>1683</v>
      </c>
      <c r="Q8" s="3723"/>
      <c r="R8" s="701" t="s">
        <v>14</v>
      </c>
      <c r="S8" s="702">
        <f t="shared" si="0"/>
        <v>100</v>
      </c>
      <c r="T8" s="701" t="s">
        <v>14</v>
      </c>
      <c r="U8" s="702">
        <f t="shared" si="1"/>
        <v>100</v>
      </c>
      <c r="V8" s="701" t="s">
        <v>14</v>
      </c>
      <c r="W8" s="702">
        <f t="shared" si="2"/>
        <v>100</v>
      </c>
      <c r="X8" s="703"/>
      <c r="Y8" s="3722" t="s">
        <v>1683</v>
      </c>
      <c r="Z8" s="3723"/>
      <c r="AA8" s="704">
        <f t="shared" ref="AA8:AA45" si="3">D8/F8</f>
        <v>1</v>
      </c>
      <c r="AB8" s="704">
        <f t="shared" ref="AB8:AB45" si="4">D8/H8</f>
        <v>1</v>
      </c>
      <c r="AC8" s="704">
        <f t="shared" ref="AC8:AC45" si="5">D8/J8</f>
        <v>1</v>
      </c>
    </row>
    <row r="9" spans="1:30" s="108" customFormat="1" ht="28.5">
      <c r="A9" s="369" t="s">
        <v>1684</v>
      </c>
      <c r="B9" s="63" t="s">
        <v>1685</v>
      </c>
      <c r="C9" s="1976" t="s">
        <v>3591</v>
      </c>
      <c r="D9" s="126">
        <v>100</v>
      </c>
      <c r="E9" s="1976" t="s">
        <v>3529</v>
      </c>
      <c r="F9" s="126">
        <f>SUMIF(74:74,E9,75:75)-SUMIF(74:74,C9,75:75)+100</f>
        <v>110</v>
      </c>
      <c r="G9" s="1976" t="s">
        <v>3553</v>
      </c>
      <c r="H9" s="126">
        <f>SUMIF(74:74,G9,75:75)-SUMIF(74:74,C9,75:75)+100</f>
        <v>105</v>
      </c>
      <c r="I9" s="1976" t="s">
        <v>3561</v>
      </c>
      <c r="J9" s="126">
        <f>SUMIF(74:74,I9,75:75)-SUMIF(74:74,C9,75:75)+100</f>
        <v>110</v>
      </c>
      <c r="K9" s="560"/>
      <c r="L9" s="2713"/>
      <c r="M9" s="2714"/>
      <c r="N9" s="2714"/>
      <c r="O9" s="2768"/>
      <c r="P9" s="3765" t="s">
        <v>1686</v>
      </c>
      <c r="Q9" s="1342" t="str">
        <f t="shared" ref="Q9:Q15" si="6">B9</f>
        <v>用途</v>
      </c>
      <c r="R9" s="701" t="s">
        <v>14</v>
      </c>
      <c r="S9" s="702">
        <f t="shared" si="0"/>
        <v>110</v>
      </c>
      <c r="T9" s="701" t="s">
        <v>14</v>
      </c>
      <c r="U9" s="702">
        <f t="shared" si="1"/>
        <v>105</v>
      </c>
      <c r="V9" s="701" t="s">
        <v>14</v>
      </c>
      <c r="W9" s="702">
        <f t="shared" si="2"/>
        <v>110</v>
      </c>
      <c r="X9" s="703"/>
      <c r="Y9" s="3695" t="s">
        <v>1687</v>
      </c>
      <c r="Z9" s="52" t="str">
        <f t="shared" ref="Z9:Z15" si="7">Q9</f>
        <v>用途</v>
      </c>
      <c r="AA9" s="704">
        <f t="shared" si="3"/>
        <v>0.90909090909090906</v>
      </c>
      <c r="AB9" s="704">
        <f t="shared" si="4"/>
        <v>0.95238095238095233</v>
      </c>
      <c r="AC9" s="704">
        <f t="shared" si="5"/>
        <v>0.90909090909090906</v>
      </c>
    </row>
    <row r="10" spans="1:30" s="378" customFormat="1" ht="27">
      <c r="A10" s="374"/>
      <c r="B10" s="375" t="s">
        <v>1688</v>
      </c>
      <c r="C10" s="383">
        <f>'数据-取费表'!F6</f>
        <v>38.82</v>
      </c>
      <c r="D10" s="127">
        <v>100</v>
      </c>
      <c r="E10" s="416" t="s">
        <v>3593</v>
      </c>
      <c r="F10" s="127">
        <f>ROUND(100/'数据-取费表'!G16,0)</f>
        <v>109</v>
      </c>
      <c r="G10" s="414" t="s">
        <v>3594</v>
      </c>
      <c r="H10" s="127">
        <f>ROUND(100/'数据-取费表'!G16,0)</f>
        <v>109</v>
      </c>
      <c r="I10" s="414" t="s">
        <v>3593</v>
      </c>
      <c r="J10" s="127">
        <f>ROUND(100/'数据-取费表'!G16,0)</f>
        <v>109</v>
      </c>
      <c r="K10" s="620"/>
      <c r="L10" s="2715"/>
      <c r="M10" s="2716"/>
      <c r="N10" s="2716"/>
      <c r="O10" s="2769"/>
      <c r="P10" s="3765"/>
      <c r="Q10" s="1342" t="str">
        <f t="shared" si="6"/>
        <v>土地使用年限（年）</v>
      </c>
      <c r="R10" s="701" t="s">
        <v>14</v>
      </c>
      <c r="S10" s="702">
        <f t="shared" si="0"/>
        <v>109</v>
      </c>
      <c r="T10" s="701" t="s">
        <v>14</v>
      </c>
      <c r="U10" s="702">
        <f t="shared" si="1"/>
        <v>109</v>
      </c>
      <c r="V10" s="701" t="s">
        <v>14</v>
      </c>
      <c r="W10" s="702">
        <f t="shared" si="2"/>
        <v>109</v>
      </c>
      <c r="X10" s="703"/>
      <c r="Y10" s="3695"/>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f>'数据-汇总表'!I7</f>
        <v>2</v>
      </c>
      <c r="D11" s="127">
        <v>100</v>
      </c>
      <c r="E11" s="380">
        <f>土地案例!T2</f>
        <v>1.5</v>
      </c>
      <c r="F11" s="127">
        <f>LOOKUP(E11,79:79,80:80)-LOOKUP(C11,79:79,80:80)+100</f>
        <v>102</v>
      </c>
      <c r="G11" s="381">
        <f>土地案例!T3</f>
        <v>3.82</v>
      </c>
      <c r="H11" s="127">
        <f>LOOKUP(G11,79:79,80:80)-LOOKUP(C11,79:79,80:80)+100</f>
        <v>98</v>
      </c>
      <c r="I11" s="380">
        <f>土地案例!T4</f>
        <v>2.8</v>
      </c>
      <c r="J11" s="127">
        <f>LOOKUP(I11,79:79,80:80)-LOOKUP(C11,79:79,80:80)+100</f>
        <v>100</v>
      </c>
      <c r="K11" s="621">
        <v>2</v>
      </c>
      <c r="L11" s="2717"/>
      <c r="M11" s="2712"/>
      <c r="N11" s="2712"/>
      <c r="O11" s="2770"/>
      <c r="P11" s="3765"/>
      <c r="Q11" s="1342" t="str">
        <f t="shared" si="6"/>
        <v>容积率</v>
      </c>
      <c r="R11" s="701" t="s">
        <v>14</v>
      </c>
      <c r="S11" s="702">
        <f t="shared" si="0"/>
        <v>102</v>
      </c>
      <c r="T11" s="701" t="s">
        <v>14</v>
      </c>
      <c r="U11" s="702">
        <f t="shared" si="1"/>
        <v>98</v>
      </c>
      <c r="V11" s="701" t="s">
        <v>14</v>
      </c>
      <c r="W11" s="702">
        <f t="shared" si="2"/>
        <v>100</v>
      </c>
      <c r="X11" s="703"/>
      <c r="Y11" s="3695"/>
      <c r="Z11" s="52" t="str">
        <f t="shared" si="7"/>
        <v>容积率</v>
      </c>
      <c r="AA11" s="704">
        <f t="shared" si="3"/>
        <v>0.98039215686274506</v>
      </c>
      <c r="AB11" s="704">
        <f t="shared" si="4"/>
        <v>1.0204081632653061</v>
      </c>
      <c r="AC11" s="704">
        <f t="shared" si="5"/>
        <v>1</v>
      </c>
    </row>
    <row r="12" spans="1:30" s="108" customFormat="1" ht="15" hidden="1">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65"/>
      <c r="Q12" s="1342" t="str">
        <f t="shared" si="6"/>
        <v>配建</v>
      </c>
      <c r="R12" s="701" t="s">
        <v>14</v>
      </c>
      <c r="S12" s="702">
        <f t="shared" si="0"/>
        <v>100</v>
      </c>
      <c r="T12" s="701" t="s">
        <v>14</v>
      </c>
      <c r="U12" s="702">
        <f t="shared" si="1"/>
        <v>100</v>
      </c>
      <c r="V12" s="701" t="s">
        <v>14</v>
      </c>
      <c r="W12" s="702">
        <f t="shared" si="2"/>
        <v>100</v>
      </c>
      <c r="X12" s="703"/>
      <c r="Y12" s="3695"/>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65"/>
      <c r="Q13" s="1342">
        <f t="shared" si="6"/>
        <v>111</v>
      </c>
      <c r="R13" s="701" t="s">
        <v>14</v>
      </c>
      <c r="S13" s="702">
        <f t="shared" si="0"/>
        <v>100</v>
      </c>
      <c r="T13" s="701" t="s">
        <v>14</v>
      </c>
      <c r="U13" s="702">
        <f t="shared" si="1"/>
        <v>100</v>
      </c>
      <c r="V13" s="701" t="s">
        <v>14</v>
      </c>
      <c r="W13" s="702">
        <f t="shared" si="2"/>
        <v>100</v>
      </c>
      <c r="X13" s="703"/>
      <c r="Y13" s="3695"/>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65"/>
      <c r="Q14" s="1342">
        <f t="shared" si="6"/>
        <v>111</v>
      </c>
      <c r="R14" s="701" t="s">
        <v>14</v>
      </c>
      <c r="S14" s="702">
        <f t="shared" si="0"/>
        <v>100</v>
      </c>
      <c r="T14" s="701" t="s">
        <v>14</v>
      </c>
      <c r="U14" s="702">
        <f t="shared" si="1"/>
        <v>100</v>
      </c>
      <c r="V14" s="701" t="s">
        <v>14</v>
      </c>
      <c r="W14" s="702">
        <f t="shared" si="2"/>
        <v>100</v>
      </c>
      <c r="X14" s="703"/>
      <c r="Y14" s="3695"/>
      <c r="Z14" s="52">
        <f t="shared" si="7"/>
        <v>111</v>
      </c>
      <c r="AA14" s="704">
        <f>D14/F14</f>
        <v>1</v>
      </c>
      <c r="AB14" s="704">
        <f>D14/H14</f>
        <v>1</v>
      </c>
      <c r="AC14" s="704">
        <f>D14/J14</f>
        <v>1</v>
      </c>
    </row>
    <row r="15" spans="1:30" ht="15" hidden="1">
      <c r="A15" s="391" t="s">
        <v>1690</v>
      </c>
      <c r="B15" s="61" t="s">
        <v>1257</v>
      </c>
      <c r="C15" s="1895"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58" t="s">
        <v>1691</v>
      </c>
      <c r="Q15" s="1351" t="str">
        <f t="shared" si="6"/>
        <v>居住社区成熟度</v>
      </c>
      <c r="R15" s="705" t="s">
        <v>14</v>
      </c>
      <c r="S15" s="706">
        <f t="shared" si="0"/>
        <v>100</v>
      </c>
      <c r="T15" s="705" t="s">
        <v>14</v>
      </c>
      <c r="U15" s="706">
        <f t="shared" si="1"/>
        <v>100</v>
      </c>
      <c r="V15" s="705" t="s">
        <v>14</v>
      </c>
      <c r="W15" s="706">
        <f t="shared" si="2"/>
        <v>100</v>
      </c>
      <c r="X15" s="1354"/>
      <c r="Y15" s="3758"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8"/>
      <c r="M16" s="2712"/>
      <c r="N16" s="2712"/>
      <c r="O16" s="2770"/>
      <c r="P16" s="3759"/>
      <c r="Q16" s="1351"/>
      <c r="R16" s="705"/>
      <c r="S16" s="706"/>
      <c r="T16" s="705"/>
      <c r="U16" s="706"/>
      <c r="V16" s="705"/>
      <c r="W16" s="706"/>
      <c r="X16" s="1354"/>
      <c r="Y16" s="3759"/>
      <c r="Z16" s="1355"/>
      <c r="AA16" s="1352">
        <v>1</v>
      </c>
      <c r="AB16" s="1352">
        <v>1</v>
      </c>
      <c r="AC16" s="1352">
        <v>1</v>
      </c>
    </row>
    <row r="17" spans="1:29" ht="15" hidden="1">
      <c r="A17" s="379"/>
      <c r="B17" s="402" t="s">
        <v>1777</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59"/>
      <c r="Q17" s="1351" t="str">
        <f>B17</f>
        <v>商业繁华度</v>
      </c>
      <c r="R17" s="705" t="s">
        <v>14</v>
      </c>
      <c r="S17" s="706">
        <f>F17</f>
        <v>100</v>
      </c>
      <c r="T17" s="705" t="s">
        <v>14</v>
      </c>
      <c r="U17" s="706">
        <f>H17</f>
        <v>100</v>
      </c>
      <c r="V17" s="705" t="s">
        <v>14</v>
      </c>
      <c r="W17" s="706">
        <f>J17</f>
        <v>100</v>
      </c>
      <c r="X17" s="1354"/>
      <c r="Y17" s="3759"/>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8"/>
      <c r="M18" s="2712"/>
      <c r="N18" s="2712"/>
      <c r="O18" s="2770"/>
      <c r="P18" s="3759"/>
      <c r="Q18" s="1351"/>
      <c r="R18" s="705"/>
      <c r="S18" s="706"/>
      <c r="T18" s="705"/>
      <c r="U18" s="706"/>
      <c r="V18" s="705"/>
      <c r="W18" s="706"/>
      <c r="X18" s="1354"/>
      <c r="Y18" s="3759"/>
      <c r="Z18" s="1355"/>
      <c r="AA18" s="1352">
        <v>1</v>
      </c>
      <c r="AB18" s="1352">
        <v>1</v>
      </c>
      <c r="AC18" s="1352">
        <v>1</v>
      </c>
    </row>
    <row r="19" spans="1:29" ht="15">
      <c r="A19" s="379"/>
      <c r="B19" s="402" t="s">
        <v>1811</v>
      </c>
      <c r="C19" s="1954" t="str">
        <f>估价对象房地状况!C17</f>
        <v>一般</v>
      </c>
      <c r="D19" s="406">
        <v>100</v>
      </c>
      <c r="E19" s="408" t="s">
        <v>3406</v>
      </c>
      <c r="F19" s="406">
        <f>SUMIF(91:91,E20,92:92)-SUMIF(91:91,C20,92:92)+100</f>
        <v>100</v>
      </c>
      <c r="G19" s="408"/>
      <c r="H19" s="401">
        <f>SUMIF(91:91,G20,92:92)-SUMIF(91:91,C20,92:92)+100</f>
        <v>102</v>
      </c>
      <c r="I19" s="408"/>
      <c r="J19" s="401">
        <f>SUMIF(91:91,I20,92:92)-SUMIF(91:91,C20,92:92)+100</f>
        <v>102</v>
      </c>
      <c r="K19" s="621">
        <v>2</v>
      </c>
      <c r="L19" s="2718"/>
      <c r="M19" s="2712"/>
      <c r="N19" s="2712"/>
      <c r="O19" s="2770"/>
      <c r="P19" s="3759"/>
      <c r="Q19" s="1351" t="str">
        <f>B19</f>
        <v>办公集聚程度</v>
      </c>
      <c r="R19" s="705" t="s">
        <v>14</v>
      </c>
      <c r="S19" s="706">
        <f>F19</f>
        <v>100</v>
      </c>
      <c r="T19" s="705" t="s">
        <v>14</v>
      </c>
      <c r="U19" s="706">
        <f>H19</f>
        <v>102</v>
      </c>
      <c r="V19" s="705" t="s">
        <v>14</v>
      </c>
      <c r="W19" s="706">
        <f>J19</f>
        <v>102</v>
      </c>
      <c r="X19" s="1354"/>
      <c r="Y19" s="3759"/>
      <c r="Z19" s="1355" t="str">
        <f>Q19</f>
        <v>办公集聚程度</v>
      </c>
      <c r="AA19" s="1352">
        <f t="shared" si="3"/>
        <v>1</v>
      </c>
      <c r="AB19" s="1352">
        <f t="shared" si="4"/>
        <v>0.98039215686274506</v>
      </c>
      <c r="AC19" s="1352">
        <f t="shared" si="5"/>
        <v>0.98039215686274506</v>
      </c>
    </row>
    <row r="20" spans="1:29" ht="15">
      <c r="A20" s="379"/>
      <c r="B20" s="407"/>
      <c r="C20" s="398" t="s">
        <v>3406</v>
      </c>
      <c r="D20" s="399"/>
      <c r="E20" s="1897" t="s">
        <v>3406</v>
      </c>
      <c r="F20" s="399"/>
      <c r="G20" s="1897" t="s">
        <v>3413</v>
      </c>
      <c r="H20" s="399"/>
      <c r="I20" s="1897" t="s">
        <v>3413</v>
      </c>
      <c r="J20" s="399"/>
      <c r="K20" s="620"/>
      <c r="L20" s="2718"/>
      <c r="M20" s="2712"/>
      <c r="N20" s="2712"/>
      <c r="O20" s="2770"/>
      <c r="P20" s="3759"/>
      <c r="Q20" s="1351"/>
      <c r="R20" s="705"/>
      <c r="S20" s="706"/>
      <c r="T20" s="705"/>
      <c r="U20" s="706"/>
      <c r="V20" s="705"/>
      <c r="W20" s="706"/>
      <c r="X20" s="1354"/>
      <c r="Y20" s="3759"/>
      <c r="Z20" s="1355"/>
      <c r="AA20" s="1352">
        <v>1</v>
      </c>
      <c r="AB20" s="1352">
        <v>1</v>
      </c>
      <c r="AC20" s="1352">
        <v>1</v>
      </c>
    </row>
    <row r="21" spans="1:29" ht="15">
      <c r="A21" s="379"/>
      <c r="B21" s="402" t="s">
        <v>1833</v>
      </c>
      <c r="C21" s="1899" t="str">
        <f>估价对象房地状况!C18</f>
        <v>一般</v>
      </c>
      <c r="D21" s="401">
        <v>100</v>
      </c>
      <c r="E21" s="403" t="s">
        <v>3406</v>
      </c>
      <c r="F21" s="406">
        <f>SUMIF(93:93,E22,94:94)-SUMIF(93:93,C22,94:94)+100</f>
        <v>100</v>
      </c>
      <c r="G21" s="403"/>
      <c r="H21" s="401">
        <f>SUMIF(93:93,G22,94:94)-SUMIF(93:93,C22,94:94)+100</f>
        <v>102</v>
      </c>
      <c r="I21" s="403"/>
      <c r="J21" s="401">
        <f>SUMIF(93:93,I22,94:94)-SUMIF(93:93,C22,94:94)+100</f>
        <v>102</v>
      </c>
      <c r="K21" s="621">
        <v>2</v>
      </c>
      <c r="L21" s="2718"/>
      <c r="M21" s="2712"/>
      <c r="N21" s="2712"/>
      <c r="O21" s="2770"/>
      <c r="P21" s="3759"/>
      <c r="Q21" s="1351" t="str">
        <f>B21</f>
        <v>交通便捷度</v>
      </c>
      <c r="R21" s="705" t="s">
        <v>14</v>
      </c>
      <c r="S21" s="706">
        <f>F21</f>
        <v>100</v>
      </c>
      <c r="T21" s="705" t="s">
        <v>14</v>
      </c>
      <c r="U21" s="706">
        <f>H21</f>
        <v>102</v>
      </c>
      <c r="V21" s="705" t="s">
        <v>14</v>
      </c>
      <c r="W21" s="706">
        <f>J21</f>
        <v>102</v>
      </c>
      <c r="X21" s="1354"/>
      <c r="Y21" s="3759"/>
      <c r="Z21" s="1355" t="str">
        <f>Q21</f>
        <v>交通便捷度</v>
      </c>
      <c r="AA21" s="1352">
        <f t="shared" si="3"/>
        <v>1</v>
      </c>
      <c r="AB21" s="1352">
        <f t="shared" si="4"/>
        <v>0.98039215686274506</v>
      </c>
      <c r="AC21" s="1352">
        <f t="shared" si="5"/>
        <v>0.98039215686274506</v>
      </c>
    </row>
    <row r="22" spans="1:29" ht="15">
      <c r="A22" s="379"/>
      <c r="B22" s="1131"/>
      <c r="C22" s="398" t="s">
        <v>3406</v>
      </c>
      <c r="D22" s="401"/>
      <c r="E22" s="1897" t="s">
        <v>3406</v>
      </c>
      <c r="F22" s="399"/>
      <c r="G22" s="1897" t="s">
        <v>3413</v>
      </c>
      <c r="H22" s="399"/>
      <c r="I22" s="1897" t="s">
        <v>3413</v>
      </c>
      <c r="J22" s="399"/>
      <c r="K22" s="620"/>
      <c r="L22" s="2718"/>
      <c r="M22" s="2712"/>
      <c r="N22" s="2712"/>
      <c r="O22" s="2770"/>
      <c r="P22" s="3759"/>
      <c r="Q22" s="1351"/>
      <c r="R22" s="705"/>
      <c r="S22" s="706"/>
      <c r="T22" s="705"/>
      <c r="U22" s="706"/>
      <c r="V22" s="705"/>
      <c r="W22" s="706"/>
      <c r="X22" s="1354"/>
      <c r="Y22" s="3759"/>
      <c r="Z22" s="1355"/>
      <c r="AA22" s="1352">
        <v>1</v>
      </c>
      <c r="AB22" s="1352">
        <v>1</v>
      </c>
      <c r="AC22" s="1352">
        <v>1</v>
      </c>
    </row>
    <row r="23" spans="1:29" ht="15">
      <c r="A23" s="358"/>
      <c r="B23" s="402" t="s">
        <v>1871</v>
      </c>
      <c r="C23" s="1136">
        <f>估价对象房地状况!C19</f>
        <v>0</v>
      </c>
      <c r="D23" s="406">
        <v>100</v>
      </c>
      <c r="E23" s="403">
        <v>0</v>
      </c>
      <c r="F23" s="406">
        <f>SUMIF(95:95,E24,96:96)-SUMIF(95:95,C24,96:96)+100</f>
        <v>100</v>
      </c>
      <c r="G23" s="405"/>
      <c r="H23" s="406">
        <f>SUMIF(95:95,G24,96:96)-SUMIF(95:95,C24,96:96)+100</f>
        <v>100</v>
      </c>
      <c r="I23" s="405"/>
      <c r="J23" s="406">
        <f>SUMIF(95:95,I24,96:96)-SUMIF(95:95,C24,96:96)+100</f>
        <v>100</v>
      </c>
      <c r="K23" s="621">
        <v>2</v>
      </c>
      <c r="L23" s="2718"/>
      <c r="M23" s="2712"/>
      <c r="N23" s="2712"/>
      <c r="O23" s="2770"/>
      <c r="P23" s="3759"/>
      <c r="Q23" s="1351" t="str">
        <f t="shared" ref="Q23:Q37" si="8">B23</f>
        <v>区域土地利用方向</v>
      </c>
      <c r="R23" s="705" t="s">
        <v>14</v>
      </c>
      <c r="S23" s="706">
        <f>F23</f>
        <v>100</v>
      </c>
      <c r="T23" s="705" t="s">
        <v>14</v>
      </c>
      <c r="U23" s="706">
        <f>H23</f>
        <v>100</v>
      </c>
      <c r="V23" s="705" t="s">
        <v>14</v>
      </c>
      <c r="W23" s="706">
        <f>J23</f>
        <v>100</v>
      </c>
      <c r="X23" s="1354"/>
      <c r="Y23" s="3759"/>
      <c r="Z23" s="1355" t="str">
        <f>Q23</f>
        <v>区域土地利用方向</v>
      </c>
      <c r="AA23" s="1352">
        <f t="shared" si="3"/>
        <v>1</v>
      </c>
      <c r="AB23" s="1352">
        <f t="shared" si="4"/>
        <v>1</v>
      </c>
      <c r="AC23" s="1352">
        <f t="shared" si="5"/>
        <v>1</v>
      </c>
    </row>
    <row r="24" spans="1:29" ht="15">
      <c r="A24" s="358"/>
      <c r="B24" s="407"/>
      <c r="C24" s="565" t="s">
        <v>3413</v>
      </c>
      <c r="D24" s="399"/>
      <c r="E24" s="1897" t="s">
        <v>3413</v>
      </c>
      <c r="F24" s="399"/>
      <c r="G24" s="1896" t="s">
        <v>3413</v>
      </c>
      <c r="H24" s="399"/>
      <c r="I24" s="1896" t="s">
        <v>3413</v>
      </c>
      <c r="J24" s="399"/>
      <c r="K24" s="740"/>
      <c r="L24" s="2718"/>
      <c r="M24" s="2712"/>
      <c r="N24" s="2712"/>
      <c r="O24" s="2770"/>
      <c r="P24" s="3759"/>
      <c r="Q24" s="1351"/>
      <c r="R24" s="705"/>
      <c r="S24" s="706"/>
      <c r="T24" s="705"/>
      <c r="U24" s="706"/>
      <c r="V24" s="705"/>
      <c r="W24" s="706"/>
      <c r="X24" s="1354"/>
      <c r="Y24" s="3759"/>
      <c r="Z24" s="1355"/>
      <c r="AA24" s="1352"/>
      <c r="AB24" s="1352"/>
      <c r="AC24" s="1352"/>
    </row>
    <row r="25" spans="1:29" ht="27">
      <c r="A25" s="358"/>
      <c r="B25" s="1131" t="s">
        <v>1872</v>
      </c>
      <c r="C25" s="1954" t="str">
        <f>估价对象房地状况!C20</f>
        <v>较好</v>
      </c>
      <c r="D25" s="401">
        <v>100</v>
      </c>
      <c r="E25" s="403" t="s">
        <v>3413</v>
      </c>
      <c r="F25" s="401">
        <f>SUMIF(97:97,E26,98:98)-SUMIF(97:97,C26,98:98)+100</f>
        <v>100</v>
      </c>
      <c r="G25" s="403"/>
      <c r="H25" s="401">
        <f>SUMIF(97:97,G26,98:98)-SUMIF(97:97,C26,98:98)+100</f>
        <v>100</v>
      </c>
      <c r="I25" s="403"/>
      <c r="J25" s="401">
        <f>SUMIF(97:97,I26,98:98)-SUMIF(97:97,C26,98:98)+100</f>
        <v>100</v>
      </c>
      <c r="K25" s="621">
        <v>2</v>
      </c>
      <c r="L25" s="2718"/>
      <c r="M25" s="2712"/>
      <c r="N25" s="2712"/>
      <c r="O25" s="2770"/>
      <c r="P25" s="3759"/>
      <c r="Q25" s="1351" t="str">
        <f t="shared" si="8"/>
        <v>自然及人文环境状况</v>
      </c>
      <c r="R25" s="705" t="s">
        <v>14</v>
      </c>
      <c r="S25" s="706">
        <f>F25</f>
        <v>100</v>
      </c>
      <c r="T25" s="705" t="s">
        <v>14</v>
      </c>
      <c r="U25" s="706">
        <f>H25</f>
        <v>100</v>
      </c>
      <c r="V25" s="705" t="s">
        <v>14</v>
      </c>
      <c r="W25" s="706">
        <f>J25</f>
        <v>100</v>
      </c>
      <c r="X25" s="1354"/>
      <c r="Y25" s="3759"/>
      <c r="Z25" s="1355" t="str">
        <f>Q25</f>
        <v>自然及人文环境状况</v>
      </c>
      <c r="AA25" s="1352">
        <f t="shared" si="3"/>
        <v>1</v>
      </c>
      <c r="AB25" s="1352">
        <f t="shared" si="4"/>
        <v>1</v>
      </c>
      <c r="AC25" s="1352">
        <f t="shared" si="5"/>
        <v>1</v>
      </c>
    </row>
    <row r="26" spans="1:29" ht="15">
      <c r="A26" s="358"/>
      <c r="B26" s="407"/>
      <c r="C26" s="398" t="s">
        <v>3413</v>
      </c>
      <c r="D26" s="399"/>
      <c r="E26" s="1903" t="s">
        <v>3413</v>
      </c>
      <c r="F26" s="399"/>
      <c r="G26" s="1903" t="s">
        <v>3413</v>
      </c>
      <c r="H26" s="399"/>
      <c r="I26" s="1903" t="s">
        <v>3413</v>
      </c>
      <c r="J26" s="399"/>
      <c r="K26" s="620"/>
      <c r="L26" s="2718"/>
      <c r="M26" s="2712"/>
      <c r="N26" s="2712"/>
      <c r="O26" s="2770"/>
      <c r="P26" s="3759"/>
      <c r="Q26" s="1351"/>
      <c r="R26" s="705"/>
      <c r="S26" s="706"/>
      <c r="T26" s="705"/>
      <c r="U26" s="706"/>
      <c r="V26" s="705"/>
      <c r="W26" s="706"/>
      <c r="X26" s="1354"/>
      <c r="Y26" s="3759"/>
      <c r="Z26" s="1355"/>
      <c r="AA26" s="1352">
        <v>1</v>
      </c>
      <c r="AB26" s="1352">
        <v>1</v>
      </c>
      <c r="AC26" s="1352">
        <v>1</v>
      </c>
    </row>
    <row r="27" spans="1:29" s="108" customFormat="1" ht="15">
      <c r="A27" s="597"/>
      <c r="B27" s="1131" t="s">
        <v>1778</v>
      </c>
      <c r="C27" s="1899" t="str">
        <f>估价对象房地状况!C21</f>
        <v>一般</v>
      </c>
      <c r="D27" s="401">
        <v>100</v>
      </c>
      <c r="E27" s="403" t="s">
        <v>3406</v>
      </c>
      <c r="F27" s="401">
        <f>SUMIF(99:99,E28,100:100)-SUMIF(99:99,C28,100:100)+100</f>
        <v>100</v>
      </c>
      <c r="G27" s="403"/>
      <c r="H27" s="401">
        <f>SUMIF(99:99,G28,100:100)-SUMIF(99:99,C28,100:100)+100</f>
        <v>102</v>
      </c>
      <c r="I27" s="403"/>
      <c r="J27" s="401">
        <f>SUMIF(99:99,I28,100:100)-SUMIF(99:99,C28,100:100)+100</f>
        <v>102</v>
      </c>
      <c r="K27" s="621">
        <v>2</v>
      </c>
      <c r="L27" s="2713"/>
      <c r="M27" s="2714"/>
      <c r="N27" s="2714"/>
      <c r="O27" s="2768"/>
      <c r="P27" s="3759"/>
      <c r="Q27" s="1342" t="str">
        <f t="shared" si="8"/>
        <v>公共配套设施</v>
      </c>
      <c r="R27" s="701" t="s">
        <v>14</v>
      </c>
      <c r="S27" s="702">
        <f>F27</f>
        <v>100</v>
      </c>
      <c r="T27" s="701" t="s">
        <v>14</v>
      </c>
      <c r="U27" s="702">
        <f>H27</f>
        <v>102</v>
      </c>
      <c r="V27" s="701" t="s">
        <v>14</v>
      </c>
      <c r="W27" s="702">
        <f>J27</f>
        <v>102</v>
      </c>
      <c r="X27" s="703"/>
      <c r="Y27" s="3759"/>
      <c r="Z27" s="52" t="str">
        <f>Q27</f>
        <v>公共配套设施</v>
      </c>
      <c r="AA27" s="1352">
        <f>D27/F27</f>
        <v>1</v>
      </c>
      <c r="AB27" s="1352">
        <f>D27/H27</f>
        <v>0.98039215686274506</v>
      </c>
      <c r="AC27" s="1352">
        <f>D27/J27</f>
        <v>0.98039215686274506</v>
      </c>
    </row>
    <row r="28" spans="1:29" s="108" customFormat="1" ht="15">
      <c r="A28" s="597"/>
      <c r="B28" s="407"/>
      <c r="C28" s="1977" t="s">
        <v>3406</v>
      </c>
      <c r="D28" s="399"/>
      <c r="E28" s="1903" t="s">
        <v>3406</v>
      </c>
      <c r="F28" s="399"/>
      <c r="G28" s="1903" t="s">
        <v>3413</v>
      </c>
      <c r="H28" s="399"/>
      <c r="I28" s="1903" t="s">
        <v>3413</v>
      </c>
      <c r="J28" s="399"/>
      <c r="K28" s="620"/>
      <c r="L28" s="2713"/>
      <c r="M28" s="2714"/>
      <c r="N28" s="2714"/>
      <c r="O28" s="2768"/>
      <c r="P28" s="3759"/>
      <c r="Q28" s="1342"/>
      <c r="R28" s="701"/>
      <c r="S28" s="702"/>
      <c r="T28" s="701"/>
      <c r="U28" s="702"/>
      <c r="V28" s="701"/>
      <c r="W28" s="702"/>
      <c r="X28" s="703"/>
      <c r="Y28" s="3759"/>
      <c r="Z28" s="52"/>
      <c r="AA28" s="1352">
        <v>1</v>
      </c>
      <c r="AB28" s="1352">
        <v>1</v>
      </c>
      <c r="AC28" s="1352">
        <v>1</v>
      </c>
    </row>
    <row r="29" spans="1:29" s="108" customFormat="1" ht="15">
      <c r="A29" s="597"/>
      <c r="B29" s="1131" t="s">
        <v>1779</v>
      </c>
      <c r="C29" s="1899" t="str">
        <f>估价对象房地状况!C22</f>
        <v>七通</v>
      </c>
      <c r="D29" s="401">
        <v>100</v>
      </c>
      <c r="E29" s="403" t="s">
        <v>3595</v>
      </c>
      <c r="F29" s="401">
        <f>SUMIF(101:101,E30,102:102)-SUMIF(101:101,C30,102:102)+100</f>
        <v>100</v>
      </c>
      <c r="G29" s="403"/>
      <c r="H29" s="401">
        <f>SUMIF(101:101,G30,102:102)-SUMIF(101:101,C30,102:102)+100</f>
        <v>100</v>
      </c>
      <c r="I29" s="403"/>
      <c r="J29" s="401">
        <f>SUMIF(101:101,I30,102:102)-SUMIF(101:101,C30,102:102)+100</f>
        <v>100</v>
      </c>
      <c r="K29" s="621">
        <v>1</v>
      </c>
      <c r="L29" s="2713"/>
      <c r="M29" s="2714"/>
      <c r="N29" s="2714"/>
      <c r="O29" s="2768"/>
      <c r="P29" s="3759"/>
      <c r="Q29" s="1342" t="str">
        <f t="shared" ref="Q29" si="9">B29</f>
        <v>基础设施水平</v>
      </c>
      <c r="R29" s="701" t="s">
        <v>14</v>
      </c>
      <c r="S29" s="702">
        <f>F29</f>
        <v>100</v>
      </c>
      <c r="T29" s="701" t="s">
        <v>14</v>
      </c>
      <c r="U29" s="702">
        <f>H29</f>
        <v>100</v>
      </c>
      <c r="V29" s="701" t="s">
        <v>14</v>
      </c>
      <c r="W29" s="702">
        <f>J29</f>
        <v>100</v>
      </c>
      <c r="X29" s="703"/>
      <c r="Y29" s="3759"/>
      <c r="Z29" s="52" t="str">
        <f>Q29</f>
        <v>基础设施水平</v>
      </c>
      <c r="AA29" s="1352">
        <f>D29/F29</f>
        <v>1</v>
      </c>
      <c r="AB29" s="1352">
        <f>D29/H29</f>
        <v>1</v>
      </c>
      <c r="AC29" s="1352">
        <f>D29/J29</f>
        <v>1</v>
      </c>
    </row>
    <row r="30" spans="1:29" s="108" customFormat="1" ht="15.75" thickBot="1">
      <c r="A30" s="597"/>
      <c r="B30" s="407"/>
      <c r="C30" s="1977" t="s">
        <v>3595</v>
      </c>
      <c r="D30" s="399"/>
      <c r="E30" s="1978" t="s">
        <v>3595</v>
      </c>
      <c r="F30" s="399"/>
      <c r="G30" s="1978" t="s">
        <v>3595</v>
      </c>
      <c r="H30" s="399"/>
      <c r="I30" s="1978" t="s">
        <v>3595</v>
      </c>
      <c r="J30" s="399"/>
      <c r="K30" s="620"/>
      <c r="L30" s="2713"/>
      <c r="M30" s="2714"/>
      <c r="N30" s="2714"/>
      <c r="O30" s="2768"/>
      <c r="P30" s="3759"/>
      <c r="Q30" s="1342"/>
      <c r="R30" s="701"/>
      <c r="S30" s="702"/>
      <c r="T30" s="701"/>
      <c r="U30" s="702"/>
      <c r="V30" s="701"/>
      <c r="W30" s="702"/>
      <c r="X30" s="703"/>
      <c r="Y30" s="3759"/>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5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9"/>
      <c r="Z31" s="1355" t="str">
        <f t="shared" ref="Z31:Z45" si="13">Q31</f>
        <v>临街状况</v>
      </c>
      <c r="AA31" s="1352">
        <f t="shared" si="3"/>
        <v>1</v>
      </c>
      <c r="AB31" s="1352">
        <f t="shared" si="4"/>
        <v>1</v>
      </c>
      <c r="AC31" s="1352">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59"/>
      <c r="Q32" s="1351" t="str">
        <f t="shared" si="8"/>
        <v>毗邻道路的类型与等级</v>
      </c>
      <c r="R32" s="705" t="s">
        <v>14</v>
      </c>
      <c r="S32" s="706">
        <f t="shared" si="10"/>
        <v>100</v>
      </c>
      <c r="T32" s="705" t="s">
        <v>14</v>
      </c>
      <c r="U32" s="706">
        <f t="shared" si="11"/>
        <v>100</v>
      </c>
      <c r="V32" s="705" t="s">
        <v>14</v>
      </c>
      <c r="W32" s="706">
        <f t="shared" si="12"/>
        <v>100</v>
      </c>
      <c r="X32" s="1354"/>
      <c r="Y32" s="3759"/>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8"/>
      <c r="M33" s="2712"/>
      <c r="N33" s="2712"/>
      <c r="O33" s="2770"/>
      <c r="P33" s="3759"/>
      <c r="Q33" s="1351"/>
      <c r="R33" s="705"/>
      <c r="S33" s="706"/>
      <c r="T33" s="705"/>
      <c r="U33" s="706"/>
      <c r="V33" s="705"/>
      <c r="W33" s="706"/>
      <c r="X33" s="1354"/>
      <c r="Y33" s="3759"/>
      <c r="Z33" s="1355"/>
      <c r="AA33" s="1352">
        <v>1</v>
      </c>
      <c r="AB33" s="1352">
        <v>1</v>
      </c>
      <c r="AC33" s="1352">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59"/>
      <c r="Q34" s="1351" t="str">
        <f t="shared" si="8"/>
        <v>土地级别</v>
      </c>
      <c r="R34" s="705" t="s">
        <v>14</v>
      </c>
      <c r="S34" s="706">
        <f t="shared" si="10"/>
        <v>100</v>
      </c>
      <c r="T34" s="705" t="s">
        <v>14</v>
      </c>
      <c r="U34" s="706">
        <f t="shared" si="11"/>
        <v>100</v>
      </c>
      <c r="V34" s="705" t="s">
        <v>14</v>
      </c>
      <c r="W34" s="706">
        <f t="shared" si="12"/>
        <v>100</v>
      </c>
      <c r="X34" s="1354"/>
      <c r="Y34" s="3759"/>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59"/>
      <c r="Q35" s="1351">
        <f t="shared" si="8"/>
        <v>111</v>
      </c>
      <c r="R35" s="705" t="s">
        <v>14</v>
      </c>
      <c r="S35" s="706">
        <f t="shared" si="10"/>
        <v>100</v>
      </c>
      <c r="T35" s="705" t="s">
        <v>14</v>
      </c>
      <c r="U35" s="706">
        <f t="shared" si="11"/>
        <v>100</v>
      </c>
      <c r="V35" s="705" t="s">
        <v>14</v>
      </c>
      <c r="W35" s="706">
        <f t="shared" si="12"/>
        <v>100</v>
      </c>
      <c r="X35" s="1354"/>
      <c r="Y35" s="3759"/>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09" t="s">
        <v>1696</v>
      </c>
      <c r="Q36" s="1351">
        <f t="shared" si="8"/>
        <v>111</v>
      </c>
      <c r="R36" s="705" t="s">
        <v>14</v>
      </c>
      <c r="S36" s="706">
        <f t="shared" si="10"/>
        <v>100</v>
      </c>
      <c r="T36" s="705" t="s">
        <v>14</v>
      </c>
      <c r="U36" s="706">
        <f t="shared" si="11"/>
        <v>100</v>
      </c>
      <c r="V36" s="705" t="s">
        <v>14</v>
      </c>
      <c r="W36" s="706">
        <f t="shared" si="12"/>
        <v>100</v>
      </c>
      <c r="X36" s="1354"/>
      <c r="Y36" s="3763" t="s">
        <v>1696</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63"/>
      <c r="Q37" s="1351">
        <f t="shared" si="8"/>
        <v>111</v>
      </c>
      <c r="R37" s="708" t="s">
        <v>14</v>
      </c>
      <c r="S37" s="709">
        <f t="shared" si="10"/>
        <v>100</v>
      </c>
      <c r="T37" s="708" t="s">
        <v>14</v>
      </c>
      <c r="U37" s="709">
        <f t="shared" si="11"/>
        <v>100</v>
      </c>
      <c r="V37" s="708" t="s">
        <v>14</v>
      </c>
      <c r="W37" s="709">
        <f t="shared" si="12"/>
        <v>100</v>
      </c>
      <c r="X37" s="710"/>
      <c r="Y37" s="3763"/>
      <c r="Z37" s="711">
        <f t="shared" si="13"/>
        <v>111</v>
      </c>
      <c r="AA37" s="1352">
        <f t="shared" si="3"/>
        <v>1</v>
      </c>
      <c r="AB37" s="1352">
        <f t="shared" si="4"/>
        <v>1</v>
      </c>
      <c r="AC37" s="1352">
        <f t="shared" si="5"/>
        <v>1</v>
      </c>
    </row>
    <row r="38" spans="1:29" ht="15">
      <c r="A38" s="423" t="s">
        <v>1694</v>
      </c>
      <c r="B38" s="407" t="s">
        <v>1874</v>
      </c>
      <c r="C38" s="627">
        <v>166253.79999999999</v>
      </c>
      <c r="D38" s="418">
        <v>100</v>
      </c>
      <c r="E38" s="627">
        <f>土地案例!I2</f>
        <v>21154.74</v>
      </c>
      <c r="F38" s="418">
        <f>LOOKUP(E38,116:116,117:117)-LOOKUP(C38,116:116,117:117)+100</f>
        <v>96</v>
      </c>
      <c r="G38" s="627">
        <f>土地案例!I3</f>
        <v>15459.22</v>
      </c>
      <c r="H38" s="418">
        <f>LOOKUP(G38,116:116,117:117)-LOOKUP(C38,116:116,117:117)+100</f>
        <v>94</v>
      </c>
      <c r="I38" s="479">
        <f>土地案例!I4</f>
        <v>5500.65</v>
      </c>
      <c r="J38" s="418">
        <f>LOOKUP(I38,116:116,117:117)-LOOKUP(C38,116:116,117:117)+100</f>
        <v>94</v>
      </c>
      <c r="K38" s="562"/>
      <c r="L38" s="2718"/>
      <c r="M38" s="2712"/>
      <c r="N38" s="2712"/>
      <c r="O38" s="2770"/>
      <c r="P38" s="3763"/>
      <c r="Q38" s="1351" t="str">
        <f>B38</f>
        <v>宗地面积</v>
      </c>
      <c r="R38" s="705" t="s">
        <v>14</v>
      </c>
      <c r="S38" s="706">
        <f t="shared" si="10"/>
        <v>96</v>
      </c>
      <c r="T38" s="705" t="s">
        <v>14</v>
      </c>
      <c r="U38" s="706">
        <f t="shared" si="11"/>
        <v>94</v>
      </c>
      <c r="V38" s="705" t="s">
        <v>14</v>
      </c>
      <c r="W38" s="706">
        <f t="shared" si="12"/>
        <v>94</v>
      </c>
      <c r="X38" s="1354"/>
      <c r="Y38" s="3763"/>
      <c r="Z38" s="1355" t="str">
        <f t="shared" si="13"/>
        <v>宗地面积</v>
      </c>
      <c r="AA38" s="1352">
        <f t="shared" si="3"/>
        <v>1.0416666666666667</v>
      </c>
      <c r="AB38" s="1352">
        <f t="shared" si="4"/>
        <v>1.0638297872340425</v>
      </c>
      <c r="AC38" s="1352">
        <f t="shared" si="5"/>
        <v>1.0638297872340425</v>
      </c>
    </row>
    <row r="39" spans="1:29" ht="15">
      <c r="A39" s="423"/>
      <c r="B39" s="375" t="s">
        <v>1875</v>
      </c>
      <c r="C39" s="1905" t="s">
        <v>3597</v>
      </c>
      <c r="D39" s="386">
        <v>100</v>
      </c>
      <c r="E39" s="1905" t="s">
        <v>3597</v>
      </c>
      <c r="F39" s="386">
        <f>SUMIF(118:118,E39,119:119)-SUMIF(118:118,C39,119:119)+100</f>
        <v>100</v>
      </c>
      <c r="G39" s="1905" t="s">
        <v>3597</v>
      </c>
      <c r="H39" s="386">
        <f>SUMIF(118:118,G39,119:119)-SUMIF(118:118,C39,119:119)+100</f>
        <v>100</v>
      </c>
      <c r="I39" s="1905" t="s">
        <v>3597</v>
      </c>
      <c r="J39" s="386">
        <f>SUMIF(118:118,I39,119:119)-SUMIF(118:118,C39,119:119)+100</f>
        <v>100</v>
      </c>
      <c r="K39" s="561">
        <v>2</v>
      </c>
      <c r="L39" s="2718"/>
      <c r="M39" s="2712"/>
      <c r="N39" s="2712"/>
      <c r="O39" s="2770"/>
      <c r="P39" s="3763"/>
      <c r="Q39" s="1351" t="str">
        <f t="shared" ref="Q39:Q45" si="14">B39</f>
        <v>宗地形状</v>
      </c>
      <c r="R39" s="705" t="s">
        <v>14</v>
      </c>
      <c r="S39" s="706">
        <f t="shared" si="10"/>
        <v>100</v>
      </c>
      <c r="T39" s="705" t="s">
        <v>14</v>
      </c>
      <c r="U39" s="706">
        <f t="shared" si="11"/>
        <v>100</v>
      </c>
      <c r="V39" s="705" t="s">
        <v>14</v>
      </c>
      <c r="W39" s="706">
        <f t="shared" si="12"/>
        <v>100</v>
      </c>
      <c r="X39" s="1354"/>
      <c r="Y39" s="3763"/>
      <c r="Z39" s="1355" t="str">
        <f t="shared" si="13"/>
        <v>宗地形状</v>
      </c>
      <c r="AA39" s="1352">
        <f t="shared" si="3"/>
        <v>1</v>
      </c>
      <c r="AB39" s="1352">
        <f t="shared" si="4"/>
        <v>1</v>
      </c>
      <c r="AC39" s="1352">
        <f t="shared" si="5"/>
        <v>1</v>
      </c>
    </row>
    <row r="40" spans="1:29" ht="15">
      <c r="A40" s="423"/>
      <c r="B40" s="375" t="s">
        <v>1876</v>
      </c>
      <c r="C40" s="1905" t="s">
        <v>3602</v>
      </c>
      <c r="D40" s="386">
        <v>100</v>
      </c>
      <c r="E40" s="1905" t="s">
        <v>3602</v>
      </c>
      <c r="F40" s="386">
        <f>SUMIF(120:120,E40,121:121)-SUMIF(120:120,C40,121:121)+100</f>
        <v>100</v>
      </c>
      <c r="G40" s="1905" t="s">
        <v>3602</v>
      </c>
      <c r="H40" s="386">
        <f>SUMIF(120:120,G40,121:121)-SUMIF(120:120,C40,121:121)+100</f>
        <v>100</v>
      </c>
      <c r="I40" s="1905" t="s">
        <v>3602</v>
      </c>
      <c r="J40" s="386">
        <f>SUMIF(120:120,I40,121:121)-SUMIF(120:120,C40,121:121)+100</f>
        <v>100</v>
      </c>
      <c r="K40" s="561">
        <v>2</v>
      </c>
      <c r="L40" s="2718"/>
      <c r="M40" s="2712"/>
      <c r="N40" s="2712"/>
      <c r="O40" s="2770"/>
      <c r="P40" s="3763"/>
      <c r="Q40" s="1351" t="str">
        <f t="shared" si="14"/>
        <v>临街宽度及深度</v>
      </c>
      <c r="R40" s="705" t="s">
        <v>14</v>
      </c>
      <c r="S40" s="706">
        <f t="shared" si="10"/>
        <v>100</v>
      </c>
      <c r="T40" s="705" t="s">
        <v>14</v>
      </c>
      <c r="U40" s="706">
        <f t="shared" si="11"/>
        <v>100</v>
      </c>
      <c r="V40" s="705" t="s">
        <v>14</v>
      </c>
      <c r="W40" s="706">
        <f t="shared" si="12"/>
        <v>100</v>
      </c>
      <c r="X40" s="1354"/>
      <c r="Y40" s="3763"/>
      <c r="Z40" s="1355" t="str">
        <f t="shared" si="13"/>
        <v>临街宽度及深度</v>
      </c>
      <c r="AA40" s="1352">
        <f t="shared" si="3"/>
        <v>1</v>
      </c>
      <c r="AB40" s="1352">
        <f t="shared" si="4"/>
        <v>1</v>
      </c>
      <c r="AC40" s="1352">
        <f t="shared" si="5"/>
        <v>1</v>
      </c>
    </row>
    <row r="41" spans="1:29" s="108" customFormat="1" ht="15">
      <c r="A41" s="424"/>
      <c r="B41" s="375" t="s">
        <v>1877</v>
      </c>
      <c r="C41" s="1979" t="s">
        <v>3606</v>
      </c>
      <c r="D41" s="127">
        <v>100</v>
      </c>
      <c r="E41" s="1979" t="s">
        <v>3607</v>
      </c>
      <c r="F41" s="386">
        <f>SUMIF(122:122,E41,123:123)-SUMIF(122:122,C41,123:123)+100</f>
        <v>99</v>
      </c>
      <c r="G41" s="1979" t="s">
        <v>3607</v>
      </c>
      <c r="H41" s="386">
        <f>SUMIF(122:122,G41,123:123)-SUMIF(122:122,C41,123:123)+100</f>
        <v>99</v>
      </c>
      <c r="I41" s="1979" t="s">
        <v>3608</v>
      </c>
      <c r="J41" s="386">
        <f>SUMIF(122:122,I41,123:123)-SUMIF(122:122,C41,123:123)+100</f>
        <v>97</v>
      </c>
      <c r="K41" s="561">
        <v>1</v>
      </c>
      <c r="L41" s="2713"/>
      <c r="M41" s="2714"/>
      <c r="N41" s="2714"/>
      <c r="O41" s="2768"/>
      <c r="P41" s="3763"/>
      <c r="Q41" s="1351" t="str">
        <f t="shared" si="14"/>
        <v>宗地开发程度</v>
      </c>
      <c r="R41" s="701" t="s">
        <v>14</v>
      </c>
      <c r="S41" s="702">
        <f t="shared" si="10"/>
        <v>99</v>
      </c>
      <c r="T41" s="701" t="s">
        <v>14</v>
      </c>
      <c r="U41" s="702">
        <f t="shared" si="11"/>
        <v>99</v>
      </c>
      <c r="V41" s="701" t="s">
        <v>14</v>
      </c>
      <c r="W41" s="702">
        <f t="shared" si="12"/>
        <v>97</v>
      </c>
      <c r="X41" s="703"/>
      <c r="Y41" s="3763"/>
      <c r="Z41" s="52" t="str">
        <f t="shared" si="13"/>
        <v>宗地开发程度</v>
      </c>
      <c r="AA41" s="704">
        <f t="shared" si="3"/>
        <v>1.0101010101010102</v>
      </c>
      <c r="AB41" s="704">
        <f t="shared" si="4"/>
        <v>1.0101010101010102</v>
      </c>
      <c r="AC41" s="704">
        <f t="shared" si="5"/>
        <v>1.0309278350515463</v>
      </c>
    </row>
    <row r="42" spans="1:29" ht="15.75" thickBot="1">
      <c r="A42" s="423"/>
      <c r="B42" s="375" t="s">
        <v>1878</v>
      </c>
      <c r="C42" s="1905" t="s">
        <v>3413</v>
      </c>
      <c r="D42" s="386">
        <v>100</v>
      </c>
      <c r="E42" s="1905" t="s">
        <v>3413</v>
      </c>
      <c r="F42" s="386">
        <f>SUMIF(124:124,E42,125:125)-SUMIF(124:124,C42,125:125)+100</f>
        <v>100</v>
      </c>
      <c r="G42" s="1905" t="s">
        <v>3413</v>
      </c>
      <c r="H42" s="386">
        <f>SUMIF(124:124,G42,125:125)-SUMIF(124:124,C42,125:125)+100</f>
        <v>100</v>
      </c>
      <c r="I42" s="1905" t="s">
        <v>3413</v>
      </c>
      <c r="J42" s="386">
        <f>SUMIF(124:124,I42,125:125)-SUMIF(124:124,C42,125:125)+100</f>
        <v>100</v>
      </c>
      <c r="K42" s="561">
        <v>2</v>
      </c>
      <c r="L42" s="2718"/>
      <c r="M42" s="2712"/>
      <c r="N42" s="2712"/>
      <c r="O42" s="2770"/>
      <c r="P42" s="3763" t="s">
        <v>1696</v>
      </c>
      <c r="Q42" s="1351" t="str">
        <f t="shared" si="14"/>
        <v>工程地质条件</v>
      </c>
      <c r="R42" s="705" t="s">
        <v>14</v>
      </c>
      <c r="S42" s="706">
        <f t="shared" si="10"/>
        <v>100</v>
      </c>
      <c r="T42" s="705" t="s">
        <v>14</v>
      </c>
      <c r="U42" s="706">
        <f t="shared" si="11"/>
        <v>100</v>
      </c>
      <c r="V42" s="705" t="s">
        <v>14</v>
      </c>
      <c r="W42" s="706">
        <f t="shared" si="12"/>
        <v>100</v>
      </c>
      <c r="X42" s="1354"/>
      <c r="Y42" s="3763" t="s">
        <v>1696</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63"/>
      <c r="Q43" s="1351">
        <f t="shared" si="14"/>
        <v>111</v>
      </c>
      <c r="R43" s="705" t="s">
        <v>14</v>
      </c>
      <c r="S43" s="706">
        <f t="shared" si="10"/>
        <v>100</v>
      </c>
      <c r="T43" s="705" t="s">
        <v>14</v>
      </c>
      <c r="U43" s="706">
        <f t="shared" si="11"/>
        <v>100</v>
      </c>
      <c r="V43" s="705" t="s">
        <v>14</v>
      </c>
      <c r="W43" s="706">
        <f t="shared" si="12"/>
        <v>100</v>
      </c>
      <c r="X43" s="1354"/>
      <c r="Y43" s="3763"/>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63"/>
      <c r="Q44" s="1351">
        <f t="shared" si="14"/>
        <v>111</v>
      </c>
      <c r="R44" s="705" t="s">
        <v>14</v>
      </c>
      <c r="S44" s="706">
        <f t="shared" si="10"/>
        <v>100</v>
      </c>
      <c r="T44" s="705" t="s">
        <v>14</v>
      </c>
      <c r="U44" s="706">
        <f t="shared" si="11"/>
        <v>100</v>
      </c>
      <c r="V44" s="705" t="s">
        <v>14</v>
      </c>
      <c r="W44" s="706">
        <f t="shared" si="12"/>
        <v>100</v>
      </c>
      <c r="X44" s="1354"/>
      <c r="Y44" s="3763"/>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63"/>
      <c r="Q45" s="1351">
        <f t="shared" si="14"/>
        <v>111</v>
      </c>
      <c r="R45" s="708" t="s">
        <v>14</v>
      </c>
      <c r="S45" s="709">
        <f t="shared" si="10"/>
        <v>100</v>
      </c>
      <c r="T45" s="708" t="s">
        <v>14</v>
      </c>
      <c r="U45" s="709">
        <f t="shared" si="11"/>
        <v>100</v>
      </c>
      <c r="V45" s="708" t="s">
        <v>14</v>
      </c>
      <c r="W45" s="709">
        <f t="shared" si="12"/>
        <v>100</v>
      </c>
      <c r="X45" s="710"/>
      <c r="Y45" s="3763"/>
      <c r="Z45" s="711">
        <f t="shared" si="13"/>
        <v>111</v>
      </c>
      <c r="AA45" s="1352">
        <f t="shared" si="3"/>
        <v>1</v>
      </c>
      <c r="AB45" s="1352">
        <f t="shared" si="4"/>
        <v>1</v>
      </c>
      <c r="AC45" s="1352">
        <f t="shared" si="5"/>
        <v>1</v>
      </c>
    </row>
    <row r="46" spans="1:29" ht="15">
      <c r="A46" s="430" t="s">
        <v>1844</v>
      </c>
      <c r="B46" s="1981" t="s">
        <v>1879</v>
      </c>
      <c r="C46" s="630" t="s">
        <v>0</v>
      </c>
      <c r="D46" s="432"/>
      <c r="E46" s="433">
        <f>土地案例!AW2</f>
        <v>9328</v>
      </c>
      <c r="F46" s="434"/>
      <c r="G46" s="435">
        <f>土地案例!AW3</f>
        <v>10095</v>
      </c>
      <c r="H46" s="436"/>
      <c r="I46" s="433">
        <f>土地案例!AW4</f>
        <v>11038</v>
      </c>
      <c r="J46" s="436"/>
      <c r="K46" s="714"/>
      <c r="L46" s="2720"/>
      <c r="M46" s="2721"/>
      <c r="N46" s="2712"/>
      <c r="O46" s="2721"/>
      <c r="P46" s="3765" t="str">
        <f>A46</f>
        <v>成交单价</v>
      </c>
      <c r="Q46" s="3765"/>
      <c r="R46" s="3753">
        <f>E46</f>
        <v>9328</v>
      </c>
      <c r="S46" s="3753"/>
      <c r="T46" s="3753">
        <f>G46</f>
        <v>10095</v>
      </c>
      <c r="U46" s="3753"/>
      <c r="V46" s="3753">
        <f>I46</f>
        <v>11038</v>
      </c>
      <c r="W46" s="3753"/>
      <c r="X46" s="690"/>
      <c r="Y46" s="712"/>
      <c r="Z46" s="690"/>
      <c r="AA46" s="690"/>
      <c r="AB46" s="690"/>
      <c r="AC46" s="690"/>
    </row>
    <row r="47" spans="1:29" ht="15.75" thickBot="1">
      <c r="A47" s="437" t="s">
        <v>1793</v>
      </c>
      <c r="B47" s="631"/>
      <c r="C47" s="440">
        <f>R48</f>
        <v>8884</v>
      </c>
      <c r="D47" s="2316" t="s">
        <v>2138</v>
      </c>
      <c r="E47" s="440">
        <f>R47</f>
        <v>8025</v>
      </c>
      <c r="F47" s="2317"/>
      <c r="G47" s="439">
        <f>T47</f>
        <v>9114</v>
      </c>
      <c r="H47" s="2317"/>
      <c r="I47" s="440">
        <f>V47</f>
        <v>9514</v>
      </c>
      <c r="J47" s="2317"/>
      <c r="K47" s="2319">
        <f>F47+H47+J47</f>
        <v>0</v>
      </c>
      <c r="L47" s="2720"/>
      <c r="M47" s="2721"/>
      <c r="N47" s="2721"/>
      <c r="O47" s="2721"/>
      <c r="P47" s="3765" t="str">
        <f>A47</f>
        <v>比较价值（元/平方米）</v>
      </c>
      <c r="Q47" s="3765"/>
      <c r="R47" s="3812">
        <f>ROUND(PRODUCT(R46,AA7:AA45),0)</f>
        <v>8025</v>
      </c>
      <c r="S47" s="3812"/>
      <c r="T47" s="3812">
        <f>ROUND(PRODUCT(T46,AB7:AB45),0)</f>
        <v>9114</v>
      </c>
      <c r="U47" s="3812"/>
      <c r="V47" s="3812">
        <f>ROUND(PRODUCT(V46,AC7:AC45),0)</f>
        <v>9514</v>
      </c>
      <c r="W47" s="3812"/>
      <c r="X47" s="690"/>
      <c r="Y47" s="690"/>
      <c r="Z47" s="690"/>
      <c r="AA47" s="690"/>
      <c r="AB47" s="690"/>
      <c r="AC47" s="690"/>
    </row>
    <row r="48" spans="1:29" ht="15.75" thickBot="1">
      <c r="A48" s="441" t="s">
        <v>1880</v>
      </c>
      <c r="B48" s="442"/>
      <c r="C48" s="443">
        <f>R48</f>
        <v>8884</v>
      </c>
      <c r="D48" s="443"/>
      <c r="E48" s="443"/>
      <c r="F48" s="443"/>
      <c r="G48" s="443"/>
      <c r="H48" s="443"/>
      <c r="I48" s="443"/>
      <c r="J48" s="443"/>
      <c r="K48" s="715"/>
      <c r="L48" s="2720"/>
      <c r="M48" s="2721"/>
      <c r="N48" s="2721"/>
      <c r="O48" s="2721"/>
      <c r="P48" s="3806" t="str">
        <f>A48</f>
        <v>估价对象XX用房的比较价值（楼面单价，元/平方米）</v>
      </c>
      <c r="Q48" s="3807"/>
      <c r="R48" s="3811">
        <f>ROUND(IF(D47="简单平均",AVERAGE(R47:W47),R47*F47+T47*H47+V47*J47),0)</f>
        <v>8884</v>
      </c>
      <c r="S48" s="3811"/>
      <c r="T48" s="3811"/>
      <c r="U48" s="3811"/>
      <c r="V48" s="3811"/>
      <c r="W48" s="3811"/>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0.16236760124610594</v>
      </c>
      <c r="F51" s="449" t="str">
        <f>IF(OR(E51&gt;=0.3,E51&lt;=-0.3),"超过30%","")</f>
        <v/>
      </c>
      <c r="G51" s="448">
        <f>IF(G46&lt;G47,G47/G46-1,G46/G47-1)</f>
        <v>0.10763660302830802</v>
      </c>
      <c r="H51" s="449" t="str">
        <f>IF(OR(G51&gt;=0.3,G51&lt;=-0.3),"超过30%","")</f>
        <v/>
      </c>
      <c r="I51" s="448">
        <f>IF(I46&lt;I47,I47/I46-1,I46/I47-1)</f>
        <v>0.16018499054025637</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0.13570093457943933</v>
      </c>
      <c r="F52" s="449" t="str">
        <f>IF(OR(E52&gt;=0.2,E52&lt;=-0.2),"超过20%","")</f>
        <v/>
      </c>
      <c r="G52" s="448">
        <f>IF(G47&lt;I47,I47/G47-1,G47/I47-1)</f>
        <v>4.3888523151196068E-2</v>
      </c>
      <c r="H52" s="449" t="str">
        <f>IF(OR(G52&gt;=0.2,G52&lt;=-0.2),"超过20%","")</f>
        <v/>
      </c>
      <c r="I52" s="448">
        <f>IF(I47&lt;E47,E47/I47-1,I47/E47-1)</f>
        <v>0.18554517133956394</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8.2225557461406584E-2</v>
      </c>
      <c r="F53" s="449" t="str">
        <f>IF(OR(E53&gt;=0.3,E53&lt;=-0.3),"超过30%","")</f>
        <v/>
      </c>
      <c r="G53" s="448">
        <f>IF(G46&lt;I46,I46/G46-1,G46/I46-1)</f>
        <v>9.3412580485388697E-2</v>
      </c>
      <c r="H53" s="449" t="str">
        <f>IF(OR(G53&gt;=0.3,G53&lt;=-0.3),"超过30%","")</f>
        <v/>
      </c>
      <c r="I53" s="448">
        <f>IF(I46&lt;E46,E46/I46-1,I46/E46-1)</f>
        <v>0.18331903945111483</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2" t="s">
        <v>1883</v>
      </c>
      <c r="D55" s="1983" t="s">
        <v>1884</v>
      </c>
      <c r="E55" s="634" t="s">
        <v>1885</v>
      </c>
      <c r="F55" s="890" t="s">
        <v>1886</v>
      </c>
      <c r="G55" s="3740" t="s">
        <v>1887</v>
      </c>
      <c r="H55" s="3813"/>
      <c r="I55" s="135" t="s">
        <v>1888</v>
      </c>
      <c r="J55" s="1984">
        <f>项目基本情况!F35</f>
        <v>0</v>
      </c>
      <c r="K55" s="1985"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8884</v>
      </c>
      <c r="C56" s="638">
        <v>1</v>
      </c>
      <c r="D56" s="944">
        <v>1</v>
      </c>
      <c r="E56" s="638">
        <f>'数据-汇总表'!E8+'数据-汇总表'!E9</f>
        <v>13579.42</v>
      </c>
      <c r="F56" s="886">
        <f t="shared" ref="F56:F64" si="15">ROUND(B56*E56/10000,0)</f>
        <v>12064</v>
      </c>
      <c r="G56" s="3736"/>
      <c r="H56" s="3765"/>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1333</v>
      </c>
      <c r="C57" s="171">
        <f t="shared" ref="C57:C64" si="16">IF($C$55="北京市系数",I57,J57)</f>
        <v>0.6</v>
      </c>
      <c r="D57" s="945">
        <v>0.25</v>
      </c>
      <c r="E57" s="642"/>
      <c r="F57" s="886">
        <f t="shared" si="15"/>
        <v>0</v>
      </c>
      <c r="G57" s="3002" t="s">
        <v>1892</v>
      </c>
      <c r="H57" s="887" t="str">
        <f>项目基本情况!B37</f>
        <v>七级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666</v>
      </c>
      <c r="C58" s="171">
        <f t="shared" si="16"/>
        <v>0.3</v>
      </c>
      <c r="D58" s="945">
        <v>0.25</v>
      </c>
      <c r="E58" s="642"/>
      <c r="F58" s="886">
        <f t="shared" si="15"/>
        <v>0</v>
      </c>
      <c r="G58" s="3003"/>
      <c r="H58" s="887" t="str">
        <f>项目基本情况!B37</f>
        <v>七级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555</v>
      </c>
      <c r="C59" s="171">
        <f t="shared" si="16"/>
        <v>0.25</v>
      </c>
      <c r="D59" s="945">
        <v>0.25</v>
      </c>
      <c r="E59" s="642"/>
      <c r="F59" s="886">
        <f t="shared" si="15"/>
        <v>0</v>
      </c>
      <c r="G59" s="3003"/>
      <c r="H59" s="887" t="str">
        <f>项目基本情况!B37</f>
        <v>七级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555</v>
      </c>
      <c r="C60" s="171">
        <f t="shared" si="16"/>
        <v>0.25</v>
      </c>
      <c r="D60" s="945">
        <v>0.25</v>
      </c>
      <c r="E60" s="217">
        <f>'数据-汇总表'!E11</f>
        <v>0</v>
      </c>
      <c r="F60" s="886">
        <f t="shared" si="15"/>
        <v>0</v>
      </c>
      <c r="G60" s="1986" t="s">
        <v>1896</v>
      </c>
      <c r="H60" s="887" t="str">
        <f>项目基本情况!C37</f>
        <v>七级</v>
      </c>
      <c r="I60" s="891">
        <f>SUMIF(修正!A57:A68,H60,修正!E57:E68)</f>
        <v>0.25</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555</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333</v>
      </c>
      <c r="C62" s="171">
        <f t="shared" si="16"/>
        <v>0.15</v>
      </c>
      <c r="D62" s="945">
        <v>0.25</v>
      </c>
      <c r="E62" s="217">
        <f>'数据-汇总表'!E13</f>
        <v>2715.88</v>
      </c>
      <c r="F62" s="886">
        <f t="shared" si="15"/>
        <v>90</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333</v>
      </c>
      <c r="C63" s="171">
        <f t="shared" si="16"/>
        <v>0.15</v>
      </c>
      <c r="D63" s="945">
        <v>0.25</v>
      </c>
      <c r="E63" s="217">
        <f>'数据-汇总表'!E14</f>
        <v>0</v>
      </c>
      <c r="F63" s="886">
        <f t="shared" si="15"/>
        <v>0</v>
      </c>
      <c r="G63" s="1986" t="s">
        <v>1892</v>
      </c>
      <c r="H63" s="887" t="str">
        <f>项目基本情况!B37</f>
        <v>七级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333</v>
      </c>
      <c r="C64" s="171">
        <f t="shared" si="16"/>
        <v>0.15</v>
      </c>
      <c r="D64" s="945">
        <v>0.25</v>
      </c>
      <c r="E64" s="217">
        <f>'数据-汇总表'!E15</f>
        <v>0</v>
      </c>
      <c r="F64" s="886">
        <f t="shared" si="15"/>
        <v>0</v>
      </c>
      <c r="G64" s="1987" t="s">
        <v>1896</v>
      </c>
      <c r="H64" s="897" t="str">
        <f>项目基本情况!C37</f>
        <v>七级</v>
      </c>
      <c r="I64" s="893">
        <f>SUMIF(修正!A57:A68,H64,修正!G57:G68)</f>
        <v>0.15</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16295.3</v>
      </c>
      <c r="F65" s="645">
        <f>IF(B46="楼面地价",SUM(F56:F64),ROUND(C48*E65/10000,0))</f>
        <v>12154</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8" t="s">
        <v>1904</v>
      </c>
      <c r="B69" s="1109"/>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544">
        <v>100</v>
      </c>
      <c r="N70" s="544">
        <v>100</v>
      </c>
      <c r="O70" s="544">
        <v>100</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42.75">
      <c r="A74" s="476" t="s">
        <v>1719</v>
      </c>
      <c r="B74" s="477" t="s">
        <v>1685</v>
      </c>
      <c r="C74" s="3456" t="s">
        <v>3592</v>
      </c>
      <c r="D74" s="479" t="str">
        <f>土地案例!P2</f>
        <v xml:space="preserve"> B4综合性商业金融服务用地 </v>
      </c>
      <c r="E74" s="479" t="str">
        <f>土地案例!P3</f>
        <v xml:space="preserve"> F3 其他类多功能用地 </v>
      </c>
      <c r="F74" s="479" t="str">
        <f>土地案例!P4</f>
        <v xml:space="preserve"> B4综合性商业金融服务业用地 </v>
      </c>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110</v>
      </c>
      <c r="E75" s="485">
        <v>105</v>
      </c>
      <c r="F75" s="485">
        <v>110</v>
      </c>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5（含）-6</v>
      </c>
      <c r="I78" s="496" t="str">
        <f t="shared" si="20"/>
        <v>6（含）-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v>6</v>
      </c>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0(含)-20000</v>
      </c>
      <c r="D115" s="478" t="str">
        <f t="shared" ref="D115:M115" si="25">D116&amp;"(含)"&amp;"-"&amp;E116</f>
        <v>20000(含)-50000</v>
      </c>
      <c r="E115" s="478" t="str">
        <f t="shared" si="25"/>
        <v>50000(含)-100000</v>
      </c>
      <c r="F115" s="478" t="str">
        <f t="shared" si="25"/>
        <v>100000(含)-200000</v>
      </c>
      <c r="G115" s="478" t="str">
        <f t="shared" si="25"/>
        <v>200000(含)-500000</v>
      </c>
      <c r="H115" s="478" t="str">
        <f t="shared" si="25"/>
        <v>500000(含)-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20000</v>
      </c>
      <c r="E116" s="544">
        <v>50000</v>
      </c>
      <c r="F116" s="544">
        <v>100000</v>
      </c>
      <c r="G116" s="544">
        <v>200000</v>
      </c>
      <c r="H116" s="544">
        <v>500000</v>
      </c>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f>C117+2</f>
        <v>102</v>
      </c>
      <c r="E117" s="540">
        <f>D117+2</f>
        <v>104</v>
      </c>
      <c r="F117" s="540">
        <f>E117+2</f>
        <v>106</v>
      </c>
      <c r="G117" s="540">
        <f>F117+2</f>
        <v>108</v>
      </c>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3457" t="s">
        <v>3596</v>
      </c>
      <c r="D118" s="3457" t="s">
        <v>3598</v>
      </c>
      <c r="E118" s="3457" t="s">
        <v>3599</v>
      </c>
      <c r="F118" s="3457" t="s">
        <v>3600</v>
      </c>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3458" t="s">
        <v>3601</v>
      </c>
      <c r="D120" s="3458" t="s">
        <v>3603</v>
      </c>
      <c r="E120" s="3458" t="s">
        <v>3604</v>
      </c>
      <c r="F120" s="3457" t="s">
        <v>3605</v>
      </c>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t="str">
        <f>C99</f>
        <v>好</v>
      </c>
      <c r="D124" s="503" t="str">
        <f>D99</f>
        <v>较好</v>
      </c>
      <c r="E124" s="503" t="str">
        <f>E99</f>
        <v>一般</v>
      </c>
      <c r="F124" s="503" t="str">
        <f>F99</f>
        <v>较差</v>
      </c>
      <c r="G124" s="503" t="str">
        <f>G99</f>
        <v>差</v>
      </c>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7"/>
  <sheetViews>
    <sheetView topLeftCell="J1" workbookViewId="0">
      <selection activeCell="BQ16" sqref="BQ16"/>
    </sheetView>
  </sheetViews>
  <sheetFormatPr defaultColWidth="9" defaultRowHeight="14.25"/>
  <cols>
    <col min="1" max="1" width="20" style="3452" customWidth="1"/>
    <col min="2" max="3" width="20" style="3452" hidden="1" customWidth="1"/>
    <col min="4" max="4" width="9.5" style="3452" customWidth="1"/>
    <col min="5" max="5" width="15.125" style="3452" customWidth="1"/>
    <col min="6" max="6" width="24.375" style="3452" customWidth="1"/>
    <col min="7" max="7" width="20" style="3452" hidden="1" customWidth="1"/>
    <col min="8" max="8" width="16.375" style="3452" customWidth="1"/>
    <col min="9" max="9" width="11.375" style="3452" customWidth="1"/>
    <col min="10" max="10" width="11.125" style="3452" customWidth="1"/>
    <col min="11" max="14" width="20" style="3452" hidden="1" customWidth="1"/>
    <col min="15" max="15" width="16.125" style="3452" customWidth="1"/>
    <col min="16" max="16" width="20" style="3452" customWidth="1"/>
    <col min="17" max="17" width="20" style="3452" hidden="1" customWidth="1"/>
    <col min="18" max="18" width="20" style="3452" customWidth="1"/>
    <col min="19" max="19" width="11.125" style="3452" hidden="1" customWidth="1"/>
    <col min="20" max="20" width="7.75" style="3452" customWidth="1"/>
    <col min="21" max="32" width="20" style="3452" hidden="1" customWidth="1"/>
    <col min="33" max="33" width="13.125" style="3452" customWidth="1"/>
    <col min="34" max="42" width="20" style="3452" hidden="1" customWidth="1"/>
    <col min="43" max="43" width="10.25" style="3452" customWidth="1"/>
    <col min="44" max="44" width="20" style="3452" hidden="1" customWidth="1"/>
    <col min="45" max="45" width="10.375" style="3452" customWidth="1"/>
    <col min="46" max="46" width="20" style="3452" hidden="1" customWidth="1"/>
    <col min="47" max="47" width="10.125" style="3452" customWidth="1"/>
    <col min="48" max="48" width="20" style="3452" hidden="1" customWidth="1"/>
    <col min="49" max="49" width="9.25" style="3452" customWidth="1"/>
    <col min="50" max="66" width="20" style="3452" hidden="1" customWidth="1"/>
    <col min="67" max="68" width="0" style="3452" hidden="1" customWidth="1"/>
    <col min="69" max="16384" width="9" style="3452"/>
  </cols>
  <sheetData>
    <row r="1" spans="1:65">
      <c r="A1" s="3452" t="s">
        <v>3437</v>
      </c>
      <c r="B1" s="3452" t="s">
        <v>3438</v>
      </c>
      <c r="C1" s="3452" t="s">
        <v>3439</v>
      </c>
      <c r="D1" s="3452" t="s">
        <v>3440</v>
      </c>
      <c r="E1" s="3452" t="s">
        <v>3441</v>
      </c>
      <c r="F1" s="3452" t="s">
        <v>3442</v>
      </c>
      <c r="G1" s="3452" t="s">
        <v>3443</v>
      </c>
      <c r="H1" s="3452" t="s">
        <v>3444</v>
      </c>
      <c r="I1" s="3452" t="s">
        <v>3445</v>
      </c>
      <c r="J1" s="3452" t="s">
        <v>3446</v>
      </c>
      <c r="K1" s="3452" t="s">
        <v>3447</v>
      </c>
      <c r="L1" s="3452" t="s">
        <v>3448</v>
      </c>
      <c r="M1" s="3452" t="s">
        <v>3449</v>
      </c>
      <c r="N1" s="3452" t="s">
        <v>3450</v>
      </c>
      <c r="O1" s="3452" t="s">
        <v>3451</v>
      </c>
      <c r="P1" s="3452" t="s">
        <v>3452</v>
      </c>
      <c r="Q1" s="3452" t="s">
        <v>3453</v>
      </c>
      <c r="R1" s="3452" t="s">
        <v>3454</v>
      </c>
      <c r="S1" s="3452" t="s">
        <v>3455</v>
      </c>
      <c r="T1" s="3452" t="s">
        <v>3456</v>
      </c>
      <c r="U1" s="3452" t="s">
        <v>3457</v>
      </c>
      <c r="V1" s="3452" t="s">
        <v>3458</v>
      </c>
      <c r="W1" s="3452" t="s">
        <v>3459</v>
      </c>
      <c r="X1" s="3452" t="s">
        <v>3460</v>
      </c>
      <c r="Y1" s="3452" t="s">
        <v>3461</v>
      </c>
      <c r="Z1" s="3452" t="s">
        <v>3462</v>
      </c>
      <c r="AA1" s="3452" t="s">
        <v>3463</v>
      </c>
      <c r="AB1" s="3452" t="s">
        <v>3464</v>
      </c>
      <c r="AC1" s="3452" t="s">
        <v>3465</v>
      </c>
      <c r="AD1" s="3452" t="s">
        <v>3466</v>
      </c>
      <c r="AE1" s="3452" t="s">
        <v>3467</v>
      </c>
      <c r="AF1" s="3452" t="s">
        <v>3468</v>
      </c>
      <c r="AG1" s="3452" t="s">
        <v>3469</v>
      </c>
      <c r="AH1" s="3452" t="s">
        <v>3470</v>
      </c>
      <c r="AI1" s="3452" t="s">
        <v>3471</v>
      </c>
      <c r="AJ1" s="3452" t="s">
        <v>3472</v>
      </c>
      <c r="AK1" s="3452" t="s">
        <v>3473</v>
      </c>
      <c r="AL1" s="3452" t="s">
        <v>3474</v>
      </c>
      <c r="AM1" s="3452" t="s">
        <v>3475</v>
      </c>
      <c r="AN1" s="3452" t="s">
        <v>3476</v>
      </c>
      <c r="AO1" s="3452" t="s">
        <v>3477</v>
      </c>
      <c r="AP1" s="3452" t="s">
        <v>3478</v>
      </c>
      <c r="AQ1" s="3452" t="s">
        <v>3479</v>
      </c>
      <c r="AR1" s="3452" t="s">
        <v>3480</v>
      </c>
      <c r="AS1" s="3452" t="s">
        <v>3481</v>
      </c>
      <c r="AT1" s="3452" t="s">
        <v>3482</v>
      </c>
      <c r="AU1" s="3452" t="s">
        <v>3483</v>
      </c>
      <c r="AV1" s="3452" t="s">
        <v>3484</v>
      </c>
      <c r="AW1" s="3452" t="s">
        <v>3485</v>
      </c>
      <c r="AX1" s="3452" t="s">
        <v>3486</v>
      </c>
      <c r="AY1" s="3452" t="s">
        <v>3487</v>
      </c>
      <c r="AZ1" s="3452" t="s">
        <v>3488</v>
      </c>
      <c r="BA1" s="3452" t="s">
        <v>3489</v>
      </c>
      <c r="BB1" s="3452" t="s">
        <v>3490</v>
      </c>
      <c r="BC1" s="3452" t="s">
        <v>3491</v>
      </c>
      <c r="BD1" s="3452" t="s">
        <v>3492</v>
      </c>
      <c r="BE1" s="3452" t="s">
        <v>3493</v>
      </c>
      <c r="BF1" s="3452" t="s">
        <v>3494</v>
      </c>
      <c r="BG1" s="3452" t="s">
        <v>3495</v>
      </c>
      <c r="BH1" s="3452" t="s">
        <v>3496</v>
      </c>
      <c r="BI1" s="3452" t="s">
        <v>3497</v>
      </c>
      <c r="BJ1" s="3452" t="s">
        <v>3498</v>
      </c>
      <c r="BK1" s="3452" t="s">
        <v>3499</v>
      </c>
      <c r="BL1" s="3452" t="s">
        <v>3500</v>
      </c>
      <c r="BM1" s="3452" t="s">
        <v>3501</v>
      </c>
    </row>
    <row r="2" spans="1:65" s="3454" customFormat="1">
      <c r="A2" s="3454" t="s">
        <v>3524</v>
      </c>
      <c r="B2" s="3454" t="s">
        <v>3503</v>
      </c>
      <c r="C2" s="3454" t="s">
        <v>3504</v>
      </c>
      <c r="D2" s="3454" t="s">
        <v>3525</v>
      </c>
      <c r="E2" s="3454" t="s">
        <v>3526</v>
      </c>
      <c r="F2" s="3454" t="s">
        <v>3527</v>
      </c>
      <c r="G2" s="3454" t="s">
        <v>3527</v>
      </c>
      <c r="H2" s="3454" t="s">
        <v>3528</v>
      </c>
      <c r="I2" s="3454">
        <v>21154.74</v>
      </c>
      <c r="J2" s="3454">
        <v>31732.11</v>
      </c>
      <c r="K2" s="3454" t="s">
        <v>3509</v>
      </c>
      <c r="L2" s="3454" t="s">
        <v>3509</v>
      </c>
      <c r="M2" s="3454">
        <v>0</v>
      </c>
      <c r="N2" s="3454">
        <v>0</v>
      </c>
      <c r="O2" s="3454" t="s">
        <v>3510</v>
      </c>
      <c r="P2" s="3454" t="s">
        <v>3529</v>
      </c>
      <c r="Q2" s="3454" t="s">
        <v>3530</v>
      </c>
      <c r="R2" s="3454" t="s">
        <v>3513</v>
      </c>
      <c r="S2" s="3454">
        <v>1.5</v>
      </c>
      <c r="T2" s="3454">
        <v>1.5</v>
      </c>
      <c r="U2" s="3454" t="s">
        <v>3509</v>
      </c>
      <c r="V2" s="3454">
        <v>40</v>
      </c>
      <c r="W2" s="3454">
        <v>18</v>
      </c>
      <c r="X2" s="3454" t="s">
        <v>3515</v>
      </c>
      <c r="Y2" s="3454" t="s">
        <v>3516</v>
      </c>
      <c r="Z2" s="3454" t="s">
        <v>3509</v>
      </c>
      <c r="AA2" s="3454" t="s">
        <v>3509</v>
      </c>
      <c r="AB2" s="3454" t="s">
        <v>3509</v>
      </c>
      <c r="AC2" s="3454" t="s">
        <v>3509</v>
      </c>
      <c r="AD2" s="3455">
        <v>45460.000497685185</v>
      </c>
      <c r="AE2" s="3455">
        <v>45481.000497685185</v>
      </c>
      <c r="AF2" s="3455">
        <v>45495.000497685185</v>
      </c>
      <c r="AG2" s="3455">
        <v>45495.000497685185</v>
      </c>
      <c r="AH2" s="3454" t="s">
        <v>3517</v>
      </c>
      <c r="AI2" s="3454" t="s">
        <v>3518</v>
      </c>
      <c r="AJ2" s="3454" t="s">
        <v>3531</v>
      </c>
      <c r="AK2" s="3454" t="s">
        <v>3532</v>
      </c>
      <c r="AL2" s="3454" t="s">
        <v>3509</v>
      </c>
      <c r="AM2" s="3454" t="s">
        <v>3509</v>
      </c>
      <c r="AN2" s="3454">
        <v>29600</v>
      </c>
      <c r="AO2" s="3454">
        <v>6000</v>
      </c>
      <c r="AP2" s="3455">
        <v>45495.625497685185</v>
      </c>
      <c r="AQ2" s="3454">
        <v>29600</v>
      </c>
      <c r="AR2" s="3454">
        <v>13992.13</v>
      </c>
      <c r="AS2" s="3454">
        <v>13992.13</v>
      </c>
      <c r="AT2" s="3454">
        <v>932.81</v>
      </c>
      <c r="AU2" s="3454">
        <v>932.81</v>
      </c>
      <c r="AV2" s="3454">
        <v>9328</v>
      </c>
      <c r="AW2" s="3454">
        <v>9328</v>
      </c>
      <c r="AX2" s="3454" t="s">
        <v>3509</v>
      </c>
      <c r="AY2" s="3454" t="s">
        <v>3509</v>
      </c>
      <c r="AZ2" s="3454">
        <v>0</v>
      </c>
      <c r="BA2" s="3454" t="s">
        <v>3509</v>
      </c>
      <c r="BB2" s="3454" t="s">
        <v>3509</v>
      </c>
      <c r="BC2" s="3454" t="s">
        <v>3509</v>
      </c>
      <c r="BD2" s="3454" t="s">
        <v>3509</v>
      </c>
      <c r="BE2" s="3454" t="s">
        <v>3509</v>
      </c>
      <c r="BF2" s="3454" t="s">
        <v>3509</v>
      </c>
      <c r="BG2" s="3454" t="s">
        <v>3509</v>
      </c>
      <c r="BH2" s="3454" t="s">
        <v>3522</v>
      </c>
      <c r="BI2" s="3454" t="s">
        <v>3516</v>
      </c>
      <c r="BJ2" s="3454" t="s">
        <v>3523</v>
      </c>
      <c r="BK2" s="3454" t="s">
        <v>3516</v>
      </c>
      <c r="BL2" s="3455">
        <v>45526.000497685185</v>
      </c>
      <c r="BM2" s="3454">
        <v>29600</v>
      </c>
    </row>
    <row r="3" spans="1:65" s="3454" customFormat="1">
      <c r="A3" s="3454" t="s">
        <v>3549</v>
      </c>
      <c r="B3" s="3454" t="s">
        <v>3503</v>
      </c>
      <c r="C3" s="3454" t="s">
        <v>3504</v>
      </c>
      <c r="D3" s="3454" t="s">
        <v>3505</v>
      </c>
      <c r="E3" s="3454" t="s">
        <v>3550</v>
      </c>
      <c r="F3" s="3454" t="s">
        <v>3551</v>
      </c>
      <c r="G3" s="3454" t="s">
        <v>3551</v>
      </c>
      <c r="H3" s="3454" t="s">
        <v>3552</v>
      </c>
      <c r="I3" s="3454">
        <v>15459.22</v>
      </c>
      <c r="J3" s="3454">
        <v>52599.12</v>
      </c>
      <c r="K3" s="3454" t="s">
        <v>3509</v>
      </c>
      <c r="L3" s="3454" t="s">
        <v>3509</v>
      </c>
      <c r="M3" s="3454">
        <v>0</v>
      </c>
      <c r="N3" s="3454">
        <v>0</v>
      </c>
      <c r="O3" s="3454" t="s">
        <v>3510</v>
      </c>
      <c r="P3" s="3454" t="s">
        <v>3553</v>
      </c>
      <c r="Q3" s="3454" t="s">
        <v>3512</v>
      </c>
      <c r="R3" s="3454" t="s">
        <v>3554</v>
      </c>
      <c r="S3" s="3454" t="s">
        <v>3555</v>
      </c>
      <c r="T3" s="3454">
        <v>3.82</v>
      </c>
      <c r="U3" s="3454" t="s">
        <v>3509</v>
      </c>
      <c r="V3" s="3454" t="s">
        <v>3509</v>
      </c>
      <c r="W3" s="3454" t="s">
        <v>3556</v>
      </c>
      <c r="X3" s="3454" t="s">
        <v>3515</v>
      </c>
      <c r="Y3" s="3454" t="s">
        <v>3516</v>
      </c>
      <c r="Z3" s="3454" t="s">
        <v>3509</v>
      </c>
      <c r="AA3" s="3454" t="s">
        <v>3509</v>
      </c>
      <c r="AB3" s="3454" t="s">
        <v>3509</v>
      </c>
      <c r="AC3" s="3454" t="s">
        <v>3509</v>
      </c>
      <c r="AD3" s="3455">
        <v>45079.000497685185</v>
      </c>
      <c r="AE3" s="3455">
        <v>45102.000497685185</v>
      </c>
      <c r="AF3" s="3455">
        <v>45114.000497685185</v>
      </c>
      <c r="AG3" s="3455">
        <v>45114.000497685185</v>
      </c>
      <c r="AH3" s="3454" t="s">
        <v>3517</v>
      </c>
      <c r="AI3" s="3454" t="s">
        <v>3518</v>
      </c>
      <c r="AJ3" s="3454" t="s">
        <v>3548</v>
      </c>
      <c r="AK3" s="3454" t="s">
        <v>3541</v>
      </c>
      <c r="AL3" s="3454" t="s">
        <v>3521</v>
      </c>
      <c r="AM3" s="3454" t="s">
        <v>3542</v>
      </c>
      <c r="AN3" s="3454">
        <v>53100</v>
      </c>
      <c r="AO3" s="3454">
        <v>11000</v>
      </c>
      <c r="AP3" s="3454" t="s">
        <v>3509</v>
      </c>
      <c r="AQ3" s="3454">
        <v>53100</v>
      </c>
      <c r="AR3" s="3454">
        <v>34348.43</v>
      </c>
      <c r="AS3" s="3454">
        <v>34348.43</v>
      </c>
      <c r="AT3" s="3454">
        <v>2289.9</v>
      </c>
      <c r="AU3" s="3454">
        <v>2289.9</v>
      </c>
      <c r="AV3" s="3454">
        <v>10095</v>
      </c>
      <c r="AW3" s="3454">
        <v>10095</v>
      </c>
      <c r="AX3" s="3454" t="s">
        <v>3509</v>
      </c>
      <c r="AY3" s="3454" t="s">
        <v>3509</v>
      </c>
      <c r="AZ3" s="3454">
        <v>0</v>
      </c>
      <c r="BA3" s="3454" t="s">
        <v>3509</v>
      </c>
      <c r="BB3" s="3454" t="s">
        <v>3509</v>
      </c>
      <c r="BC3" s="3454" t="s">
        <v>3509</v>
      </c>
      <c r="BD3" s="3454" t="s">
        <v>3509</v>
      </c>
      <c r="BE3" s="3454" t="s">
        <v>3509</v>
      </c>
      <c r="BF3" s="3454" t="s">
        <v>3509</v>
      </c>
      <c r="BG3" s="3454" t="s">
        <v>3509</v>
      </c>
      <c r="BH3" s="3454" t="s">
        <v>3543</v>
      </c>
      <c r="BI3" s="3454" t="s">
        <v>3516</v>
      </c>
      <c r="BJ3" s="3454" t="s">
        <v>3523</v>
      </c>
      <c r="BK3" s="3454" t="s">
        <v>3516</v>
      </c>
      <c r="BL3" s="3455">
        <v>45149.000497685185</v>
      </c>
      <c r="BM3" s="3454">
        <v>53100</v>
      </c>
    </row>
    <row r="4" spans="1:65" s="3454" customFormat="1">
      <c r="A4" s="3454" t="s">
        <v>3557</v>
      </c>
      <c r="B4" s="3454" t="s">
        <v>3503</v>
      </c>
      <c r="C4" s="3454" t="s">
        <v>3504</v>
      </c>
      <c r="D4" s="3454" t="s">
        <v>3505</v>
      </c>
      <c r="E4" s="3454" t="s">
        <v>3558</v>
      </c>
      <c r="F4" s="3454" t="s">
        <v>3559</v>
      </c>
      <c r="G4" s="3454" t="s">
        <v>3559</v>
      </c>
      <c r="H4" s="3454" t="s">
        <v>3560</v>
      </c>
      <c r="I4" s="3454">
        <v>5500.65</v>
      </c>
      <c r="J4" s="3454">
        <v>15401.81</v>
      </c>
      <c r="K4" s="3454" t="s">
        <v>3509</v>
      </c>
      <c r="L4" s="3454" t="s">
        <v>3509</v>
      </c>
      <c r="M4" s="3454">
        <v>0</v>
      </c>
      <c r="N4" s="3454">
        <v>0</v>
      </c>
      <c r="O4" s="3454" t="s">
        <v>3510</v>
      </c>
      <c r="P4" s="3454" t="s">
        <v>3561</v>
      </c>
      <c r="Q4" s="3454" t="s">
        <v>3530</v>
      </c>
      <c r="R4" s="3454" t="s">
        <v>3562</v>
      </c>
      <c r="S4" s="3454" t="s">
        <v>3563</v>
      </c>
      <c r="T4" s="3454">
        <v>2.8</v>
      </c>
      <c r="U4" s="3454" t="s">
        <v>3509</v>
      </c>
      <c r="V4" s="3454" t="s">
        <v>3509</v>
      </c>
      <c r="W4" s="3454">
        <v>60</v>
      </c>
      <c r="X4" s="3454" t="s">
        <v>3515</v>
      </c>
      <c r="Y4" s="3454" t="s">
        <v>3516</v>
      </c>
      <c r="Z4" s="3454" t="s">
        <v>3509</v>
      </c>
      <c r="AA4" s="3454" t="s">
        <v>3509</v>
      </c>
      <c r="AB4" s="3454" t="s">
        <v>3509</v>
      </c>
      <c r="AC4" s="3454" t="s">
        <v>3509</v>
      </c>
      <c r="AD4" s="3455">
        <v>44995.000497685185</v>
      </c>
      <c r="AE4" s="3455">
        <v>45015.000497685185</v>
      </c>
      <c r="AF4" s="3455">
        <v>45030.000497685185</v>
      </c>
      <c r="AG4" s="3455">
        <v>45030.000497685185</v>
      </c>
      <c r="AH4" s="3454" t="s">
        <v>3517</v>
      </c>
      <c r="AI4" s="3454" t="s">
        <v>3518</v>
      </c>
      <c r="AJ4" s="3454" t="s">
        <v>3564</v>
      </c>
      <c r="AK4" s="3454" t="s">
        <v>3565</v>
      </c>
      <c r="AL4" s="3454" t="s">
        <v>3566</v>
      </c>
      <c r="AM4" s="3454" t="s">
        <v>3509</v>
      </c>
      <c r="AN4" s="3454">
        <v>17000</v>
      </c>
      <c r="AO4" s="3454">
        <v>4000</v>
      </c>
      <c r="AP4" s="3454" t="s">
        <v>3509</v>
      </c>
      <c r="AQ4" s="3454">
        <v>17000</v>
      </c>
      <c r="AR4" s="3454">
        <v>30905.43</v>
      </c>
      <c r="AS4" s="3454">
        <v>30905.43</v>
      </c>
      <c r="AT4" s="3454">
        <v>2060.36</v>
      </c>
      <c r="AU4" s="3454">
        <v>2060.36</v>
      </c>
      <c r="AV4" s="3454">
        <v>11038</v>
      </c>
      <c r="AW4" s="3454">
        <v>11038</v>
      </c>
      <c r="AX4" s="3454" t="s">
        <v>3509</v>
      </c>
      <c r="AY4" s="3454" t="s">
        <v>3509</v>
      </c>
      <c r="AZ4" s="3454">
        <v>0</v>
      </c>
      <c r="BA4" s="3454" t="s">
        <v>3509</v>
      </c>
      <c r="BB4" s="3454" t="s">
        <v>3509</v>
      </c>
      <c r="BC4" s="3454" t="s">
        <v>3509</v>
      </c>
      <c r="BD4" s="3454" t="s">
        <v>3509</v>
      </c>
      <c r="BE4" s="3454" t="s">
        <v>3509</v>
      </c>
      <c r="BF4" s="3454" t="s">
        <v>3509</v>
      </c>
      <c r="BG4" s="3454" t="s">
        <v>3509</v>
      </c>
      <c r="BH4" s="3454" t="s">
        <v>3522</v>
      </c>
      <c r="BI4" s="3454" t="s">
        <v>3516</v>
      </c>
      <c r="BJ4" s="3454" t="s">
        <v>3523</v>
      </c>
      <c r="BK4" s="3454" t="s">
        <v>3516</v>
      </c>
      <c r="BL4" s="3455">
        <v>45060.000497685185</v>
      </c>
      <c r="BM4" s="3454">
        <v>17000</v>
      </c>
    </row>
    <row r="7" spans="1:65">
      <c r="A7" s="3452" t="s">
        <v>3437</v>
      </c>
      <c r="B7" s="3452" t="s">
        <v>3438</v>
      </c>
      <c r="C7" s="3452" t="s">
        <v>3439</v>
      </c>
      <c r="D7" s="3452" t="s">
        <v>3440</v>
      </c>
      <c r="E7" s="3452" t="s">
        <v>3441</v>
      </c>
      <c r="F7" s="3452" t="s">
        <v>3442</v>
      </c>
      <c r="G7" s="3452" t="s">
        <v>3443</v>
      </c>
      <c r="H7" s="3452" t="s">
        <v>3444</v>
      </c>
      <c r="I7" s="3452" t="s">
        <v>3445</v>
      </c>
      <c r="J7" s="3452" t="s">
        <v>3446</v>
      </c>
      <c r="K7" s="3452" t="s">
        <v>3447</v>
      </c>
      <c r="L7" s="3452" t="s">
        <v>3448</v>
      </c>
      <c r="M7" s="3452" t="s">
        <v>3449</v>
      </c>
      <c r="N7" s="3452" t="s">
        <v>3450</v>
      </c>
      <c r="O7" s="3452" t="s">
        <v>3451</v>
      </c>
      <c r="P7" s="3452" t="s">
        <v>3452</v>
      </c>
      <c r="Q7" s="3452" t="s">
        <v>3453</v>
      </c>
      <c r="R7" s="3452" t="s">
        <v>3454</v>
      </c>
      <c r="S7" s="3452" t="s">
        <v>3455</v>
      </c>
      <c r="T7" s="3452" t="s">
        <v>3456</v>
      </c>
      <c r="U7" s="3452" t="s">
        <v>3457</v>
      </c>
      <c r="V7" s="3452" t="s">
        <v>3458</v>
      </c>
      <c r="W7" s="3452" t="s">
        <v>3459</v>
      </c>
      <c r="X7" s="3452" t="s">
        <v>3460</v>
      </c>
      <c r="Y7" s="3452" t="s">
        <v>3461</v>
      </c>
      <c r="Z7" s="3452" t="s">
        <v>3462</v>
      </c>
      <c r="AA7" s="3452" t="s">
        <v>3463</v>
      </c>
      <c r="AB7" s="3452" t="s">
        <v>3464</v>
      </c>
      <c r="AC7" s="3452" t="s">
        <v>3465</v>
      </c>
      <c r="AD7" s="3452" t="s">
        <v>3466</v>
      </c>
      <c r="AE7" s="3452" t="s">
        <v>3467</v>
      </c>
      <c r="AF7" s="3452" t="s">
        <v>3468</v>
      </c>
      <c r="AG7" s="3452" t="s">
        <v>3469</v>
      </c>
      <c r="AH7" s="3452" t="s">
        <v>3470</v>
      </c>
      <c r="AI7" s="3452" t="s">
        <v>3471</v>
      </c>
      <c r="AJ7" s="3452" t="s">
        <v>3472</v>
      </c>
      <c r="AK7" s="3452" t="s">
        <v>3473</v>
      </c>
      <c r="AL7" s="3452" t="s">
        <v>3474</v>
      </c>
      <c r="AM7" s="3452" t="s">
        <v>3475</v>
      </c>
      <c r="AN7" s="3452" t="s">
        <v>3476</v>
      </c>
      <c r="AO7" s="3452" t="s">
        <v>3477</v>
      </c>
      <c r="AP7" s="3452" t="s">
        <v>3478</v>
      </c>
      <c r="AQ7" s="3452" t="s">
        <v>3479</v>
      </c>
      <c r="AR7" s="3452" t="s">
        <v>3480</v>
      </c>
      <c r="AS7" s="3452" t="s">
        <v>3481</v>
      </c>
      <c r="AT7" s="3452" t="s">
        <v>3482</v>
      </c>
      <c r="AU7" s="3452" t="s">
        <v>3483</v>
      </c>
      <c r="AV7" s="3452" t="s">
        <v>3484</v>
      </c>
      <c r="AW7" s="3452" t="s">
        <v>3485</v>
      </c>
      <c r="AX7" s="3452" t="s">
        <v>3486</v>
      </c>
      <c r="AY7" s="3452" t="s">
        <v>3487</v>
      </c>
      <c r="AZ7" s="3452" t="s">
        <v>3488</v>
      </c>
      <c r="BA7" s="3452" t="s">
        <v>3489</v>
      </c>
      <c r="BB7" s="3452" t="s">
        <v>3490</v>
      </c>
      <c r="BC7" s="3452" t="s">
        <v>3491</v>
      </c>
      <c r="BD7" s="3452" t="s">
        <v>3492</v>
      </c>
      <c r="BE7" s="3452" t="s">
        <v>3493</v>
      </c>
      <c r="BF7" s="3452" t="s">
        <v>3494</v>
      </c>
      <c r="BG7" s="3452" t="s">
        <v>3495</v>
      </c>
      <c r="BH7" s="3452" t="s">
        <v>3496</v>
      </c>
      <c r="BI7" s="3452" t="s">
        <v>3497</v>
      </c>
      <c r="BJ7" s="3452" t="s">
        <v>3498</v>
      </c>
      <c r="BK7" s="3452" t="s">
        <v>3499</v>
      </c>
      <c r="BL7" s="3452" t="s">
        <v>3500</v>
      </c>
      <c r="BM7" s="3452" t="s">
        <v>3501</v>
      </c>
    </row>
    <row r="8" spans="1:65">
      <c r="A8" s="3452" t="s">
        <v>3502</v>
      </c>
      <c r="B8" s="3452" t="s">
        <v>3503</v>
      </c>
      <c r="C8" s="3452" t="s">
        <v>3504</v>
      </c>
      <c r="D8" s="3452" t="s">
        <v>3505</v>
      </c>
      <c r="E8" s="3452" t="s">
        <v>3506</v>
      </c>
      <c r="F8" s="3452" t="s">
        <v>3507</v>
      </c>
      <c r="G8" s="3452" t="s">
        <v>3507</v>
      </c>
      <c r="H8" s="3452" t="s">
        <v>3508</v>
      </c>
      <c r="I8" s="3452">
        <v>41129.769999999997</v>
      </c>
      <c r="J8" s="3452">
        <v>90485.49</v>
      </c>
      <c r="K8" s="3452" t="s">
        <v>3509</v>
      </c>
      <c r="L8" s="3452" t="s">
        <v>3509</v>
      </c>
      <c r="M8" s="3452">
        <v>0</v>
      </c>
      <c r="N8" s="3452">
        <v>0</v>
      </c>
      <c r="O8" s="3452" t="s">
        <v>3510</v>
      </c>
      <c r="P8" s="3452" t="s">
        <v>3511</v>
      </c>
      <c r="Q8" s="3452" t="s">
        <v>3512</v>
      </c>
      <c r="R8" s="3452" t="s">
        <v>3513</v>
      </c>
      <c r="S8" s="3452">
        <v>2.2000000000000002</v>
      </c>
      <c r="T8" s="3452">
        <v>2.2000000000000002</v>
      </c>
      <c r="U8" s="3452" t="s">
        <v>3509</v>
      </c>
      <c r="V8" s="3452" t="s">
        <v>3509</v>
      </c>
      <c r="W8" s="3452" t="s">
        <v>3514</v>
      </c>
      <c r="X8" s="3452" t="s">
        <v>3515</v>
      </c>
      <c r="Y8" s="3452" t="s">
        <v>3516</v>
      </c>
      <c r="Z8" s="3452" t="s">
        <v>3509</v>
      </c>
      <c r="AA8" s="3452" t="s">
        <v>3509</v>
      </c>
      <c r="AB8" s="3452" t="s">
        <v>3509</v>
      </c>
      <c r="AC8" s="3452" t="s">
        <v>3509</v>
      </c>
      <c r="AD8" s="3453">
        <v>45512.000497685185</v>
      </c>
      <c r="AE8" s="3453">
        <v>45532.000497685185</v>
      </c>
      <c r="AF8" s="3453">
        <v>45546.000497685185</v>
      </c>
      <c r="AG8" s="3453">
        <v>45546.000497685185</v>
      </c>
      <c r="AH8" s="3452" t="s">
        <v>3517</v>
      </c>
      <c r="AI8" s="3452" t="s">
        <v>3518</v>
      </c>
      <c r="AJ8" s="3452" t="s">
        <v>3519</v>
      </c>
      <c r="AK8" s="3452" t="s">
        <v>3520</v>
      </c>
      <c r="AL8" s="3452" t="s">
        <v>3521</v>
      </c>
      <c r="AM8" s="3452" t="s">
        <v>3509</v>
      </c>
      <c r="AN8" s="3452">
        <v>80900</v>
      </c>
      <c r="AO8" s="3452">
        <v>16200</v>
      </c>
      <c r="AP8" s="3453">
        <v>45545.708831018521</v>
      </c>
      <c r="AQ8" s="3452">
        <v>80900</v>
      </c>
      <c r="AR8" s="3452">
        <v>19669.45</v>
      </c>
      <c r="AS8" s="3452">
        <v>19669.45</v>
      </c>
      <c r="AT8" s="3452">
        <v>1311.3</v>
      </c>
      <c r="AU8" s="3452">
        <v>1311.3</v>
      </c>
      <c r="AV8" s="3452">
        <v>8941</v>
      </c>
      <c r="AW8" s="3452">
        <v>8941</v>
      </c>
      <c r="AX8" s="3452" t="s">
        <v>3509</v>
      </c>
      <c r="AY8" s="3452" t="s">
        <v>3509</v>
      </c>
      <c r="AZ8" s="3452">
        <v>0</v>
      </c>
      <c r="BA8" s="3452" t="s">
        <v>3509</v>
      </c>
      <c r="BB8" s="3452" t="s">
        <v>3509</v>
      </c>
      <c r="BC8" s="3452" t="s">
        <v>3509</v>
      </c>
      <c r="BD8" s="3452" t="s">
        <v>3509</v>
      </c>
      <c r="BE8" s="3452" t="s">
        <v>3509</v>
      </c>
      <c r="BF8" s="3452" t="s">
        <v>3509</v>
      </c>
      <c r="BG8" s="3452" t="s">
        <v>3509</v>
      </c>
      <c r="BH8" s="3452" t="s">
        <v>3522</v>
      </c>
      <c r="BI8" s="3452" t="s">
        <v>3516</v>
      </c>
      <c r="BJ8" s="3452" t="s">
        <v>3523</v>
      </c>
      <c r="BK8" s="3452" t="s">
        <v>3516</v>
      </c>
      <c r="BL8" s="3453">
        <v>45578.000497685185</v>
      </c>
      <c r="BM8" s="3452">
        <v>80900</v>
      </c>
    </row>
    <row r="9" spans="1:65" s="3454" customFormat="1">
      <c r="A9" s="3454" t="s">
        <v>3524</v>
      </c>
      <c r="B9" s="3454" t="s">
        <v>3503</v>
      </c>
      <c r="C9" s="3454" t="s">
        <v>3504</v>
      </c>
      <c r="D9" s="3454" t="s">
        <v>3525</v>
      </c>
      <c r="E9" s="3454" t="s">
        <v>3526</v>
      </c>
      <c r="F9" s="3454" t="s">
        <v>3527</v>
      </c>
      <c r="G9" s="3454" t="s">
        <v>3527</v>
      </c>
      <c r="H9" s="3454" t="s">
        <v>3528</v>
      </c>
      <c r="I9" s="3454">
        <v>21154.74</v>
      </c>
      <c r="J9" s="3454">
        <v>31732.11</v>
      </c>
      <c r="K9" s="3454" t="s">
        <v>3509</v>
      </c>
      <c r="L9" s="3454" t="s">
        <v>3509</v>
      </c>
      <c r="M9" s="3454">
        <v>0</v>
      </c>
      <c r="N9" s="3454">
        <v>0</v>
      </c>
      <c r="O9" s="3454" t="s">
        <v>3510</v>
      </c>
      <c r="P9" s="3454" t="s">
        <v>3529</v>
      </c>
      <c r="Q9" s="3454" t="s">
        <v>3530</v>
      </c>
      <c r="R9" s="3454" t="s">
        <v>3513</v>
      </c>
      <c r="S9" s="3454">
        <v>1.5</v>
      </c>
      <c r="T9" s="3454">
        <v>1.5</v>
      </c>
      <c r="U9" s="3454" t="s">
        <v>3509</v>
      </c>
      <c r="V9" s="3454">
        <v>40</v>
      </c>
      <c r="W9" s="3454">
        <v>18</v>
      </c>
      <c r="X9" s="3454" t="s">
        <v>3515</v>
      </c>
      <c r="Y9" s="3454" t="s">
        <v>3516</v>
      </c>
      <c r="Z9" s="3454" t="s">
        <v>3509</v>
      </c>
      <c r="AA9" s="3454" t="s">
        <v>3509</v>
      </c>
      <c r="AB9" s="3454" t="s">
        <v>3509</v>
      </c>
      <c r="AC9" s="3454" t="s">
        <v>3509</v>
      </c>
      <c r="AD9" s="3455">
        <v>45460.000497685185</v>
      </c>
      <c r="AE9" s="3455">
        <v>45481.000497685185</v>
      </c>
      <c r="AF9" s="3455">
        <v>45495.000497685185</v>
      </c>
      <c r="AG9" s="3455">
        <v>45495.000497685185</v>
      </c>
      <c r="AH9" s="3454" t="s">
        <v>3517</v>
      </c>
      <c r="AI9" s="3454" t="s">
        <v>3518</v>
      </c>
      <c r="AJ9" s="3454" t="s">
        <v>3531</v>
      </c>
      <c r="AK9" s="3454" t="s">
        <v>3532</v>
      </c>
      <c r="AL9" s="3454" t="s">
        <v>3509</v>
      </c>
      <c r="AM9" s="3454" t="s">
        <v>3509</v>
      </c>
      <c r="AN9" s="3454">
        <v>29600</v>
      </c>
      <c r="AO9" s="3454">
        <v>6000</v>
      </c>
      <c r="AP9" s="3455">
        <v>45495.625497685185</v>
      </c>
      <c r="AQ9" s="3454">
        <v>29600</v>
      </c>
      <c r="AR9" s="3454">
        <v>13992.13</v>
      </c>
      <c r="AS9" s="3454">
        <v>13992.13</v>
      </c>
      <c r="AT9" s="3454">
        <v>932.81</v>
      </c>
      <c r="AU9" s="3454">
        <v>932.81</v>
      </c>
      <c r="AV9" s="3454">
        <v>9328</v>
      </c>
      <c r="AW9" s="3454">
        <v>9328</v>
      </c>
      <c r="AX9" s="3454" t="s">
        <v>3509</v>
      </c>
      <c r="AY9" s="3454" t="s">
        <v>3509</v>
      </c>
      <c r="AZ9" s="3454">
        <v>0</v>
      </c>
      <c r="BA9" s="3454" t="s">
        <v>3509</v>
      </c>
      <c r="BB9" s="3454" t="s">
        <v>3509</v>
      </c>
      <c r="BC9" s="3454" t="s">
        <v>3509</v>
      </c>
      <c r="BD9" s="3454" t="s">
        <v>3509</v>
      </c>
      <c r="BE9" s="3454" t="s">
        <v>3509</v>
      </c>
      <c r="BF9" s="3454" t="s">
        <v>3509</v>
      </c>
      <c r="BG9" s="3454" t="s">
        <v>3509</v>
      </c>
      <c r="BH9" s="3454" t="s">
        <v>3522</v>
      </c>
      <c r="BI9" s="3454" t="s">
        <v>3516</v>
      </c>
      <c r="BJ9" s="3454" t="s">
        <v>3523</v>
      </c>
      <c r="BK9" s="3454" t="s">
        <v>3516</v>
      </c>
      <c r="BL9" s="3455">
        <v>45526.000497685185</v>
      </c>
      <c r="BM9" s="3454">
        <v>29600</v>
      </c>
    </row>
    <row r="10" spans="1:65">
      <c r="A10" s="3452" t="s">
        <v>3533</v>
      </c>
      <c r="B10" s="3452" t="s">
        <v>3503</v>
      </c>
      <c r="C10" s="3452" t="s">
        <v>3504</v>
      </c>
      <c r="D10" s="3452" t="s">
        <v>3505</v>
      </c>
      <c r="E10" s="3452" t="s">
        <v>3534</v>
      </c>
      <c r="F10" s="3452" t="s">
        <v>3535</v>
      </c>
      <c r="G10" s="3452" t="s">
        <v>3535</v>
      </c>
      <c r="H10" s="3452" t="s">
        <v>3536</v>
      </c>
      <c r="I10" s="3452">
        <v>19810.400000000001</v>
      </c>
      <c r="J10" s="3452">
        <v>700</v>
      </c>
      <c r="K10" s="3452" t="s">
        <v>3509</v>
      </c>
      <c r="L10" s="3452" t="s">
        <v>3509</v>
      </c>
      <c r="M10" s="3452">
        <v>0</v>
      </c>
      <c r="N10" s="3452">
        <v>0</v>
      </c>
      <c r="O10" s="3452" t="s">
        <v>3510</v>
      </c>
      <c r="P10" s="3452" t="s">
        <v>3537</v>
      </c>
      <c r="Q10" s="3452" t="s">
        <v>3538</v>
      </c>
      <c r="R10" s="3452" t="s">
        <v>3513</v>
      </c>
      <c r="S10" s="3452" t="s">
        <v>3539</v>
      </c>
      <c r="T10" s="3452">
        <v>0.74</v>
      </c>
      <c r="U10" s="3452" t="s">
        <v>3509</v>
      </c>
      <c r="V10" s="3452" t="s">
        <v>3509</v>
      </c>
      <c r="W10" s="3452" t="s">
        <v>3509</v>
      </c>
      <c r="X10" s="3452" t="s">
        <v>3515</v>
      </c>
      <c r="Y10" s="3452" t="s">
        <v>3516</v>
      </c>
      <c r="Z10" s="3452" t="s">
        <v>3509</v>
      </c>
      <c r="AA10" s="3452" t="s">
        <v>3509</v>
      </c>
      <c r="AB10" s="3452" t="s">
        <v>3509</v>
      </c>
      <c r="AC10" s="3452" t="s">
        <v>3509</v>
      </c>
      <c r="AD10" s="3453">
        <v>45426.000497685185</v>
      </c>
      <c r="AE10" s="3453">
        <v>45446.000497685185</v>
      </c>
      <c r="AF10" s="3453">
        <v>45461.000497685185</v>
      </c>
      <c r="AG10" s="3453">
        <v>45461.000497685185</v>
      </c>
      <c r="AH10" s="3452" t="s">
        <v>3517</v>
      </c>
      <c r="AI10" s="3452" t="s">
        <v>3518</v>
      </c>
      <c r="AJ10" s="3452" t="s">
        <v>3540</v>
      </c>
      <c r="AK10" s="3452" t="s">
        <v>3541</v>
      </c>
      <c r="AL10" s="3452" t="s">
        <v>3521</v>
      </c>
      <c r="AM10" s="3452" t="s">
        <v>3542</v>
      </c>
      <c r="AN10" s="3452">
        <v>6600</v>
      </c>
      <c r="AO10" s="3452">
        <v>1400</v>
      </c>
      <c r="AP10" s="3453">
        <v>45460.708831018521</v>
      </c>
      <c r="AQ10" s="3452">
        <v>6600</v>
      </c>
      <c r="AR10" s="3452">
        <v>3331.58</v>
      </c>
      <c r="AS10" s="3452">
        <v>3331.58</v>
      </c>
      <c r="AT10" s="3452">
        <v>222.11</v>
      </c>
      <c r="AU10" s="3452">
        <v>222.11</v>
      </c>
      <c r="AV10" s="3452">
        <v>94286</v>
      </c>
      <c r="AW10" s="3452">
        <v>94286</v>
      </c>
      <c r="AX10" s="3452" t="s">
        <v>3509</v>
      </c>
      <c r="AY10" s="3452" t="s">
        <v>3509</v>
      </c>
      <c r="AZ10" s="3452">
        <v>0</v>
      </c>
      <c r="BA10" s="3452" t="s">
        <v>3509</v>
      </c>
      <c r="BB10" s="3452" t="s">
        <v>3509</v>
      </c>
      <c r="BC10" s="3452" t="s">
        <v>3509</v>
      </c>
      <c r="BD10" s="3452" t="s">
        <v>3509</v>
      </c>
      <c r="BE10" s="3452" t="s">
        <v>3509</v>
      </c>
      <c r="BF10" s="3452" t="s">
        <v>3509</v>
      </c>
      <c r="BG10" s="3452" t="s">
        <v>3509</v>
      </c>
      <c r="BH10" s="3452" t="s">
        <v>3543</v>
      </c>
      <c r="BI10" s="3452" t="s">
        <v>3516</v>
      </c>
      <c r="BJ10" s="3452" t="s">
        <v>3523</v>
      </c>
      <c r="BK10" s="3452" t="s">
        <v>3516</v>
      </c>
      <c r="BL10" s="3452" t="s">
        <v>3509</v>
      </c>
      <c r="BM10" s="3452" t="s">
        <v>3509</v>
      </c>
    </row>
    <row r="11" spans="1:65">
      <c r="A11" s="3452" t="s">
        <v>3544</v>
      </c>
      <c r="B11" s="3452" t="s">
        <v>3503</v>
      </c>
      <c r="C11" s="3452" t="s">
        <v>3504</v>
      </c>
      <c r="D11" s="3452" t="s">
        <v>3505</v>
      </c>
      <c r="E11" s="3452" t="s">
        <v>3534</v>
      </c>
      <c r="F11" s="3452" t="s">
        <v>3545</v>
      </c>
      <c r="G11" s="3452" t="s">
        <v>3545</v>
      </c>
      <c r="H11" s="3452" t="s">
        <v>3546</v>
      </c>
      <c r="I11" s="3452">
        <v>9632.01</v>
      </c>
      <c r="J11" s="3452">
        <v>15025.93</v>
      </c>
      <c r="K11" s="3452" t="s">
        <v>3509</v>
      </c>
      <c r="L11" s="3452" t="s">
        <v>3509</v>
      </c>
      <c r="M11" s="3452">
        <v>0</v>
      </c>
      <c r="N11" s="3452">
        <v>0</v>
      </c>
      <c r="O11" s="3452" t="s">
        <v>3510</v>
      </c>
      <c r="P11" s="3452" t="s">
        <v>3511</v>
      </c>
      <c r="Q11" s="3452" t="s">
        <v>3512</v>
      </c>
      <c r="R11" s="3452" t="s">
        <v>3547</v>
      </c>
      <c r="S11" s="3452">
        <v>1.56</v>
      </c>
      <c r="T11" s="3452">
        <v>1.56</v>
      </c>
      <c r="U11" s="3452" t="s">
        <v>3509</v>
      </c>
      <c r="V11" s="3452" t="s">
        <v>3509</v>
      </c>
      <c r="W11" s="3452">
        <v>24</v>
      </c>
      <c r="X11" s="3452" t="s">
        <v>3515</v>
      </c>
      <c r="Y11" s="3452" t="s">
        <v>3516</v>
      </c>
      <c r="Z11" s="3452" t="s">
        <v>3509</v>
      </c>
      <c r="AA11" s="3452" t="s">
        <v>3509</v>
      </c>
      <c r="AB11" s="3452" t="s">
        <v>3509</v>
      </c>
      <c r="AC11" s="3452" t="s">
        <v>3509</v>
      </c>
      <c r="AD11" s="3453">
        <v>45155.000497685185</v>
      </c>
      <c r="AE11" s="3453">
        <v>45175.000497685185</v>
      </c>
      <c r="AF11" s="3453">
        <v>45189.000497685185</v>
      </c>
      <c r="AG11" s="3453">
        <v>45189.000497685185</v>
      </c>
      <c r="AH11" s="3452" t="s">
        <v>3517</v>
      </c>
      <c r="AI11" s="3452" t="s">
        <v>3518</v>
      </c>
      <c r="AJ11" s="3452" t="s">
        <v>3548</v>
      </c>
      <c r="AK11" s="3452" t="s">
        <v>3541</v>
      </c>
      <c r="AL11" s="3452" t="s">
        <v>3521</v>
      </c>
      <c r="AM11" s="3452" t="s">
        <v>3542</v>
      </c>
      <c r="AN11" s="3452">
        <v>13700</v>
      </c>
      <c r="AO11" s="3452">
        <v>3000</v>
      </c>
      <c r="AP11" s="3453">
        <v>45189.625497685185</v>
      </c>
      <c r="AQ11" s="3452">
        <v>13700</v>
      </c>
      <c r="AR11" s="3452">
        <v>14223.4</v>
      </c>
      <c r="AS11" s="3452">
        <v>14223.4</v>
      </c>
      <c r="AT11" s="3452">
        <v>948.23</v>
      </c>
      <c r="AU11" s="3452">
        <v>948.23</v>
      </c>
      <c r="AV11" s="3452">
        <v>9118</v>
      </c>
      <c r="AW11" s="3452">
        <v>9118</v>
      </c>
      <c r="AX11" s="3452" t="s">
        <v>3509</v>
      </c>
      <c r="AY11" s="3452" t="s">
        <v>3509</v>
      </c>
      <c r="AZ11" s="3452">
        <v>0</v>
      </c>
      <c r="BA11" s="3452" t="s">
        <v>3509</v>
      </c>
      <c r="BB11" s="3452" t="s">
        <v>3509</v>
      </c>
      <c r="BC11" s="3452" t="s">
        <v>3509</v>
      </c>
      <c r="BD11" s="3452" t="s">
        <v>3509</v>
      </c>
      <c r="BE11" s="3452" t="s">
        <v>3509</v>
      </c>
      <c r="BF11" s="3452" t="s">
        <v>3509</v>
      </c>
      <c r="BG11" s="3452" t="s">
        <v>3509</v>
      </c>
      <c r="BH11" s="3452" t="s">
        <v>3543</v>
      </c>
      <c r="BI11" s="3452" t="s">
        <v>3516</v>
      </c>
      <c r="BJ11" s="3452" t="s">
        <v>3523</v>
      </c>
      <c r="BK11" s="3452" t="s">
        <v>3516</v>
      </c>
      <c r="BL11" s="3453">
        <v>45220.000497685185</v>
      </c>
      <c r="BM11" s="3452">
        <v>13700</v>
      </c>
    </row>
    <row r="12" spans="1:65" s="3454" customFormat="1">
      <c r="A12" s="3454" t="s">
        <v>3549</v>
      </c>
      <c r="B12" s="3454" t="s">
        <v>3503</v>
      </c>
      <c r="C12" s="3454" t="s">
        <v>3504</v>
      </c>
      <c r="D12" s="3454" t="s">
        <v>3505</v>
      </c>
      <c r="E12" s="3454" t="s">
        <v>3550</v>
      </c>
      <c r="F12" s="3454" t="s">
        <v>3551</v>
      </c>
      <c r="G12" s="3454" t="s">
        <v>3551</v>
      </c>
      <c r="H12" s="3454" t="s">
        <v>3552</v>
      </c>
      <c r="I12" s="3454">
        <v>15459.22</v>
      </c>
      <c r="J12" s="3454">
        <v>52599.12</v>
      </c>
      <c r="K12" s="3454" t="s">
        <v>3509</v>
      </c>
      <c r="L12" s="3454" t="s">
        <v>3509</v>
      </c>
      <c r="M12" s="3454">
        <v>0</v>
      </c>
      <c r="N12" s="3454">
        <v>0</v>
      </c>
      <c r="O12" s="3454" t="s">
        <v>3510</v>
      </c>
      <c r="P12" s="3454" t="s">
        <v>3553</v>
      </c>
      <c r="Q12" s="3454" t="s">
        <v>3512</v>
      </c>
      <c r="R12" s="3454" t="s">
        <v>3554</v>
      </c>
      <c r="S12" s="3454" t="s">
        <v>3555</v>
      </c>
      <c r="T12" s="3454">
        <v>3.82</v>
      </c>
      <c r="U12" s="3454" t="s">
        <v>3509</v>
      </c>
      <c r="V12" s="3454" t="s">
        <v>3509</v>
      </c>
      <c r="W12" s="3454" t="s">
        <v>3556</v>
      </c>
      <c r="X12" s="3454" t="s">
        <v>3515</v>
      </c>
      <c r="Y12" s="3454" t="s">
        <v>3516</v>
      </c>
      <c r="Z12" s="3454" t="s">
        <v>3509</v>
      </c>
      <c r="AA12" s="3454" t="s">
        <v>3509</v>
      </c>
      <c r="AB12" s="3454" t="s">
        <v>3509</v>
      </c>
      <c r="AC12" s="3454" t="s">
        <v>3509</v>
      </c>
      <c r="AD12" s="3455">
        <v>45079.000497685185</v>
      </c>
      <c r="AE12" s="3455">
        <v>45102.000497685185</v>
      </c>
      <c r="AF12" s="3455">
        <v>45114.000497685185</v>
      </c>
      <c r="AG12" s="3455">
        <v>45114.000497685185</v>
      </c>
      <c r="AH12" s="3454" t="s">
        <v>3517</v>
      </c>
      <c r="AI12" s="3454" t="s">
        <v>3518</v>
      </c>
      <c r="AJ12" s="3454" t="s">
        <v>3548</v>
      </c>
      <c r="AK12" s="3454" t="s">
        <v>3541</v>
      </c>
      <c r="AL12" s="3454" t="s">
        <v>3521</v>
      </c>
      <c r="AM12" s="3454" t="s">
        <v>3542</v>
      </c>
      <c r="AN12" s="3454">
        <v>53100</v>
      </c>
      <c r="AO12" s="3454">
        <v>11000</v>
      </c>
      <c r="AP12" s="3454" t="s">
        <v>3509</v>
      </c>
      <c r="AQ12" s="3454">
        <v>53100</v>
      </c>
      <c r="AR12" s="3454">
        <v>34348.43</v>
      </c>
      <c r="AS12" s="3454">
        <v>34348.43</v>
      </c>
      <c r="AT12" s="3454">
        <v>2289.9</v>
      </c>
      <c r="AU12" s="3454">
        <v>2289.9</v>
      </c>
      <c r="AV12" s="3454">
        <v>10095</v>
      </c>
      <c r="AW12" s="3454">
        <v>10095</v>
      </c>
      <c r="AX12" s="3454" t="s">
        <v>3509</v>
      </c>
      <c r="AY12" s="3454" t="s">
        <v>3509</v>
      </c>
      <c r="AZ12" s="3454">
        <v>0</v>
      </c>
      <c r="BA12" s="3454" t="s">
        <v>3509</v>
      </c>
      <c r="BB12" s="3454" t="s">
        <v>3509</v>
      </c>
      <c r="BC12" s="3454" t="s">
        <v>3509</v>
      </c>
      <c r="BD12" s="3454" t="s">
        <v>3509</v>
      </c>
      <c r="BE12" s="3454" t="s">
        <v>3509</v>
      </c>
      <c r="BF12" s="3454" t="s">
        <v>3509</v>
      </c>
      <c r="BG12" s="3454" t="s">
        <v>3509</v>
      </c>
      <c r="BH12" s="3454" t="s">
        <v>3543</v>
      </c>
      <c r="BI12" s="3454" t="s">
        <v>3516</v>
      </c>
      <c r="BJ12" s="3454" t="s">
        <v>3523</v>
      </c>
      <c r="BK12" s="3454" t="s">
        <v>3516</v>
      </c>
      <c r="BL12" s="3455">
        <v>45149.000497685185</v>
      </c>
      <c r="BM12" s="3454">
        <v>53100</v>
      </c>
    </row>
    <row r="13" spans="1:65" s="3454" customFormat="1">
      <c r="A13" s="3454" t="s">
        <v>3557</v>
      </c>
      <c r="B13" s="3454" t="s">
        <v>3503</v>
      </c>
      <c r="C13" s="3454" t="s">
        <v>3504</v>
      </c>
      <c r="D13" s="3454" t="s">
        <v>3505</v>
      </c>
      <c r="E13" s="3454" t="s">
        <v>3558</v>
      </c>
      <c r="F13" s="3454" t="s">
        <v>3559</v>
      </c>
      <c r="G13" s="3454" t="s">
        <v>3559</v>
      </c>
      <c r="H13" s="3454" t="s">
        <v>3560</v>
      </c>
      <c r="I13" s="3454">
        <v>5500.65</v>
      </c>
      <c r="J13" s="3454">
        <v>15401.81</v>
      </c>
      <c r="K13" s="3454" t="s">
        <v>3509</v>
      </c>
      <c r="L13" s="3454" t="s">
        <v>3509</v>
      </c>
      <c r="M13" s="3454">
        <v>0</v>
      </c>
      <c r="N13" s="3454">
        <v>0</v>
      </c>
      <c r="O13" s="3454" t="s">
        <v>3510</v>
      </c>
      <c r="P13" s="3454" t="s">
        <v>3561</v>
      </c>
      <c r="Q13" s="3454" t="s">
        <v>3530</v>
      </c>
      <c r="R13" s="3454" t="s">
        <v>3562</v>
      </c>
      <c r="S13" s="3454" t="s">
        <v>3563</v>
      </c>
      <c r="T13" s="3454">
        <v>2.8</v>
      </c>
      <c r="U13" s="3454" t="s">
        <v>3509</v>
      </c>
      <c r="V13" s="3454" t="s">
        <v>3509</v>
      </c>
      <c r="W13" s="3454">
        <v>60</v>
      </c>
      <c r="X13" s="3454" t="s">
        <v>3515</v>
      </c>
      <c r="Y13" s="3454" t="s">
        <v>3516</v>
      </c>
      <c r="Z13" s="3454" t="s">
        <v>3509</v>
      </c>
      <c r="AA13" s="3454" t="s">
        <v>3509</v>
      </c>
      <c r="AB13" s="3454" t="s">
        <v>3509</v>
      </c>
      <c r="AC13" s="3454" t="s">
        <v>3509</v>
      </c>
      <c r="AD13" s="3455">
        <v>44995.000497685185</v>
      </c>
      <c r="AE13" s="3455">
        <v>45015.000497685185</v>
      </c>
      <c r="AF13" s="3455">
        <v>45030.000497685185</v>
      </c>
      <c r="AG13" s="3455">
        <v>45030.000497685185</v>
      </c>
      <c r="AH13" s="3454" t="s">
        <v>3517</v>
      </c>
      <c r="AI13" s="3454" t="s">
        <v>3518</v>
      </c>
      <c r="AJ13" s="3454" t="s">
        <v>3564</v>
      </c>
      <c r="AK13" s="3454" t="s">
        <v>3565</v>
      </c>
      <c r="AL13" s="3454" t="s">
        <v>3566</v>
      </c>
      <c r="AM13" s="3454" t="s">
        <v>3509</v>
      </c>
      <c r="AN13" s="3454">
        <v>17000</v>
      </c>
      <c r="AO13" s="3454">
        <v>4000</v>
      </c>
      <c r="AP13" s="3454" t="s">
        <v>3509</v>
      </c>
      <c r="AQ13" s="3454">
        <v>17000</v>
      </c>
      <c r="AR13" s="3454">
        <v>30905.43</v>
      </c>
      <c r="AS13" s="3454">
        <v>30905.43</v>
      </c>
      <c r="AT13" s="3454">
        <v>2060.36</v>
      </c>
      <c r="AU13" s="3454">
        <v>2060.36</v>
      </c>
      <c r="AV13" s="3454">
        <v>11038</v>
      </c>
      <c r="AW13" s="3454">
        <v>11038</v>
      </c>
      <c r="AX13" s="3454" t="s">
        <v>3509</v>
      </c>
      <c r="AY13" s="3454" t="s">
        <v>3509</v>
      </c>
      <c r="AZ13" s="3454">
        <v>0</v>
      </c>
      <c r="BA13" s="3454" t="s">
        <v>3509</v>
      </c>
      <c r="BB13" s="3454" t="s">
        <v>3509</v>
      </c>
      <c r="BC13" s="3454" t="s">
        <v>3509</v>
      </c>
      <c r="BD13" s="3454" t="s">
        <v>3509</v>
      </c>
      <c r="BE13" s="3454" t="s">
        <v>3509</v>
      </c>
      <c r="BF13" s="3454" t="s">
        <v>3509</v>
      </c>
      <c r="BG13" s="3454" t="s">
        <v>3509</v>
      </c>
      <c r="BH13" s="3454" t="s">
        <v>3522</v>
      </c>
      <c r="BI13" s="3454" t="s">
        <v>3516</v>
      </c>
      <c r="BJ13" s="3454" t="s">
        <v>3523</v>
      </c>
      <c r="BK13" s="3454" t="s">
        <v>3516</v>
      </c>
      <c r="BL13" s="3455">
        <v>45060.000497685185</v>
      </c>
      <c r="BM13" s="3454">
        <v>17000</v>
      </c>
    </row>
    <row r="14" spans="1:65">
      <c r="A14" s="3452" t="s">
        <v>3567</v>
      </c>
      <c r="B14" s="3452" t="s">
        <v>3503</v>
      </c>
      <c r="C14" s="3452" t="s">
        <v>3504</v>
      </c>
      <c r="D14" s="3452" t="s">
        <v>3505</v>
      </c>
      <c r="E14" s="3452" t="s">
        <v>3568</v>
      </c>
      <c r="F14" s="3452" t="s">
        <v>3569</v>
      </c>
      <c r="G14" s="3452" t="s">
        <v>3569</v>
      </c>
      <c r="H14" s="3452" t="s">
        <v>3570</v>
      </c>
      <c r="I14" s="3452">
        <v>10000</v>
      </c>
      <c r="J14" s="3452">
        <v>22000</v>
      </c>
      <c r="K14" s="3452" t="s">
        <v>3509</v>
      </c>
      <c r="L14" s="3452" t="s">
        <v>3509</v>
      </c>
      <c r="M14" s="3452">
        <v>0</v>
      </c>
      <c r="N14" s="3452">
        <v>0</v>
      </c>
      <c r="O14" s="3452" t="s">
        <v>3510</v>
      </c>
      <c r="P14" s="3452" t="s">
        <v>3511</v>
      </c>
      <c r="Q14" s="3452" t="s">
        <v>3512</v>
      </c>
      <c r="R14" s="3452" t="s">
        <v>3571</v>
      </c>
      <c r="S14" s="3452" t="s">
        <v>3572</v>
      </c>
      <c r="T14" s="3452">
        <v>2.2000000000000002</v>
      </c>
      <c r="U14" s="3452" t="s">
        <v>3509</v>
      </c>
      <c r="V14" s="3452" t="s">
        <v>3509</v>
      </c>
      <c r="W14" s="3452" t="s">
        <v>3509</v>
      </c>
      <c r="X14" s="3452" t="s">
        <v>3515</v>
      </c>
      <c r="Y14" s="3452" t="s">
        <v>3516</v>
      </c>
      <c r="Z14" s="3452" t="s">
        <v>3509</v>
      </c>
      <c r="AA14" s="3452" t="s">
        <v>3509</v>
      </c>
      <c r="AB14" s="3452" t="s">
        <v>3509</v>
      </c>
      <c r="AC14" s="3452" t="s">
        <v>3509</v>
      </c>
      <c r="AD14" s="3453">
        <v>44760.000497685185</v>
      </c>
      <c r="AE14" s="3453">
        <v>44782.000497685185</v>
      </c>
      <c r="AF14" s="3453">
        <v>44795.000497685185</v>
      </c>
      <c r="AG14" s="3453">
        <v>44795.000497685185</v>
      </c>
      <c r="AH14" s="3452" t="s">
        <v>3517</v>
      </c>
      <c r="AI14" s="3452" t="s">
        <v>3573</v>
      </c>
      <c r="AJ14" s="3452" t="s">
        <v>3574</v>
      </c>
      <c r="AK14" s="3452" t="s">
        <v>3575</v>
      </c>
      <c r="AL14" s="3452" t="s">
        <v>3521</v>
      </c>
      <c r="AM14" s="3452" t="s">
        <v>3509</v>
      </c>
      <c r="AN14" s="3452">
        <v>36400</v>
      </c>
      <c r="AO14" s="3452">
        <v>7300</v>
      </c>
      <c r="AP14" s="3453">
        <v>44796.625497685185</v>
      </c>
      <c r="AQ14" s="3452">
        <v>36400</v>
      </c>
      <c r="AR14" s="3452">
        <v>36400</v>
      </c>
      <c r="AS14" s="3452">
        <v>36400</v>
      </c>
      <c r="AT14" s="3452">
        <v>2426.67</v>
      </c>
      <c r="AU14" s="3452">
        <v>2426.67</v>
      </c>
      <c r="AV14" s="3452">
        <v>16545</v>
      </c>
      <c r="AW14" s="3452">
        <v>16545</v>
      </c>
      <c r="AX14" s="3452" t="s">
        <v>3509</v>
      </c>
      <c r="AY14" s="3452" t="s">
        <v>3509</v>
      </c>
      <c r="AZ14" s="3452">
        <v>0</v>
      </c>
      <c r="BA14" s="3452" t="s">
        <v>3509</v>
      </c>
      <c r="BB14" s="3452" t="s">
        <v>3509</v>
      </c>
      <c r="BC14" s="3452" t="s">
        <v>3509</v>
      </c>
      <c r="BD14" s="3452" t="s">
        <v>3509</v>
      </c>
      <c r="BE14" s="3452" t="s">
        <v>3509</v>
      </c>
      <c r="BF14" s="3452" t="s">
        <v>3509</v>
      </c>
      <c r="BG14" s="3452" t="s">
        <v>3509</v>
      </c>
      <c r="BH14" s="3452" t="s">
        <v>3522</v>
      </c>
      <c r="BI14" s="3452" t="s">
        <v>3516</v>
      </c>
      <c r="BJ14" s="3452" t="s">
        <v>3523</v>
      </c>
      <c r="BK14" s="3452" t="s">
        <v>3516</v>
      </c>
      <c r="BL14" s="3453">
        <v>44836.000497685185</v>
      </c>
      <c r="BM14" s="3452">
        <v>36400</v>
      </c>
    </row>
    <row r="15" spans="1:65">
      <c r="A15" s="3452" t="s">
        <v>3576</v>
      </c>
      <c r="B15" s="3452" t="s">
        <v>3503</v>
      </c>
      <c r="C15" s="3452" t="s">
        <v>3504</v>
      </c>
      <c r="D15" s="3452" t="s">
        <v>3505</v>
      </c>
      <c r="E15" s="3452" t="s">
        <v>3568</v>
      </c>
      <c r="F15" s="3452" t="s">
        <v>3577</v>
      </c>
      <c r="G15" s="3452" t="s">
        <v>3577</v>
      </c>
      <c r="H15" s="3452" t="s">
        <v>3570</v>
      </c>
      <c r="I15" s="3452">
        <v>5500</v>
      </c>
      <c r="J15" s="3452">
        <v>12100</v>
      </c>
      <c r="K15" s="3452" t="s">
        <v>3509</v>
      </c>
      <c r="L15" s="3452" t="s">
        <v>3509</v>
      </c>
      <c r="M15" s="3452">
        <v>0</v>
      </c>
      <c r="N15" s="3452">
        <v>0</v>
      </c>
      <c r="O15" s="3452" t="s">
        <v>3510</v>
      </c>
      <c r="P15" s="3452" t="s">
        <v>3511</v>
      </c>
      <c r="Q15" s="3452" t="s">
        <v>3512</v>
      </c>
      <c r="R15" s="3452" t="s">
        <v>3571</v>
      </c>
      <c r="S15" s="3452" t="s">
        <v>3572</v>
      </c>
      <c r="T15" s="3452">
        <v>2.2000000000000002</v>
      </c>
      <c r="U15" s="3452" t="s">
        <v>3509</v>
      </c>
      <c r="V15" s="3452" t="s">
        <v>3509</v>
      </c>
      <c r="W15" s="3452" t="s">
        <v>3509</v>
      </c>
      <c r="X15" s="3452" t="s">
        <v>3515</v>
      </c>
      <c r="Y15" s="3452" t="s">
        <v>3516</v>
      </c>
      <c r="Z15" s="3452" t="s">
        <v>3509</v>
      </c>
      <c r="AA15" s="3452" t="s">
        <v>3509</v>
      </c>
      <c r="AB15" s="3452" t="s">
        <v>3509</v>
      </c>
      <c r="AC15" s="3452" t="s">
        <v>3509</v>
      </c>
      <c r="AD15" s="3453">
        <v>44760.000497685185</v>
      </c>
      <c r="AE15" s="3453">
        <v>44782.000497685185</v>
      </c>
      <c r="AF15" s="3453">
        <v>44796.000497685185</v>
      </c>
      <c r="AG15" s="3453">
        <v>44796.000497685185</v>
      </c>
      <c r="AH15" s="3452" t="s">
        <v>3517</v>
      </c>
      <c r="AI15" s="3452" t="s">
        <v>3573</v>
      </c>
      <c r="AJ15" s="3452" t="s">
        <v>3578</v>
      </c>
      <c r="AK15" s="3452" t="s">
        <v>3509</v>
      </c>
      <c r="AL15" s="3452" t="s">
        <v>3509</v>
      </c>
      <c r="AM15" s="3452" t="s">
        <v>3509</v>
      </c>
      <c r="AN15" s="3452">
        <v>20000</v>
      </c>
      <c r="AO15" s="3452">
        <v>4000</v>
      </c>
      <c r="AP15" s="3453">
        <v>44796.625497685185</v>
      </c>
      <c r="AQ15" s="3452">
        <v>20000</v>
      </c>
      <c r="AR15" s="3452">
        <v>36363.629999999997</v>
      </c>
      <c r="AS15" s="3452">
        <v>36363.629999999997</v>
      </c>
      <c r="AT15" s="3452">
        <v>2424.2399999999998</v>
      </c>
      <c r="AU15" s="3452">
        <v>2424.2399999999998</v>
      </c>
      <c r="AV15" s="3452">
        <v>16529</v>
      </c>
      <c r="AW15" s="3452">
        <v>16529</v>
      </c>
      <c r="AX15" s="3452" t="s">
        <v>3509</v>
      </c>
      <c r="AY15" s="3452" t="s">
        <v>3509</v>
      </c>
      <c r="AZ15" s="3452">
        <v>0</v>
      </c>
      <c r="BA15" s="3452" t="s">
        <v>3509</v>
      </c>
      <c r="BB15" s="3452" t="s">
        <v>3509</v>
      </c>
      <c r="BC15" s="3452" t="s">
        <v>3509</v>
      </c>
      <c r="BD15" s="3452" t="s">
        <v>3509</v>
      </c>
      <c r="BE15" s="3452" t="s">
        <v>3509</v>
      </c>
      <c r="BF15" s="3452" t="s">
        <v>3509</v>
      </c>
      <c r="BG15" s="3452" t="s">
        <v>3509</v>
      </c>
      <c r="BH15" s="3452" t="s">
        <v>3522</v>
      </c>
      <c r="BI15" s="3452" t="s">
        <v>3516</v>
      </c>
      <c r="BJ15" s="3452" t="s">
        <v>3523</v>
      </c>
      <c r="BK15" s="3452" t="s">
        <v>3516</v>
      </c>
      <c r="BL15" s="3453">
        <v>44836.000497685185</v>
      </c>
      <c r="BM15" s="3452">
        <v>20000</v>
      </c>
    </row>
    <row r="16" spans="1:65">
      <c r="A16" s="3452" t="s">
        <v>3579</v>
      </c>
      <c r="B16" s="3452" t="s">
        <v>3503</v>
      </c>
      <c r="C16" s="3452" t="s">
        <v>3504</v>
      </c>
      <c r="D16" s="3452" t="s">
        <v>3505</v>
      </c>
      <c r="E16" s="3452" t="s">
        <v>3506</v>
      </c>
      <c r="F16" s="3452" t="s">
        <v>3580</v>
      </c>
      <c r="G16" s="3452" t="s">
        <v>3580</v>
      </c>
      <c r="H16" s="3452" t="s">
        <v>3581</v>
      </c>
      <c r="I16" s="3452">
        <v>16122.82</v>
      </c>
      <c r="J16" s="3452">
        <v>45143.91</v>
      </c>
      <c r="K16" s="3452" t="s">
        <v>3509</v>
      </c>
      <c r="L16" s="3452" t="s">
        <v>3509</v>
      </c>
      <c r="M16" s="3452">
        <v>0</v>
      </c>
      <c r="N16" s="3452">
        <v>0</v>
      </c>
      <c r="O16" s="3452" t="s">
        <v>3510</v>
      </c>
      <c r="P16" s="3452" t="s">
        <v>3511</v>
      </c>
      <c r="Q16" s="3452" t="s">
        <v>3512</v>
      </c>
      <c r="R16" s="3452" t="s">
        <v>3582</v>
      </c>
      <c r="S16" s="3452" t="s">
        <v>3563</v>
      </c>
      <c r="T16" s="3452">
        <v>2.8</v>
      </c>
      <c r="U16" s="3452" t="s">
        <v>3509</v>
      </c>
      <c r="V16" s="3452" t="s">
        <v>3509</v>
      </c>
      <c r="W16" s="3452" t="s">
        <v>3509</v>
      </c>
      <c r="X16" s="3452" t="s">
        <v>3515</v>
      </c>
      <c r="Y16" s="3452" t="s">
        <v>3516</v>
      </c>
      <c r="Z16" s="3452" t="s">
        <v>3509</v>
      </c>
      <c r="AA16" s="3452" t="s">
        <v>3509</v>
      </c>
      <c r="AB16" s="3452" t="s">
        <v>3509</v>
      </c>
      <c r="AC16" s="3452" t="s">
        <v>3509</v>
      </c>
      <c r="AD16" s="3453">
        <v>44725.000497685185</v>
      </c>
      <c r="AE16" s="3453">
        <v>44747.000497685185</v>
      </c>
      <c r="AF16" s="3453">
        <v>44761.000497685185</v>
      </c>
      <c r="AG16" s="3453">
        <v>44761.000497685185</v>
      </c>
      <c r="AH16" s="3452" t="s">
        <v>3517</v>
      </c>
      <c r="AI16" s="3452" t="s">
        <v>3573</v>
      </c>
      <c r="AJ16" s="3452" t="s">
        <v>3583</v>
      </c>
      <c r="AK16" s="3452" t="s">
        <v>3584</v>
      </c>
      <c r="AL16" s="3452" t="s">
        <v>3521</v>
      </c>
      <c r="AM16" s="3452" t="s">
        <v>3509</v>
      </c>
      <c r="AN16" s="3452">
        <v>76000</v>
      </c>
      <c r="AO16" s="3452">
        <v>16000</v>
      </c>
      <c r="AP16" s="3453">
        <v>44761.625497685185</v>
      </c>
      <c r="AQ16" s="3452">
        <v>76000</v>
      </c>
      <c r="AR16" s="3452">
        <v>47138.15</v>
      </c>
      <c r="AS16" s="3452">
        <v>47138.15</v>
      </c>
      <c r="AT16" s="3452">
        <v>3142.54</v>
      </c>
      <c r="AU16" s="3452">
        <v>3142.54</v>
      </c>
      <c r="AV16" s="3452">
        <v>16835</v>
      </c>
      <c r="AW16" s="3452">
        <v>16835</v>
      </c>
      <c r="AX16" s="3452" t="s">
        <v>3509</v>
      </c>
      <c r="AY16" s="3452" t="s">
        <v>3509</v>
      </c>
      <c r="AZ16" s="3452">
        <v>0</v>
      </c>
      <c r="BA16" s="3452" t="s">
        <v>3509</v>
      </c>
      <c r="BB16" s="3452" t="s">
        <v>3509</v>
      </c>
      <c r="BC16" s="3452" t="s">
        <v>3509</v>
      </c>
      <c r="BD16" s="3452" t="s">
        <v>3509</v>
      </c>
      <c r="BE16" s="3452" t="s">
        <v>3509</v>
      </c>
      <c r="BF16" s="3452" t="s">
        <v>3509</v>
      </c>
      <c r="BG16" s="3452" t="s">
        <v>3509</v>
      </c>
      <c r="BH16" s="3452" t="s">
        <v>3522</v>
      </c>
      <c r="BI16" s="3452" t="s">
        <v>3516</v>
      </c>
      <c r="BJ16" s="3452" t="s">
        <v>3523</v>
      </c>
      <c r="BK16" s="3452" t="s">
        <v>3516</v>
      </c>
      <c r="BL16" s="3453">
        <v>44797.000497685185</v>
      </c>
      <c r="BM16" s="3452">
        <v>76000</v>
      </c>
    </row>
    <row r="17" spans="1:65">
      <c r="A17" s="3452" t="s">
        <v>3585</v>
      </c>
      <c r="B17" s="3452" t="s">
        <v>3503</v>
      </c>
      <c r="C17" s="3452" t="s">
        <v>3504</v>
      </c>
      <c r="D17" s="3452" t="s">
        <v>3505</v>
      </c>
      <c r="E17" s="3452" t="s">
        <v>3586</v>
      </c>
      <c r="F17" s="3452" t="s">
        <v>3587</v>
      </c>
      <c r="G17" s="3452" t="s">
        <v>3587</v>
      </c>
      <c r="H17" s="3452" t="s">
        <v>3588</v>
      </c>
      <c r="I17" s="3452">
        <v>29991.73</v>
      </c>
      <c r="J17" s="3452">
        <v>119966.93</v>
      </c>
      <c r="K17" s="3452" t="s">
        <v>3509</v>
      </c>
      <c r="L17" s="3452" t="s">
        <v>3509</v>
      </c>
      <c r="M17" s="3452">
        <v>0</v>
      </c>
      <c r="N17" s="3452">
        <v>0</v>
      </c>
      <c r="O17" s="3452" t="s">
        <v>3510</v>
      </c>
      <c r="P17" s="3452" t="s">
        <v>3511</v>
      </c>
      <c r="Q17" s="3452" t="s">
        <v>3512</v>
      </c>
      <c r="R17" s="3452" t="s">
        <v>3589</v>
      </c>
      <c r="S17" s="3452">
        <v>4</v>
      </c>
      <c r="T17" s="3452">
        <v>4</v>
      </c>
      <c r="U17" s="3452" t="s">
        <v>3509</v>
      </c>
      <c r="V17" s="3452" t="s">
        <v>3509</v>
      </c>
      <c r="W17" s="3452">
        <v>100</v>
      </c>
      <c r="X17" s="3452" t="s">
        <v>3515</v>
      </c>
      <c r="Y17" s="3452" t="s">
        <v>3516</v>
      </c>
      <c r="Z17" s="3452" t="s">
        <v>3509</v>
      </c>
      <c r="AA17" s="3452" t="s">
        <v>3509</v>
      </c>
      <c r="AB17" s="3452" t="s">
        <v>3509</v>
      </c>
      <c r="AC17" s="3452" t="s">
        <v>3509</v>
      </c>
      <c r="AD17" s="3453">
        <v>44531.000497685185</v>
      </c>
      <c r="AE17" s="3453">
        <v>44551.000497685185</v>
      </c>
      <c r="AF17" s="3453">
        <v>44566.000497685185</v>
      </c>
      <c r="AG17" s="3453">
        <v>44566.000497685185</v>
      </c>
      <c r="AH17" s="3452" t="s">
        <v>3517</v>
      </c>
      <c r="AI17" s="3452" t="s">
        <v>3573</v>
      </c>
      <c r="AJ17" s="3452" t="s">
        <v>3590</v>
      </c>
      <c r="AK17" s="3452" t="s">
        <v>3509</v>
      </c>
      <c r="AL17" s="3452" t="s">
        <v>3509</v>
      </c>
      <c r="AM17" s="3452" t="s">
        <v>3509</v>
      </c>
      <c r="AN17" s="3452">
        <v>165300</v>
      </c>
      <c r="AO17" s="3452">
        <v>33100</v>
      </c>
      <c r="AP17" s="3452" t="s">
        <v>3509</v>
      </c>
      <c r="AQ17" s="3452">
        <v>165300</v>
      </c>
      <c r="AR17" s="3452">
        <v>55115.19</v>
      </c>
      <c r="AS17" s="3452">
        <v>55115.19</v>
      </c>
      <c r="AT17" s="3452">
        <v>3674.35</v>
      </c>
      <c r="AU17" s="3452">
        <v>3674.35</v>
      </c>
      <c r="AV17" s="3452">
        <v>13779</v>
      </c>
      <c r="AW17" s="3452">
        <v>13779</v>
      </c>
      <c r="AX17" s="3452" t="s">
        <v>3509</v>
      </c>
      <c r="AY17" s="3452" t="s">
        <v>3509</v>
      </c>
      <c r="AZ17" s="3452">
        <v>0</v>
      </c>
      <c r="BA17" s="3452" t="s">
        <v>3509</v>
      </c>
      <c r="BB17" s="3452" t="s">
        <v>3509</v>
      </c>
      <c r="BC17" s="3452" t="s">
        <v>3509</v>
      </c>
      <c r="BD17" s="3452" t="s">
        <v>3509</v>
      </c>
      <c r="BE17" s="3452" t="s">
        <v>3509</v>
      </c>
      <c r="BF17" s="3452" t="s">
        <v>3509</v>
      </c>
      <c r="BG17" s="3452" t="s">
        <v>3509</v>
      </c>
      <c r="BH17" s="3452" t="s">
        <v>3522</v>
      </c>
      <c r="BI17" s="3452" t="s">
        <v>3516</v>
      </c>
      <c r="BJ17" s="3452" t="s">
        <v>3523</v>
      </c>
      <c r="BK17" s="3452" t="s">
        <v>3516</v>
      </c>
      <c r="BL17" s="3453">
        <v>44567.000497685185</v>
      </c>
      <c r="BM17" s="3452">
        <v>165300</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47" t="str">
        <f>IF(项目基本情况!B9="房地产市场价值","估价结果一览表","结果表-2")</f>
        <v>结果表-2</v>
      </c>
      <c r="B1" s="3547"/>
      <c r="C1" s="3547"/>
      <c r="D1" s="3547"/>
      <c r="E1" s="3547"/>
      <c r="F1" s="3547"/>
      <c r="G1" s="3547"/>
      <c r="H1" s="3547"/>
      <c r="I1" s="3547"/>
    </row>
    <row r="2" spans="1:9" ht="30" customHeight="1" thickTop="1">
      <c r="A2" s="3548" t="s">
        <v>928</v>
      </c>
      <c r="B2" s="3548" t="s">
        <v>929</v>
      </c>
      <c r="C2" s="3548" t="s">
        <v>930</v>
      </c>
      <c r="D2" s="3548" t="str">
        <f>结果表!D116</f>
        <v>出让国有建设用地使用权价值</v>
      </c>
      <c r="E2" s="3548"/>
      <c r="F2" s="3548" t="str">
        <f>结果表!F116</f>
        <v>在建建筑物价值</v>
      </c>
      <c r="G2" s="3548"/>
      <c r="H2" s="3548" t="str">
        <f>IF(项目基本情况!B9="房地产市场价值","房地产市场价值","房地产价值")</f>
        <v>房地产价值</v>
      </c>
      <c r="I2" s="3548"/>
    </row>
    <row r="3" spans="1:9" ht="15">
      <c r="A3" s="3549"/>
      <c r="B3" s="3549"/>
      <c r="C3" s="3549"/>
      <c r="D3" s="854" t="s">
        <v>925</v>
      </c>
      <c r="E3" s="854" t="s">
        <v>931</v>
      </c>
      <c r="F3" s="854" t="s">
        <v>925</v>
      </c>
      <c r="G3" s="854" t="s">
        <v>926</v>
      </c>
      <c r="H3" s="854" t="s">
        <v>925</v>
      </c>
      <c r="I3" s="854" t="s">
        <v>926</v>
      </c>
    </row>
    <row r="4" spans="1:9" ht="30">
      <c r="A4" s="1504" t="str">
        <f>项目基本情况!S2</f>
        <v>北京市顺义区汇海南路6号院25号楼-2至10层101房地产</v>
      </c>
      <c r="B4" s="854">
        <f>项目基本情况!C17</f>
        <v>16295.3</v>
      </c>
      <c r="C4" s="854">
        <f>项目基本情况!C18</f>
        <v>0</v>
      </c>
      <c r="D4" s="854">
        <f ca="1">结果表!D118</f>
        <v>4061</v>
      </c>
      <c r="E4" s="854">
        <f ca="1">结果表!E118</f>
        <v>2493</v>
      </c>
      <c r="F4" s="854">
        <f ca="1">结果表!F118</f>
        <v>26940</v>
      </c>
      <c r="G4" s="854">
        <f ca="1">结果表!G118</f>
        <v>16532</v>
      </c>
      <c r="H4" s="854">
        <f ca="1">结果表!H118</f>
        <v>31001</v>
      </c>
      <c r="I4" s="854">
        <f ca="1">结果表!I118</f>
        <v>19025</v>
      </c>
    </row>
    <row r="5" spans="1:9" ht="30" customHeight="1">
      <c r="A5" s="3549" t="s">
        <v>927</v>
      </c>
      <c r="B5" s="3549"/>
      <c r="C5" s="3549"/>
      <c r="D5" s="3549" t="str">
        <f ca="1">结果表!D119</f>
        <v>肆仟零陆拾壹万元整</v>
      </c>
      <c r="E5" s="3549"/>
      <c r="F5" s="3549" t="str">
        <f ca="1">结果表!F119</f>
        <v>贰亿陆仟玖佰肆拾万元整</v>
      </c>
      <c r="G5" s="3549"/>
      <c r="H5" s="3549" t="str">
        <f ca="1">结果表!H119</f>
        <v>叁亿壹仟零壹万元整</v>
      </c>
      <c r="I5" s="3549"/>
    </row>
    <row r="6" spans="1:9" ht="15.75">
      <c r="A6" s="3550" t="str">
        <f>结果表!A120</f>
        <v>估价师知悉的法定优先受偿款</v>
      </c>
      <c r="B6" s="3550"/>
      <c r="C6" s="3550"/>
      <c r="D6" s="3550">
        <f>结果表!D120</f>
        <v>0</v>
      </c>
      <c r="E6" s="3550"/>
      <c r="F6" s="3550"/>
      <c r="G6" s="3550"/>
      <c r="H6" s="3550"/>
      <c r="I6" s="3550"/>
    </row>
    <row r="7" spans="1:9" ht="15">
      <c r="A7" s="3549" t="s">
        <v>927</v>
      </c>
      <c r="B7" s="3549"/>
      <c r="C7" s="3549"/>
      <c r="D7" s="3551" t="str">
        <f>结果表!D121</f>
        <v>零元整</v>
      </c>
      <c r="E7" s="3552"/>
      <c r="F7" s="3552"/>
      <c r="G7" s="3552"/>
      <c r="H7" s="3552"/>
      <c r="I7" s="3553"/>
    </row>
    <row r="8" spans="1:9" ht="15.75">
      <c r="A8" s="3550" t="str">
        <f>结果表!A122</f>
        <v>房地产抵押价值</v>
      </c>
      <c r="B8" s="3550"/>
      <c r="C8" s="3550"/>
      <c r="D8" s="3550">
        <f ca="1">结果表!D122</f>
        <v>31001</v>
      </c>
      <c r="E8" s="3550"/>
      <c r="F8" s="3550"/>
      <c r="G8" s="3550"/>
      <c r="H8" s="3550"/>
      <c r="I8" s="3550"/>
    </row>
    <row r="9" spans="1:9" ht="15">
      <c r="A9" s="3549" t="s">
        <v>927</v>
      </c>
      <c r="B9" s="3549"/>
      <c r="C9" s="3549"/>
      <c r="D9" s="3549" t="str">
        <f ca="1">结果表!D123</f>
        <v>叁亿壹仟零壹万元整</v>
      </c>
      <c r="E9" s="3549"/>
      <c r="F9" s="3549"/>
      <c r="G9" s="3549"/>
      <c r="H9" s="3549"/>
      <c r="I9" s="3549"/>
    </row>
    <row r="10" spans="1:9" ht="15.75">
      <c r="A10" s="3550" t="str">
        <f>结果表!A124</f>
        <v/>
      </c>
      <c r="B10" s="3550"/>
      <c r="C10" s="3550"/>
      <c r="D10" s="3550" t="str">
        <f>结果表!D124</f>
        <v>——</v>
      </c>
      <c r="E10" s="3550"/>
      <c r="F10" s="3550"/>
      <c r="G10" s="3550"/>
      <c r="H10" s="3550"/>
      <c r="I10" s="3550"/>
    </row>
    <row r="11" spans="1:9" ht="15">
      <c r="A11" s="3549" t="s">
        <v>927</v>
      </c>
      <c r="B11" s="3549"/>
      <c r="C11" s="3549"/>
      <c r="D11" s="3549" t="e">
        <f>结果表!D125</f>
        <v>#VALUE!</v>
      </c>
      <c r="E11" s="3549"/>
      <c r="F11" s="3549"/>
      <c r="G11" s="3549"/>
      <c r="H11" s="3549"/>
      <c r="I11" s="3549"/>
    </row>
    <row r="12" spans="1:9" ht="15.75">
      <c r="A12" s="3550" t="str">
        <f>结果表!A126</f>
        <v>抵押净值</v>
      </c>
      <c r="B12" s="3550"/>
      <c r="C12" s="3550"/>
      <c r="D12" s="3550">
        <f ca="1">结果表!D126</f>
        <v>27856</v>
      </c>
      <c r="E12" s="3550"/>
      <c r="F12" s="3550"/>
      <c r="G12" s="3550"/>
      <c r="H12" s="3550"/>
      <c r="I12" s="3550"/>
    </row>
    <row r="13" spans="1:9" ht="15.75" thickBot="1">
      <c r="A13" s="3554" t="s">
        <v>927</v>
      </c>
      <c r="B13" s="3554"/>
      <c r="C13" s="3554"/>
      <c r="D13" s="3554" t="str">
        <f ca="1">结果表!D127</f>
        <v>贰亿柒仟捌佰伍拾陆万元整</v>
      </c>
      <c r="E13" s="3554"/>
      <c r="F13" s="3554"/>
      <c r="G13" s="3554"/>
      <c r="H13" s="3554"/>
      <c r="I13" s="3554"/>
    </row>
    <row r="14" spans="1:9" ht="15" thickTop="1">
      <c r="A14" s="3555" t="s">
        <v>932</v>
      </c>
      <c r="B14" s="3555"/>
      <c r="C14" s="3555"/>
      <c r="D14" s="3555"/>
      <c r="E14" s="3555"/>
      <c r="F14" s="3555"/>
      <c r="G14" s="3555"/>
      <c r="H14" s="3555"/>
      <c r="I14" s="355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0"/>
  <sheetViews>
    <sheetView topLeftCell="AN1" workbookViewId="0">
      <selection activeCell="BH14" sqref="BH14"/>
    </sheetView>
  </sheetViews>
  <sheetFormatPr defaultColWidth="9" defaultRowHeight="14.25"/>
  <cols>
    <col min="1" max="1" width="20" style="3452" customWidth="1"/>
    <col min="2" max="3" width="20" style="3452" hidden="1" customWidth="1"/>
    <col min="4" max="4" width="10.125" style="3452" customWidth="1"/>
    <col min="5" max="5" width="15" style="3452" customWidth="1"/>
    <col min="6" max="10" width="20" style="3452" customWidth="1"/>
    <col min="11" max="14" width="20" style="3452" hidden="1" customWidth="1"/>
    <col min="15" max="43" width="20" style="3452" customWidth="1"/>
    <col min="44" max="44" width="20" style="3452" hidden="1" customWidth="1"/>
    <col min="45" max="45" width="20" style="3452" customWidth="1"/>
    <col min="46" max="46" width="20" style="3452" hidden="1" customWidth="1"/>
    <col min="47" max="47" width="20" style="3452" customWidth="1"/>
    <col min="48" max="48" width="20" style="3452" hidden="1" customWidth="1"/>
    <col min="49" max="49" width="20" style="3452" customWidth="1"/>
    <col min="50" max="59" width="20" style="3452" hidden="1" customWidth="1"/>
    <col min="60" max="66" width="20" style="3452" customWidth="1"/>
    <col min="67" max="16384" width="9" style="3452"/>
  </cols>
  <sheetData>
    <row r="1" spans="1:65">
      <c r="A1" s="3452" t="s">
        <v>3437</v>
      </c>
      <c r="B1" s="3452" t="s">
        <v>3438</v>
      </c>
      <c r="C1" s="3452" t="s">
        <v>3439</v>
      </c>
      <c r="D1" s="3452" t="s">
        <v>3440</v>
      </c>
      <c r="E1" s="3452" t="s">
        <v>3441</v>
      </c>
      <c r="F1" s="3452" t="s">
        <v>3442</v>
      </c>
      <c r="G1" s="3452" t="s">
        <v>3443</v>
      </c>
      <c r="H1" s="3452" t="s">
        <v>3444</v>
      </c>
      <c r="I1" s="3452" t="s">
        <v>3445</v>
      </c>
      <c r="J1" s="3452" t="s">
        <v>3446</v>
      </c>
      <c r="K1" s="3452" t="s">
        <v>3447</v>
      </c>
      <c r="L1" s="3452" t="s">
        <v>3448</v>
      </c>
      <c r="M1" s="3452" t="s">
        <v>3449</v>
      </c>
      <c r="N1" s="3452" t="s">
        <v>3450</v>
      </c>
      <c r="O1" s="3452" t="s">
        <v>3451</v>
      </c>
      <c r="P1" s="3452" t="s">
        <v>3452</v>
      </c>
      <c r="Q1" s="3452" t="s">
        <v>3453</v>
      </c>
      <c r="R1" s="3452" t="s">
        <v>3454</v>
      </c>
      <c r="S1" s="3452" t="s">
        <v>3455</v>
      </c>
      <c r="T1" s="3452" t="s">
        <v>3456</v>
      </c>
      <c r="U1" s="3452" t="s">
        <v>3457</v>
      </c>
      <c r="V1" s="3452" t="s">
        <v>3458</v>
      </c>
      <c r="W1" s="3452" t="s">
        <v>3459</v>
      </c>
      <c r="X1" s="3452" t="s">
        <v>3460</v>
      </c>
      <c r="Y1" s="3452" t="s">
        <v>3461</v>
      </c>
      <c r="Z1" s="3452" t="s">
        <v>3462</v>
      </c>
      <c r="AA1" s="3452" t="s">
        <v>3463</v>
      </c>
      <c r="AB1" s="3452" t="s">
        <v>3464</v>
      </c>
      <c r="AC1" s="3452" t="s">
        <v>3465</v>
      </c>
      <c r="AD1" s="3452" t="s">
        <v>3466</v>
      </c>
      <c r="AE1" s="3452" t="s">
        <v>3467</v>
      </c>
      <c r="AF1" s="3452" t="s">
        <v>3468</v>
      </c>
      <c r="AG1" s="3452" t="s">
        <v>3469</v>
      </c>
      <c r="AH1" s="3452" t="s">
        <v>3470</v>
      </c>
      <c r="AI1" s="3452" t="s">
        <v>3471</v>
      </c>
      <c r="AJ1" s="3452" t="s">
        <v>3472</v>
      </c>
      <c r="AK1" s="3452" t="s">
        <v>3473</v>
      </c>
      <c r="AL1" s="3452" t="s">
        <v>3474</v>
      </c>
      <c r="AM1" s="3452" t="s">
        <v>3475</v>
      </c>
      <c r="AN1" s="3452" t="s">
        <v>3476</v>
      </c>
      <c r="AO1" s="3452" t="s">
        <v>3477</v>
      </c>
      <c r="AP1" s="3452" t="s">
        <v>3478</v>
      </c>
      <c r="AQ1" s="3452" t="s">
        <v>3479</v>
      </c>
      <c r="AR1" s="3452" t="s">
        <v>3480</v>
      </c>
      <c r="AS1" s="3452" t="s">
        <v>3481</v>
      </c>
      <c r="AT1" s="3452" t="s">
        <v>3482</v>
      </c>
      <c r="AU1" s="3452" t="s">
        <v>3483</v>
      </c>
      <c r="AV1" s="3452" t="s">
        <v>3484</v>
      </c>
      <c r="AW1" s="3452" t="s">
        <v>3485</v>
      </c>
      <c r="AX1" s="3452" t="s">
        <v>3486</v>
      </c>
      <c r="AY1" s="3452" t="s">
        <v>3487</v>
      </c>
      <c r="AZ1" s="3452" t="s">
        <v>3488</v>
      </c>
      <c r="BA1" s="3452" t="s">
        <v>3489</v>
      </c>
      <c r="BB1" s="3452" t="s">
        <v>3490</v>
      </c>
      <c r="BC1" s="3452" t="s">
        <v>3491</v>
      </c>
      <c r="BD1" s="3452" t="s">
        <v>3492</v>
      </c>
      <c r="BE1" s="3452" t="s">
        <v>3493</v>
      </c>
      <c r="BF1" s="3452" t="s">
        <v>3494</v>
      </c>
      <c r="BG1" s="3452" t="s">
        <v>3495</v>
      </c>
      <c r="BH1" s="3452" t="s">
        <v>3496</v>
      </c>
      <c r="BI1" s="3452" t="s">
        <v>3497</v>
      </c>
      <c r="BJ1" s="3452" t="s">
        <v>3498</v>
      </c>
      <c r="BK1" s="3452" t="s">
        <v>3499</v>
      </c>
      <c r="BL1" s="3452" t="s">
        <v>3500</v>
      </c>
      <c r="BM1" s="3452" t="s">
        <v>3501</v>
      </c>
    </row>
    <row r="2" spans="1:65">
      <c r="A2" s="3452" t="s">
        <v>3918</v>
      </c>
      <c r="B2" s="3452" t="s">
        <v>3503</v>
      </c>
      <c r="C2" s="3452" t="s">
        <v>3504</v>
      </c>
      <c r="D2" s="3452" t="s">
        <v>3919</v>
      </c>
      <c r="E2" s="3452" t="s">
        <v>3920</v>
      </c>
      <c r="F2" s="3452" t="s">
        <v>3921</v>
      </c>
      <c r="G2" s="3452" t="s">
        <v>3921</v>
      </c>
      <c r="H2" s="3452" t="s">
        <v>3922</v>
      </c>
      <c r="I2" s="3452">
        <v>17652.03</v>
      </c>
      <c r="J2" s="3452">
        <v>21182.44</v>
      </c>
      <c r="K2" s="3452" t="s">
        <v>3509</v>
      </c>
      <c r="L2" s="3452" t="s">
        <v>3509</v>
      </c>
      <c r="M2" s="3452">
        <v>0</v>
      </c>
      <c r="N2" s="3452">
        <v>0</v>
      </c>
      <c r="O2" s="3452" t="s">
        <v>3923</v>
      </c>
      <c r="P2" s="3452" t="s">
        <v>3924</v>
      </c>
      <c r="Q2" s="3452" t="s">
        <v>3925</v>
      </c>
      <c r="R2" s="3452" t="s">
        <v>3926</v>
      </c>
      <c r="S2" s="3452">
        <v>1.2</v>
      </c>
      <c r="T2" s="3452">
        <v>1.2</v>
      </c>
      <c r="U2" s="3452" t="s">
        <v>3509</v>
      </c>
      <c r="V2" s="3452" t="s">
        <v>3509</v>
      </c>
      <c r="W2" s="3452" t="s">
        <v>3509</v>
      </c>
      <c r="X2" s="3452" t="s">
        <v>3515</v>
      </c>
      <c r="Y2" s="3452" t="s">
        <v>3516</v>
      </c>
      <c r="Z2" s="3452" t="s">
        <v>3509</v>
      </c>
      <c r="AA2" s="3452" t="s">
        <v>3509</v>
      </c>
      <c r="AB2" s="3452" t="s">
        <v>3509</v>
      </c>
      <c r="AC2" s="3452" t="s">
        <v>3509</v>
      </c>
      <c r="AD2" s="3453">
        <v>45377.000497685185</v>
      </c>
      <c r="AE2" s="3453">
        <v>45397.000497685185</v>
      </c>
      <c r="AF2" s="3453">
        <v>45408.000497685185</v>
      </c>
      <c r="AG2" s="3453">
        <v>45408.000497685185</v>
      </c>
      <c r="AH2" s="3452" t="s">
        <v>3517</v>
      </c>
      <c r="AI2" s="3452" t="s">
        <v>3518</v>
      </c>
      <c r="AJ2" s="3452" t="s">
        <v>3927</v>
      </c>
      <c r="AK2" s="3452" t="s">
        <v>3928</v>
      </c>
      <c r="AL2" s="3452" t="s">
        <v>3521</v>
      </c>
      <c r="AM2" s="3452" t="s">
        <v>3509</v>
      </c>
      <c r="AN2" s="3452">
        <v>4300</v>
      </c>
      <c r="AO2" s="3452">
        <v>900</v>
      </c>
      <c r="AP2" s="3453">
        <v>45411.625497685185</v>
      </c>
      <c r="AQ2" s="3452">
        <v>4300</v>
      </c>
      <c r="AR2" s="3452">
        <v>2435.98</v>
      </c>
      <c r="AS2" s="3452">
        <v>2435.98</v>
      </c>
      <c r="AT2" s="3452">
        <v>162.4</v>
      </c>
      <c r="AU2" s="3452">
        <v>162.4</v>
      </c>
      <c r="AV2" s="3452">
        <v>2030</v>
      </c>
      <c r="AW2" s="3452">
        <v>2030</v>
      </c>
      <c r="AX2" s="3452" t="s">
        <v>3509</v>
      </c>
      <c r="AY2" s="3452" t="s">
        <v>3509</v>
      </c>
      <c r="AZ2" s="3452">
        <v>0</v>
      </c>
      <c r="BA2" s="3452" t="s">
        <v>3509</v>
      </c>
      <c r="BB2" s="3452" t="s">
        <v>3509</v>
      </c>
      <c r="BC2" s="3452" t="s">
        <v>3509</v>
      </c>
      <c r="BD2" s="3452" t="s">
        <v>3509</v>
      </c>
      <c r="BE2" s="3452" t="s">
        <v>3509</v>
      </c>
      <c r="BF2" s="3452" t="s">
        <v>3509</v>
      </c>
      <c r="BG2" s="3452" t="s">
        <v>3509</v>
      </c>
      <c r="BH2" s="3452" t="s">
        <v>3929</v>
      </c>
      <c r="BI2" s="3452" t="s">
        <v>3516</v>
      </c>
      <c r="BJ2" s="3452" t="s">
        <v>3523</v>
      </c>
      <c r="BK2" s="3452" t="s">
        <v>3516</v>
      </c>
      <c r="BL2" s="3453">
        <v>45437.000497685185</v>
      </c>
      <c r="BM2" s="3452">
        <v>4300</v>
      </c>
    </row>
    <row r="3" spans="1:65">
      <c r="A3" s="3452" t="s">
        <v>3930</v>
      </c>
      <c r="B3" s="3452" t="s">
        <v>3503</v>
      </c>
      <c r="C3" s="3452" t="s">
        <v>3504</v>
      </c>
      <c r="D3" s="3452" t="s">
        <v>3919</v>
      </c>
      <c r="E3" s="3452" t="s">
        <v>3920</v>
      </c>
      <c r="F3" s="3452" t="s">
        <v>3931</v>
      </c>
      <c r="G3" s="3452" t="s">
        <v>3931</v>
      </c>
      <c r="H3" s="3452" t="s">
        <v>3932</v>
      </c>
      <c r="I3" s="3452">
        <v>21316.42</v>
      </c>
      <c r="J3" s="3452">
        <v>25579.71</v>
      </c>
      <c r="K3" s="3452" t="s">
        <v>3509</v>
      </c>
      <c r="L3" s="3452" t="s">
        <v>3509</v>
      </c>
      <c r="M3" s="3452">
        <v>0</v>
      </c>
      <c r="N3" s="3452">
        <v>0</v>
      </c>
      <c r="O3" s="3452" t="s">
        <v>3923</v>
      </c>
      <c r="P3" s="3452" t="s">
        <v>3924</v>
      </c>
      <c r="Q3" s="3452" t="s">
        <v>3925</v>
      </c>
      <c r="R3" s="3452" t="s">
        <v>3926</v>
      </c>
      <c r="S3" s="3452">
        <v>1.2</v>
      </c>
      <c r="T3" s="3452">
        <v>1.2</v>
      </c>
      <c r="U3" s="3452" t="s">
        <v>3509</v>
      </c>
      <c r="V3" s="3452" t="s">
        <v>3509</v>
      </c>
      <c r="W3" s="3452" t="s">
        <v>3509</v>
      </c>
      <c r="X3" s="3452" t="s">
        <v>3515</v>
      </c>
      <c r="Y3" s="3452" t="s">
        <v>3516</v>
      </c>
      <c r="Z3" s="3452" t="s">
        <v>3509</v>
      </c>
      <c r="AA3" s="3452" t="s">
        <v>3509</v>
      </c>
      <c r="AB3" s="3452" t="s">
        <v>3509</v>
      </c>
      <c r="AC3" s="3452" t="s">
        <v>3509</v>
      </c>
      <c r="AD3" s="3453">
        <v>45377.000497685185</v>
      </c>
      <c r="AE3" s="3453">
        <v>45397.000497685185</v>
      </c>
      <c r="AF3" s="3453">
        <v>45408.000497685185</v>
      </c>
      <c r="AG3" s="3453">
        <v>45408.000497685185</v>
      </c>
      <c r="AH3" s="3452" t="s">
        <v>3517</v>
      </c>
      <c r="AI3" s="3452" t="s">
        <v>3518</v>
      </c>
      <c r="AJ3" s="3452" t="s">
        <v>3927</v>
      </c>
      <c r="AK3" s="3452" t="s">
        <v>3928</v>
      </c>
      <c r="AL3" s="3452" t="s">
        <v>3521</v>
      </c>
      <c r="AM3" s="3452" t="s">
        <v>3509</v>
      </c>
      <c r="AN3" s="3452">
        <v>5200</v>
      </c>
      <c r="AO3" s="3452">
        <v>1100</v>
      </c>
      <c r="AP3" s="3453">
        <v>45411.625497685185</v>
      </c>
      <c r="AQ3" s="3452">
        <v>5200</v>
      </c>
      <c r="AR3" s="3452">
        <v>2439.4299999999998</v>
      </c>
      <c r="AS3" s="3452">
        <v>2439.4299999999998</v>
      </c>
      <c r="AT3" s="3452">
        <v>162.63</v>
      </c>
      <c r="AU3" s="3452">
        <v>162.63</v>
      </c>
      <c r="AV3" s="3452">
        <v>2033</v>
      </c>
      <c r="AW3" s="3452">
        <v>2033</v>
      </c>
      <c r="AX3" s="3452" t="s">
        <v>3509</v>
      </c>
      <c r="AY3" s="3452" t="s">
        <v>3509</v>
      </c>
      <c r="AZ3" s="3452">
        <v>0</v>
      </c>
      <c r="BA3" s="3452" t="s">
        <v>3509</v>
      </c>
      <c r="BB3" s="3452" t="s">
        <v>3509</v>
      </c>
      <c r="BC3" s="3452" t="s">
        <v>3509</v>
      </c>
      <c r="BD3" s="3452" t="s">
        <v>3509</v>
      </c>
      <c r="BE3" s="3452" t="s">
        <v>3509</v>
      </c>
      <c r="BF3" s="3452" t="s">
        <v>3509</v>
      </c>
      <c r="BG3" s="3452" t="s">
        <v>3509</v>
      </c>
      <c r="BH3" s="3452" t="s">
        <v>3929</v>
      </c>
      <c r="BI3" s="3452" t="s">
        <v>3516</v>
      </c>
      <c r="BJ3" s="3452" t="s">
        <v>3523</v>
      </c>
      <c r="BK3" s="3452" t="s">
        <v>3516</v>
      </c>
      <c r="BL3" s="3453">
        <v>45437.000497685185</v>
      </c>
      <c r="BM3" s="3452">
        <v>5200</v>
      </c>
    </row>
    <row r="4" spans="1:65">
      <c r="A4" s="3452" t="s">
        <v>3933</v>
      </c>
      <c r="B4" s="3452" t="s">
        <v>3503</v>
      </c>
      <c r="C4" s="3452" t="s">
        <v>3504</v>
      </c>
      <c r="D4" s="3452" t="s">
        <v>3919</v>
      </c>
      <c r="E4" s="3452" t="s">
        <v>3920</v>
      </c>
      <c r="F4" s="3452" t="s">
        <v>3934</v>
      </c>
      <c r="G4" s="3452" t="s">
        <v>3934</v>
      </c>
      <c r="H4" s="3452" t="s">
        <v>3932</v>
      </c>
      <c r="I4" s="3452">
        <v>17446.72</v>
      </c>
      <c r="J4" s="3452">
        <v>26170.09</v>
      </c>
      <c r="K4" s="3452" t="s">
        <v>3509</v>
      </c>
      <c r="L4" s="3452" t="s">
        <v>3509</v>
      </c>
      <c r="M4" s="3452">
        <v>0</v>
      </c>
      <c r="N4" s="3452">
        <v>0</v>
      </c>
      <c r="O4" s="3452" t="s">
        <v>3923</v>
      </c>
      <c r="P4" s="3452" t="s">
        <v>3924</v>
      </c>
      <c r="Q4" s="3452" t="s">
        <v>3925</v>
      </c>
      <c r="R4" s="3452">
        <v>30</v>
      </c>
      <c r="S4" s="3452">
        <v>1.5</v>
      </c>
      <c r="T4" s="3452">
        <v>1.5</v>
      </c>
      <c r="U4" s="3452" t="s">
        <v>3509</v>
      </c>
      <c r="V4" s="3452" t="s">
        <v>3509</v>
      </c>
      <c r="W4" s="3452" t="s">
        <v>3509</v>
      </c>
      <c r="X4" s="3452" t="s">
        <v>3515</v>
      </c>
      <c r="Y4" s="3452" t="s">
        <v>3516</v>
      </c>
      <c r="Z4" s="3452" t="s">
        <v>3509</v>
      </c>
      <c r="AA4" s="3452" t="s">
        <v>3509</v>
      </c>
      <c r="AB4" s="3452" t="s">
        <v>3509</v>
      </c>
      <c r="AC4" s="3452" t="s">
        <v>3509</v>
      </c>
      <c r="AD4" s="3453">
        <v>45377.000497685185</v>
      </c>
      <c r="AE4" s="3453">
        <v>45397.000497685185</v>
      </c>
      <c r="AF4" s="3453">
        <v>45408.000497685185</v>
      </c>
      <c r="AG4" s="3453">
        <v>45408.000497685185</v>
      </c>
      <c r="AH4" s="3452" t="s">
        <v>3517</v>
      </c>
      <c r="AI4" s="3452" t="s">
        <v>3518</v>
      </c>
      <c r="AJ4" s="3452" t="s">
        <v>3927</v>
      </c>
      <c r="AK4" s="3452" t="s">
        <v>3928</v>
      </c>
      <c r="AL4" s="3452" t="s">
        <v>3521</v>
      </c>
      <c r="AM4" s="3452" t="s">
        <v>3509</v>
      </c>
      <c r="AN4" s="3452">
        <v>5100</v>
      </c>
      <c r="AO4" s="3452">
        <v>1100</v>
      </c>
      <c r="AP4" s="3453">
        <v>45411.625497685185</v>
      </c>
      <c r="AQ4" s="3452">
        <v>5100</v>
      </c>
      <c r="AR4" s="3452">
        <v>2923.18</v>
      </c>
      <c r="AS4" s="3452">
        <v>2923.18</v>
      </c>
      <c r="AT4" s="3452">
        <v>194.88</v>
      </c>
      <c r="AU4" s="3452">
        <v>194.88</v>
      </c>
      <c r="AV4" s="3452">
        <v>1949</v>
      </c>
      <c r="AW4" s="3452">
        <v>1949</v>
      </c>
      <c r="AX4" s="3452" t="s">
        <v>3509</v>
      </c>
      <c r="AY4" s="3452" t="s">
        <v>3509</v>
      </c>
      <c r="AZ4" s="3452">
        <v>0</v>
      </c>
      <c r="BA4" s="3452" t="s">
        <v>3509</v>
      </c>
      <c r="BB4" s="3452" t="s">
        <v>3509</v>
      </c>
      <c r="BC4" s="3452" t="s">
        <v>3509</v>
      </c>
      <c r="BD4" s="3452" t="s">
        <v>3509</v>
      </c>
      <c r="BE4" s="3452" t="s">
        <v>3509</v>
      </c>
      <c r="BF4" s="3452" t="s">
        <v>3509</v>
      </c>
      <c r="BG4" s="3452" t="s">
        <v>3509</v>
      </c>
      <c r="BH4" s="3452" t="s">
        <v>3929</v>
      </c>
      <c r="BI4" s="3452" t="s">
        <v>3516</v>
      </c>
      <c r="BJ4" s="3452" t="s">
        <v>3523</v>
      </c>
      <c r="BK4" s="3452" t="s">
        <v>3516</v>
      </c>
      <c r="BL4" s="3452" t="s">
        <v>3509</v>
      </c>
      <c r="BM4" s="3452" t="s">
        <v>3509</v>
      </c>
    </row>
    <row r="5" spans="1:65">
      <c r="A5" s="3452" t="s">
        <v>3935</v>
      </c>
      <c r="B5" s="3452" t="s">
        <v>3503</v>
      </c>
      <c r="C5" s="3452" t="s">
        <v>3504</v>
      </c>
      <c r="D5" s="3452" t="s">
        <v>3936</v>
      </c>
      <c r="E5" s="3452" t="s">
        <v>3937</v>
      </c>
      <c r="F5" s="3452" t="s">
        <v>3938</v>
      </c>
      <c r="G5" s="3452" t="s">
        <v>3938</v>
      </c>
      <c r="H5" s="3452" t="s">
        <v>3939</v>
      </c>
      <c r="I5" s="3452">
        <v>37655.61</v>
      </c>
      <c r="J5" s="3452">
        <v>56108.97</v>
      </c>
      <c r="K5" s="3452" t="s">
        <v>3509</v>
      </c>
      <c r="L5" s="3452" t="s">
        <v>3509</v>
      </c>
      <c r="M5" s="3452">
        <v>0</v>
      </c>
      <c r="N5" s="3452">
        <v>0</v>
      </c>
      <c r="O5" s="3452" t="s">
        <v>3510</v>
      </c>
      <c r="P5" s="3452" t="s">
        <v>3940</v>
      </c>
      <c r="Q5" s="3452" t="s">
        <v>3512</v>
      </c>
      <c r="R5" s="3452" t="s">
        <v>3941</v>
      </c>
      <c r="S5" s="3452" t="s">
        <v>3942</v>
      </c>
      <c r="T5" s="3452">
        <v>1.6</v>
      </c>
      <c r="U5" s="3452" t="s">
        <v>3509</v>
      </c>
      <c r="V5" s="3452" t="s">
        <v>3509</v>
      </c>
      <c r="W5" s="3452" t="s">
        <v>3943</v>
      </c>
      <c r="X5" s="3452" t="s">
        <v>3515</v>
      </c>
      <c r="Y5" s="3452" t="s">
        <v>3516</v>
      </c>
      <c r="Z5" s="3452" t="s">
        <v>3509</v>
      </c>
      <c r="AA5" s="3452" t="s">
        <v>3509</v>
      </c>
      <c r="AB5" s="3452" t="s">
        <v>3509</v>
      </c>
      <c r="AC5" s="3452" t="s">
        <v>3509</v>
      </c>
      <c r="AD5" s="3453">
        <v>45329.000497685185</v>
      </c>
      <c r="AE5" s="3453">
        <v>45352.000497685185</v>
      </c>
      <c r="AF5" s="3453">
        <v>45366.000497685185</v>
      </c>
      <c r="AG5" s="3453">
        <v>45366.000497685185</v>
      </c>
      <c r="AH5" s="3452" t="s">
        <v>3517</v>
      </c>
      <c r="AI5" s="3452" t="s">
        <v>3518</v>
      </c>
      <c r="AJ5" s="3452" t="s">
        <v>3944</v>
      </c>
      <c r="AK5" s="3452" t="s">
        <v>3945</v>
      </c>
      <c r="AL5" s="3452" t="s">
        <v>3521</v>
      </c>
      <c r="AM5" s="3452" t="s">
        <v>3542</v>
      </c>
      <c r="AN5" s="3452">
        <v>74000</v>
      </c>
      <c r="AO5" s="3452">
        <v>15000</v>
      </c>
      <c r="AP5" s="3453">
        <v>45366.625497685185</v>
      </c>
      <c r="AQ5" s="3452">
        <v>74000</v>
      </c>
      <c r="AR5" s="3452">
        <v>19651.78</v>
      </c>
      <c r="AS5" s="3452">
        <v>19651.78</v>
      </c>
      <c r="AT5" s="3452">
        <v>1310.1199999999999</v>
      </c>
      <c r="AU5" s="3452">
        <v>1310.1199999999999</v>
      </c>
      <c r="AV5" s="3452">
        <v>13189</v>
      </c>
      <c r="AW5" s="3452">
        <v>13189</v>
      </c>
      <c r="AX5" s="3452" t="s">
        <v>3509</v>
      </c>
      <c r="AY5" s="3452" t="s">
        <v>3509</v>
      </c>
      <c r="AZ5" s="3452">
        <v>0</v>
      </c>
      <c r="BA5" s="3452" t="s">
        <v>3509</v>
      </c>
      <c r="BB5" s="3452" t="s">
        <v>3509</v>
      </c>
      <c r="BC5" s="3452" t="s">
        <v>3509</v>
      </c>
      <c r="BD5" s="3452" t="s">
        <v>3509</v>
      </c>
      <c r="BE5" s="3452" t="s">
        <v>3509</v>
      </c>
      <c r="BF5" s="3452" t="s">
        <v>3509</v>
      </c>
      <c r="BG5" s="3452" t="s">
        <v>3509</v>
      </c>
      <c r="BH5" s="3452" t="s">
        <v>3946</v>
      </c>
      <c r="BI5" s="3452" t="s">
        <v>3516</v>
      </c>
      <c r="BJ5" s="3452" t="s">
        <v>3523</v>
      </c>
      <c r="BK5" s="3452" t="s">
        <v>3516</v>
      </c>
      <c r="BL5" s="3453">
        <v>45406.000497685185</v>
      </c>
      <c r="BM5" s="3452">
        <v>74000</v>
      </c>
    </row>
    <row r="6" spans="1:65">
      <c r="A6" s="3452" t="s">
        <v>3947</v>
      </c>
      <c r="B6" s="3452" t="s">
        <v>3503</v>
      </c>
      <c r="C6" s="3452" t="s">
        <v>3504</v>
      </c>
      <c r="D6" s="3452" t="s">
        <v>3936</v>
      </c>
      <c r="E6" s="3452" t="s">
        <v>3948</v>
      </c>
      <c r="F6" s="3452" t="s">
        <v>3949</v>
      </c>
      <c r="G6" s="3452" t="s">
        <v>3949</v>
      </c>
      <c r="H6" s="3452" t="s">
        <v>3950</v>
      </c>
      <c r="I6" s="3452">
        <v>70601.06</v>
      </c>
      <c r="J6" s="3452">
        <v>285523</v>
      </c>
      <c r="K6" s="3452" t="s">
        <v>3509</v>
      </c>
      <c r="L6" s="3452" t="s">
        <v>3509</v>
      </c>
      <c r="M6" s="3452">
        <v>0</v>
      </c>
      <c r="N6" s="3452">
        <v>0</v>
      </c>
      <c r="O6" s="3452" t="s">
        <v>3510</v>
      </c>
      <c r="P6" s="3452" t="s">
        <v>3951</v>
      </c>
      <c r="Q6" s="3452" t="s">
        <v>3952</v>
      </c>
      <c r="R6" s="3452" t="s">
        <v>3953</v>
      </c>
      <c r="S6" s="3452">
        <v>4.04</v>
      </c>
      <c r="T6" s="3452">
        <v>4.04</v>
      </c>
      <c r="U6" s="3452" t="s">
        <v>3509</v>
      </c>
      <c r="V6" s="3452" t="s">
        <v>3509</v>
      </c>
      <c r="W6" s="3452" t="s">
        <v>3509</v>
      </c>
      <c r="X6" s="3452" t="s">
        <v>3515</v>
      </c>
      <c r="Y6" s="3452" t="s">
        <v>3516</v>
      </c>
      <c r="Z6" s="3452" t="s">
        <v>3509</v>
      </c>
      <c r="AA6" s="3452" t="s">
        <v>3509</v>
      </c>
      <c r="AB6" s="3452" t="s">
        <v>3509</v>
      </c>
      <c r="AC6" s="3452" t="s">
        <v>3509</v>
      </c>
      <c r="AD6" s="3453">
        <v>45279.000497685185</v>
      </c>
      <c r="AE6" s="3453">
        <v>45300.000497685185</v>
      </c>
      <c r="AF6" s="3453">
        <v>45314.000497685185</v>
      </c>
      <c r="AG6" s="3453">
        <v>45314.000497685185</v>
      </c>
      <c r="AH6" s="3452" t="s">
        <v>3517</v>
      </c>
      <c r="AI6" s="3452" t="s">
        <v>3518</v>
      </c>
      <c r="AJ6" s="3452" t="s">
        <v>3954</v>
      </c>
      <c r="AK6" s="3452" t="s">
        <v>3955</v>
      </c>
      <c r="AL6" s="3452" t="s">
        <v>3566</v>
      </c>
      <c r="AM6" s="3452" t="s">
        <v>3509</v>
      </c>
      <c r="AN6" s="3452">
        <v>642000</v>
      </c>
      <c r="AO6" s="3452">
        <v>129000</v>
      </c>
      <c r="AP6" s="3453">
        <v>45314.625497685185</v>
      </c>
      <c r="AQ6" s="3452">
        <v>642000</v>
      </c>
      <c r="AR6" s="3452">
        <v>90933.48</v>
      </c>
      <c r="AS6" s="3452">
        <v>90933.48</v>
      </c>
      <c r="AT6" s="3452">
        <v>6062.23</v>
      </c>
      <c r="AU6" s="3452">
        <v>6062.23</v>
      </c>
      <c r="AV6" s="3452">
        <v>22485</v>
      </c>
      <c r="AW6" s="3452">
        <v>22485</v>
      </c>
      <c r="AX6" s="3452" t="s">
        <v>3509</v>
      </c>
      <c r="AY6" s="3452" t="s">
        <v>3509</v>
      </c>
      <c r="AZ6" s="3452">
        <v>0</v>
      </c>
      <c r="BA6" s="3452" t="s">
        <v>3509</v>
      </c>
      <c r="BB6" s="3452" t="s">
        <v>3509</v>
      </c>
      <c r="BC6" s="3452" t="s">
        <v>3509</v>
      </c>
      <c r="BD6" s="3452" t="s">
        <v>3509</v>
      </c>
      <c r="BE6" s="3452" t="s">
        <v>3509</v>
      </c>
      <c r="BF6" s="3452" t="s">
        <v>3509</v>
      </c>
      <c r="BG6" s="3452" t="s">
        <v>3509</v>
      </c>
      <c r="BH6" s="3452" t="s">
        <v>3956</v>
      </c>
      <c r="BI6" s="3452" t="s">
        <v>3516</v>
      </c>
      <c r="BJ6" s="3452" t="s">
        <v>3523</v>
      </c>
      <c r="BK6" s="3452" t="s">
        <v>3516</v>
      </c>
      <c r="BL6" s="3453">
        <v>45350.000497685185</v>
      </c>
      <c r="BM6" s="3452">
        <v>642000</v>
      </c>
    </row>
    <row r="7" spans="1:65" s="3509" customFormat="1">
      <c r="A7" s="3509" t="s">
        <v>3957</v>
      </c>
      <c r="B7" s="3509" t="s">
        <v>3503</v>
      </c>
      <c r="C7" s="3509" t="s">
        <v>3504</v>
      </c>
      <c r="D7" s="3509" t="s">
        <v>3958</v>
      </c>
      <c r="E7" s="3509" t="s">
        <v>3959</v>
      </c>
      <c r="F7" s="3509" t="s">
        <v>3960</v>
      </c>
      <c r="G7" s="3509" t="s">
        <v>3960</v>
      </c>
      <c r="H7" s="3509" t="s">
        <v>3961</v>
      </c>
      <c r="I7" s="3509">
        <v>32636.74</v>
      </c>
      <c r="J7" s="3509">
        <v>78328</v>
      </c>
      <c r="K7" s="3509" t="s">
        <v>3509</v>
      </c>
      <c r="L7" s="3509" t="s">
        <v>3509</v>
      </c>
      <c r="M7" s="3509">
        <v>0</v>
      </c>
      <c r="N7" s="3509">
        <v>0</v>
      </c>
      <c r="O7" s="3509" t="s">
        <v>3510</v>
      </c>
      <c r="P7" s="3509" t="s">
        <v>3962</v>
      </c>
      <c r="Q7" s="3509" t="s">
        <v>3512</v>
      </c>
      <c r="R7" s="3509">
        <v>20</v>
      </c>
      <c r="S7" s="3509">
        <v>2.4</v>
      </c>
      <c r="T7" s="3509">
        <v>2.4</v>
      </c>
      <c r="U7" s="3509" t="s">
        <v>3509</v>
      </c>
      <c r="V7" s="3509" t="s">
        <v>3509</v>
      </c>
      <c r="W7" s="3509">
        <v>36</v>
      </c>
      <c r="X7" s="3509" t="s">
        <v>3515</v>
      </c>
      <c r="Y7" s="3509" t="s">
        <v>3516</v>
      </c>
      <c r="Z7" s="3509" t="s">
        <v>3509</v>
      </c>
      <c r="AA7" s="3509" t="s">
        <v>3509</v>
      </c>
      <c r="AB7" s="3509" t="s">
        <v>3509</v>
      </c>
      <c r="AC7" s="3509" t="s">
        <v>3509</v>
      </c>
      <c r="AD7" s="3510">
        <v>45274.000497685185</v>
      </c>
      <c r="AE7" s="3510">
        <v>45294.000497685185</v>
      </c>
      <c r="AF7" s="3510">
        <v>45308.000497685185</v>
      </c>
      <c r="AG7" s="3510">
        <v>45308.000497685185</v>
      </c>
      <c r="AH7" s="3509" t="s">
        <v>3517</v>
      </c>
      <c r="AI7" s="3509" t="s">
        <v>3518</v>
      </c>
      <c r="AJ7" s="3509" t="s">
        <v>3963</v>
      </c>
      <c r="AK7" s="3509" t="s">
        <v>3964</v>
      </c>
      <c r="AL7" s="3509" t="s">
        <v>3521</v>
      </c>
      <c r="AM7" s="3509" t="s">
        <v>3542</v>
      </c>
      <c r="AN7" s="3509">
        <v>65000</v>
      </c>
      <c r="AO7" s="3509">
        <v>13000</v>
      </c>
      <c r="AP7" s="3510">
        <v>45308.625497685185</v>
      </c>
      <c r="AQ7" s="3509">
        <v>65000</v>
      </c>
      <c r="AR7" s="3509">
        <v>19916.2</v>
      </c>
      <c r="AS7" s="3509">
        <v>19916.2</v>
      </c>
      <c r="AT7" s="3509">
        <v>1327.75</v>
      </c>
      <c r="AU7" s="3509">
        <v>1327.75</v>
      </c>
      <c r="AV7" s="3509">
        <v>8298</v>
      </c>
      <c r="AW7" s="3509">
        <v>8298</v>
      </c>
      <c r="AX7" s="3509" t="s">
        <v>3509</v>
      </c>
      <c r="AY7" s="3509" t="s">
        <v>3509</v>
      </c>
      <c r="AZ7" s="3509">
        <v>0</v>
      </c>
      <c r="BA7" s="3509" t="s">
        <v>3509</v>
      </c>
      <c r="BB7" s="3509" t="s">
        <v>3509</v>
      </c>
      <c r="BC7" s="3509" t="s">
        <v>3509</v>
      </c>
      <c r="BD7" s="3509" t="s">
        <v>3509</v>
      </c>
      <c r="BE7" s="3509" t="s">
        <v>3509</v>
      </c>
      <c r="BF7" s="3509" t="s">
        <v>3509</v>
      </c>
      <c r="BG7" s="3509" t="s">
        <v>3509</v>
      </c>
      <c r="BH7" s="3509" t="s">
        <v>3522</v>
      </c>
      <c r="BI7" s="3509" t="s">
        <v>3516</v>
      </c>
      <c r="BJ7" s="3509" t="s">
        <v>3523</v>
      </c>
      <c r="BK7" s="3509" t="s">
        <v>3516</v>
      </c>
      <c r="BL7" s="3510">
        <v>45344.000497685185</v>
      </c>
      <c r="BM7" s="3509">
        <v>65000</v>
      </c>
    </row>
    <row r="8" spans="1:65">
      <c r="A8" s="3452" t="s">
        <v>3965</v>
      </c>
      <c r="B8" s="3452" t="s">
        <v>3503</v>
      </c>
      <c r="C8" s="3452" t="s">
        <v>3504</v>
      </c>
      <c r="D8" s="3452" t="s">
        <v>3966</v>
      </c>
      <c r="E8" s="3452" t="s">
        <v>3967</v>
      </c>
      <c r="F8" s="3452" t="s">
        <v>3968</v>
      </c>
      <c r="G8" s="3452" t="s">
        <v>3968</v>
      </c>
      <c r="H8" s="3452" t="s">
        <v>3969</v>
      </c>
      <c r="I8" s="3452">
        <v>43253.49</v>
      </c>
      <c r="J8" s="3452">
        <v>64880</v>
      </c>
      <c r="K8" s="3452" t="s">
        <v>3509</v>
      </c>
      <c r="L8" s="3452" t="s">
        <v>3509</v>
      </c>
      <c r="M8" s="3452">
        <v>0</v>
      </c>
      <c r="N8" s="3452">
        <v>0</v>
      </c>
      <c r="O8" s="3452" t="s">
        <v>3923</v>
      </c>
      <c r="P8" s="3452" t="s">
        <v>3970</v>
      </c>
      <c r="Q8" s="3452" t="s">
        <v>3925</v>
      </c>
      <c r="R8" s="3452" t="s">
        <v>3971</v>
      </c>
      <c r="S8" s="3452">
        <v>1.5</v>
      </c>
      <c r="T8" s="3452">
        <v>1.5</v>
      </c>
      <c r="U8" s="3452" t="s">
        <v>3509</v>
      </c>
      <c r="V8" s="3452" t="s">
        <v>3509</v>
      </c>
      <c r="W8" s="3452" t="s">
        <v>3509</v>
      </c>
      <c r="X8" s="3452" t="s">
        <v>3515</v>
      </c>
      <c r="Y8" s="3452" t="s">
        <v>3516</v>
      </c>
      <c r="Z8" s="3452" t="s">
        <v>3509</v>
      </c>
      <c r="AA8" s="3452" t="s">
        <v>3509</v>
      </c>
      <c r="AB8" s="3452" t="s">
        <v>3509</v>
      </c>
      <c r="AC8" s="3452" t="s">
        <v>3509</v>
      </c>
      <c r="AD8" s="3453">
        <v>45057.000497685185</v>
      </c>
      <c r="AE8" s="3453">
        <v>45078.000497685185</v>
      </c>
      <c r="AF8" s="3453">
        <v>45092.000497685185</v>
      </c>
      <c r="AG8" s="3453">
        <v>45092.000497685185</v>
      </c>
      <c r="AH8" s="3452" t="s">
        <v>3517</v>
      </c>
      <c r="AI8" s="3452" t="s">
        <v>3518</v>
      </c>
      <c r="AJ8" s="3452" t="s">
        <v>3972</v>
      </c>
      <c r="AK8" s="3452" t="s">
        <v>3973</v>
      </c>
      <c r="AL8" s="3452" t="s">
        <v>3509</v>
      </c>
      <c r="AM8" s="3452" t="s">
        <v>3509</v>
      </c>
      <c r="AN8" s="3452">
        <v>8609.58</v>
      </c>
      <c r="AO8" s="3452">
        <v>1722</v>
      </c>
      <c r="AP8" s="3453">
        <v>45092.625497685185</v>
      </c>
      <c r="AQ8" s="3452">
        <v>8609.58</v>
      </c>
      <c r="AR8" s="3452">
        <v>1990.49</v>
      </c>
      <c r="AS8" s="3452">
        <v>1990.49</v>
      </c>
      <c r="AT8" s="3452">
        <v>132.69999999999999</v>
      </c>
      <c r="AU8" s="3452">
        <v>132.69999999999999</v>
      </c>
      <c r="AV8" s="3452">
        <v>1327</v>
      </c>
      <c r="AW8" s="3452">
        <v>1327</v>
      </c>
      <c r="AX8" s="3452" t="s">
        <v>3509</v>
      </c>
      <c r="AY8" s="3452" t="s">
        <v>3509</v>
      </c>
      <c r="AZ8" s="3452">
        <v>0</v>
      </c>
      <c r="BA8" s="3452" t="s">
        <v>3509</v>
      </c>
      <c r="BB8" s="3452" t="s">
        <v>3509</v>
      </c>
      <c r="BC8" s="3452" t="s">
        <v>3509</v>
      </c>
      <c r="BD8" s="3452" t="s">
        <v>3509</v>
      </c>
      <c r="BE8" s="3452" t="s">
        <v>3509</v>
      </c>
      <c r="BF8" s="3452" t="s">
        <v>3509</v>
      </c>
      <c r="BG8" s="3452" t="s">
        <v>3509</v>
      </c>
      <c r="BH8" s="3452" t="s">
        <v>3974</v>
      </c>
      <c r="BI8" s="3452" t="s">
        <v>3516</v>
      </c>
      <c r="BJ8" s="3452" t="s">
        <v>3523</v>
      </c>
      <c r="BK8" s="3452" t="s">
        <v>3516</v>
      </c>
      <c r="BL8" s="3453">
        <v>45106.000497685185</v>
      </c>
      <c r="BM8" s="3452">
        <v>8609.58</v>
      </c>
    </row>
    <row r="9" spans="1:65">
      <c r="A9" s="3452" t="s">
        <v>3975</v>
      </c>
      <c r="B9" s="3452" t="s">
        <v>3503</v>
      </c>
      <c r="C9" s="3452" t="s">
        <v>3504</v>
      </c>
      <c r="D9" s="3452" t="s">
        <v>3966</v>
      </c>
      <c r="E9" s="3452" t="s">
        <v>3976</v>
      </c>
      <c r="F9" s="3452" t="s">
        <v>3977</v>
      </c>
      <c r="G9" s="3452" t="s">
        <v>3977</v>
      </c>
      <c r="H9" s="3452" t="s">
        <v>3976</v>
      </c>
      <c r="I9" s="3452">
        <v>62970.8</v>
      </c>
      <c r="J9" s="3452">
        <v>75565</v>
      </c>
      <c r="K9" s="3452" t="s">
        <v>3509</v>
      </c>
      <c r="L9" s="3452" t="s">
        <v>3509</v>
      </c>
      <c r="M9" s="3452">
        <v>0</v>
      </c>
      <c r="N9" s="3452">
        <v>0</v>
      </c>
      <c r="O9" s="3452" t="s">
        <v>3923</v>
      </c>
      <c r="P9" s="3452" t="s">
        <v>3970</v>
      </c>
      <c r="Q9" s="3452" t="s">
        <v>3925</v>
      </c>
      <c r="R9" s="3452" t="s">
        <v>3971</v>
      </c>
      <c r="S9" s="3452">
        <v>1.2</v>
      </c>
      <c r="T9" s="3452">
        <v>1.2</v>
      </c>
      <c r="U9" s="3452" t="s">
        <v>3509</v>
      </c>
      <c r="V9" s="3452" t="s">
        <v>3509</v>
      </c>
      <c r="W9" s="3452" t="s">
        <v>3509</v>
      </c>
      <c r="X9" s="3452" t="s">
        <v>3515</v>
      </c>
      <c r="Y9" s="3452" t="s">
        <v>3516</v>
      </c>
      <c r="Z9" s="3452" t="s">
        <v>3509</v>
      </c>
      <c r="AA9" s="3452" t="s">
        <v>3509</v>
      </c>
      <c r="AB9" s="3452" t="s">
        <v>3509</v>
      </c>
      <c r="AC9" s="3452" t="s">
        <v>3509</v>
      </c>
      <c r="AD9" s="3453">
        <v>44902.000497685185</v>
      </c>
      <c r="AE9" s="3453">
        <v>44922.000497685185</v>
      </c>
      <c r="AF9" s="3453">
        <v>44937.000497685185</v>
      </c>
      <c r="AG9" s="3453">
        <v>44937.000497685185</v>
      </c>
      <c r="AH9" s="3452" t="s">
        <v>3517</v>
      </c>
      <c r="AI9" s="3452" t="s">
        <v>3518</v>
      </c>
      <c r="AJ9" s="3452" t="s">
        <v>3978</v>
      </c>
      <c r="AK9" s="3452" t="s">
        <v>3979</v>
      </c>
      <c r="AL9" s="3452" t="s">
        <v>3566</v>
      </c>
      <c r="AM9" s="3452" t="s">
        <v>3509</v>
      </c>
      <c r="AN9" s="3452">
        <v>11607.61</v>
      </c>
      <c r="AO9" s="3452">
        <v>2267</v>
      </c>
      <c r="AP9" s="3453">
        <v>44936.625497685185</v>
      </c>
      <c r="AQ9" s="3452">
        <v>11607.61</v>
      </c>
      <c r="AR9" s="3452">
        <v>1843.33</v>
      </c>
      <c r="AS9" s="3452">
        <v>1843.33</v>
      </c>
      <c r="AT9" s="3452">
        <v>122.89</v>
      </c>
      <c r="AU9" s="3452">
        <v>122.89</v>
      </c>
      <c r="AV9" s="3452">
        <v>1536</v>
      </c>
      <c r="AW9" s="3452">
        <v>1536</v>
      </c>
      <c r="AX9" s="3452" t="s">
        <v>3509</v>
      </c>
      <c r="AY9" s="3452" t="s">
        <v>3509</v>
      </c>
      <c r="AZ9" s="3452">
        <v>0</v>
      </c>
      <c r="BA9" s="3452" t="s">
        <v>3509</v>
      </c>
      <c r="BB9" s="3452" t="s">
        <v>3509</v>
      </c>
      <c r="BC9" s="3452" t="s">
        <v>3509</v>
      </c>
      <c r="BD9" s="3452" t="s">
        <v>3509</v>
      </c>
      <c r="BE9" s="3452" t="s">
        <v>3509</v>
      </c>
      <c r="BF9" s="3452" t="s">
        <v>3509</v>
      </c>
      <c r="BG9" s="3452" t="s">
        <v>3509</v>
      </c>
      <c r="BH9" s="3452" t="s">
        <v>3980</v>
      </c>
      <c r="BI9" s="3452" t="s">
        <v>3516</v>
      </c>
      <c r="BJ9" s="3452" t="s">
        <v>3523</v>
      </c>
      <c r="BK9" s="3452" t="s">
        <v>3516</v>
      </c>
      <c r="BL9" s="3453">
        <v>44992.000497685185</v>
      </c>
      <c r="BM9" s="3452">
        <v>11607.61</v>
      </c>
    </row>
    <row r="10" spans="1:65" s="3509" customFormat="1">
      <c r="A10" s="3509" t="s">
        <v>3981</v>
      </c>
      <c r="B10" s="3509" t="s">
        <v>3503</v>
      </c>
      <c r="C10" s="3509" t="s">
        <v>3504</v>
      </c>
      <c r="D10" s="3509" t="s">
        <v>3958</v>
      </c>
      <c r="E10" s="3509" t="s">
        <v>3982</v>
      </c>
      <c r="F10" s="3509" t="s">
        <v>3983</v>
      </c>
      <c r="G10" s="3509" t="s">
        <v>3983</v>
      </c>
      <c r="H10" s="3509" t="s">
        <v>3961</v>
      </c>
      <c r="I10" s="3509">
        <v>64012.4</v>
      </c>
      <c r="J10" s="3509">
        <v>192037.19</v>
      </c>
      <c r="K10" s="3509" t="s">
        <v>3509</v>
      </c>
      <c r="L10" s="3509" t="s">
        <v>3509</v>
      </c>
      <c r="M10" s="3509">
        <v>0</v>
      </c>
      <c r="N10" s="3509">
        <v>0</v>
      </c>
      <c r="O10" s="3509" t="s">
        <v>3510</v>
      </c>
      <c r="P10" s="3509" t="s">
        <v>3962</v>
      </c>
      <c r="Q10" s="3509" t="s">
        <v>3512</v>
      </c>
      <c r="R10" s="3509" t="s">
        <v>3984</v>
      </c>
      <c r="S10" s="3509">
        <v>3</v>
      </c>
      <c r="T10" s="3509">
        <v>3</v>
      </c>
      <c r="U10" s="3509" t="s">
        <v>3509</v>
      </c>
      <c r="V10" s="3509" t="s">
        <v>3509</v>
      </c>
      <c r="W10" s="3509" t="s">
        <v>3509</v>
      </c>
      <c r="X10" s="3509" t="s">
        <v>3515</v>
      </c>
      <c r="Y10" s="3509" t="s">
        <v>3516</v>
      </c>
      <c r="Z10" s="3509" t="s">
        <v>3509</v>
      </c>
      <c r="AA10" s="3509" t="s">
        <v>3509</v>
      </c>
      <c r="AB10" s="3509" t="s">
        <v>3509</v>
      </c>
      <c r="AC10" s="3509" t="s">
        <v>3509</v>
      </c>
      <c r="AD10" s="3510">
        <v>44896.000497685185</v>
      </c>
      <c r="AE10" s="3510">
        <v>44916.000497685185</v>
      </c>
      <c r="AF10" s="3510">
        <v>44931.000497685185</v>
      </c>
      <c r="AG10" s="3510">
        <v>44931.000497685185</v>
      </c>
      <c r="AH10" s="3509" t="s">
        <v>3517</v>
      </c>
      <c r="AI10" s="3509" t="s">
        <v>3518</v>
      </c>
      <c r="AJ10" s="3509" t="s">
        <v>3985</v>
      </c>
      <c r="AK10" s="3509" t="s">
        <v>3986</v>
      </c>
      <c r="AL10" s="3509" t="s">
        <v>3987</v>
      </c>
      <c r="AM10" s="3509" t="s">
        <v>3988</v>
      </c>
      <c r="AN10" s="3509">
        <v>177000</v>
      </c>
      <c r="AO10" s="3509">
        <v>36000</v>
      </c>
      <c r="AP10" s="3510">
        <v>44930.625497685185</v>
      </c>
      <c r="AQ10" s="3509">
        <v>177000</v>
      </c>
      <c r="AR10" s="3509">
        <v>27650.89</v>
      </c>
      <c r="AS10" s="3509">
        <v>27650.89</v>
      </c>
      <c r="AT10" s="3509">
        <v>1843.39</v>
      </c>
      <c r="AU10" s="3509">
        <v>1843.39</v>
      </c>
      <c r="AV10" s="3509">
        <v>9217</v>
      </c>
      <c r="AW10" s="3509">
        <v>9217</v>
      </c>
      <c r="AX10" s="3509" t="s">
        <v>3509</v>
      </c>
      <c r="AY10" s="3509" t="s">
        <v>3509</v>
      </c>
      <c r="AZ10" s="3509">
        <v>0</v>
      </c>
      <c r="BA10" s="3509" t="s">
        <v>3509</v>
      </c>
      <c r="BB10" s="3509" t="s">
        <v>3509</v>
      </c>
      <c r="BC10" s="3509" t="s">
        <v>3509</v>
      </c>
      <c r="BD10" s="3509" t="s">
        <v>3509</v>
      </c>
      <c r="BE10" s="3509" t="s">
        <v>3509</v>
      </c>
      <c r="BF10" s="3509" t="s">
        <v>3509</v>
      </c>
      <c r="BG10" s="3509" t="s">
        <v>3509</v>
      </c>
      <c r="BH10" s="3509" t="s">
        <v>3522</v>
      </c>
      <c r="BI10" s="3509" t="s">
        <v>3516</v>
      </c>
      <c r="BJ10" s="3509" t="s">
        <v>3523</v>
      </c>
      <c r="BK10" s="3509" t="s">
        <v>3516</v>
      </c>
      <c r="BL10" s="3510">
        <v>44966.000497685185</v>
      </c>
      <c r="BM10" s="3509">
        <v>177000</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56" t="s">
        <v>949</v>
      </c>
      <c r="B1" s="3556"/>
      <c r="C1" s="3556"/>
      <c r="D1" s="3556"/>
    </row>
    <row r="2" spans="1:4" ht="18">
      <c r="A2" s="3557" t="s">
        <v>933</v>
      </c>
      <c r="B2" s="3557"/>
      <c r="C2" s="3557"/>
      <c r="D2" s="3557"/>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57" t="s">
        <v>939</v>
      </c>
      <c r="B6" s="3557"/>
      <c r="C6" s="3557"/>
      <c r="D6" s="355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58" t="s">
        <v>942</v>
      </c>
      <c r="B11" s="3559"/>
      <c r="C11" s="3559"/>
      <c r="D11" s="3559"/>
    </row>
    <row r="12" spans="1:4" ht="15.75">
      <c r="A12" s="35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0"/>
      <c r="C12" s="3560"/>
      <c r="D12" s="3560"/>
    </row>
    <row r="13" spans="1:4" ht="30" customHeight="1">
      <c r="A13" s="35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0"/>
      <c r="C13" s="3560"/>
      <c r="D13" s="3560"/>
    </row>
    <row r="14" spans="1:4" ht="15.75" customHeight="1">
      <c r="A14" s="3559" t="str">
        <f>IF(项目基本情况!B8="抵押","4.本次评估估价师所知悉的法定优先受偿款情况说明如下：","——")</f>
        <v>4.本次评估估价师所知悉的法定优先受偿款情况说明如下：</v>
      </c>
      <c r="B14" s="3560"/>
      <c r="C14" s="3560"/>
      <c r="D14" s="3560"/>
    </row>
    <row r="15" spans="1:4" ht="42" customHeight="1">
      <c r="A15" s="35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9"/>
      <c r="C15" s="3559"/>
      <c r="D15" s="3559"/>
    </row>
    <row r="16" spans="1:4" ht="30" customHeight="1">
      <c r="A16" s="3562" t="s">
        <v>943</v>
      </c>
      <c r="B16" s="3562"/>
      <c r="C16" s="3562"/>
      <c r="D16" s="3562"/>
    </row>
    <row r="17" spans="1:4" ht="144" customHeight="1">
      <c r="A17" s="3562" t="s">
        <v>944</v>
      </c>
      <c r="B17" s="3562"/>
      <c r="C17" s="3562"/>
      <c r="D17" s="3562"/>
    </row>
    <row r="18" spans="1:4" ht="15.75" customHeight="1">
      <c r="A18" s="3559" t="str">
        <f>IF(项目基本情况!B8="抵押",结果表!K120,"——")</f>
        <v>故，本次评估不存在估价师知悉的法定优先受偿款</v>
      </c>
      <c r="B18" s="3559"/>
      <c r="C18" s="3559"/>
      <c r="D18" s="3559"/>
    </row>
    <row r="19" spans="1:4" ht="46.5" customHeight="1">
      <c r="A19" s="35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9"/>
      <c r="C19" s="3559"/>
      <c r="D19" s="3559"/>
    </row>
    <row r="20" spans="1:4" ht="57.75" customHeight="1">
      <c r="A20" s="35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9"/>
      <c r="C20" s="3559"/>
      <c r="D20" s="3559"/>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3"/>
      <c r="C21" s="3563"/>
      <c r="D21" s="3563"/>
    </row>
    <row r="22" spans="1:4" ht="18.75" customHeight="1">
      <c r="A22" s="3564" t="s">
        <v>945</v>
      </c>
      <c r="B22" s="3564"/>
      <c r="C22" s="3564"/>
      <c r="D22" s="356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61">
        <v>42551</v>
      </c>
      <c r="D31" s="35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70" t="s">
        <v>956</v>
      </c>
      <c r="B15" s="3565" t="s">
        <v>109</v>
      </c>
      <c r="C15" s="3566"/>
    </row>
    <row r="16" spans="1:7" ht="13.5">
      <c r="A16" s="3571"/>
      <c r="B16" s="3565" t="s">
        <v>42</v>
      </c>
      <c r="C16" s="3566"/>
    </row>
    <row r="17" spans="1:3" ht="13.5">
      <c r="A17" s="3571"/>
      <c r="B17" s="3568" t="s">
        <v>957</v>
      </c>
      <c r="C17" s="1531" t="s">
        <v>956</v>
      </c>
    </row>
    <row r="18" spans="1:3" ht="13.5">
      <c r="A18" s="3571"/>
      <c r="B18" s="3568"/>
      <c r="C18" s="1531" t="s">
        <v>958</v>
      </c>
    </row>
    <row r="19" spans="1:3" ht="13.5">
      <c r="A19" s="3571"/>
      <c r="B19" s="3568"/>
      <c r="C19" s="1531" t="s">
        <v>959</v>
      </c>
    </row>
    <row r="20" spans="1:3" ht="13.5">
      <c r="A20" s="3572"/>
      <c r="B20" s="3567" t="s">
        <v>960</v>
      </c>
      <c r="C20" s="3566"/>
    </row>
    <row r="21" spans="1:3" ht="13.5">
      <c r="A21" s="1532" t="s">
        <v>961</v>
      </c>
      <c r="B21" s="1533"/>
      <c r="C21" s="1534"/>
    </row>
    <row r="22" spans="1:3" ht="13.5">
      <c r="A22" s="3569" t="s">
        <v>962</v>
      </c>
      <c r="B22" s="3567" t="s">
        <v>963</v>
      </c>
      <c r="C22" s="3566"/>
    </row>
    <row r="23" spans="1:3" ht="13.5">
      <c r="A23" s="3569"/>
      <c r="B23" s="3567" t="s">
        <v>964</v>
      </c>
      <c r="C23" s="3566"/>
    </row>
    <row r="24" spans="1:3" ht="13.5">
      <c r="A24" s="3569"/>
      <c r="B24" s="3567" t="s">
        <v>965</v>
      </c>
      <c r="C24" s="3566"/>
    </row>
    <row r="25" spans="1:3" ht="13.5">
      <c r="A25" s="3569"/>
      <c r="B25" s="3568" t="s">
        <v>966</v>
      </c>
      <c r="C25" s="1531" t="s">
        <v>967</v>
      </c>
    </row>
    <row r="26" spans="1:3" ht="13.5">
      <c r="A26" s="3569"/>
      <c r="B26" s="3568"/>
      <c r="C26" s="1531" t="s">
        <v>968</v>
      </c>
    </row>
    <row r="27" spans="1:3" ht="13.5">
      <c r="A27" s="3569"/>
      <c r="B27" s="3568"/>
      <c r="C27" s="1531" t="s">
        <v>969</v>
      </c>
    </row>
    <row r="28" spans="1:3" ht="13.5">
      <c r="A28" s="3569"/>
      <c r="B28" s="3568"/>
      <c r="C28" s="1531" t="s">
        <v>970</v>
      </c>
    </row>
    <row r="29" spans="1:3" ht="13.5">
      <c r="A29" s="3569"/>
      <c r="B29" s="3568"/>
      <c r="C29" s="1531" t="s">
        <v>971</v>
      </c>
    </row>
    <row r="30" spans="1:3" ht="13.5">
      <c r="A30" s="3569"/>
      <c r="B30" s="3568"/>
      <c r="C30" s="1531" t="s">
        <v>972</v>
      </c>
    </row>
    <row r="31" spans="1:3" ht="13.5">
      <c r="A31" s="3569"/>
      <c r="B31" s="3568"/>
      <c r="C31" s="1531" t="s">
        <v>973</v>
      </c>
    </row>
    <row r="32" spans="1:3" ht="13.5">
      <c r="A32" s="3569"/>
      <c r="B32" s="3568"/>
      <c r="C32" s="1531" t="s">
        <v>974</v>
      </c>
    </row>
    <row r="33" spans="1:3" ht="13.5">
      <c r="A33" s="3569"/>
      <c r="B33" s="356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45610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73" t="s">
        <v>2160</v>
      </c>
      <c r="B17" s="3573"/>
      <c r="C17" s="3573"/>
      <c r="D17" s="3573"/>
      <c r="E17" s="3573"/>
      <c r="F17" s="3573"/>
      <c r="G17" s="3573"/>
      <c r="H17" s="3573"/>
    </row>
    <row r="18" spans="1:8" ht="24" customHeight="1">
      <c r="A18" s="3574" t="s">
        <v>2161</v>
      </c>
      <c r="B18" s="3574"/>
      <c r="C18" s="3574"/>
      <c r="D18" s="2342"/>
      <c r="E18" s="3575" t="s">
        <v>2162</v>
      </c>
      <c r="F18" s="3574"/>
      <c r="G18" s="357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研发案例</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照片</vt:lpstr>
      <vt:lpstr>成本法</vt:lpstr>
      <vt:lpstr>基准地价修正</vt:lpstr>
      <vt:lpstr>得换研发-土地比较法-住宅、综合</vt:lpstr>
      <vt:lpstr>土地案例</vt:lpstr>
      <vt:lpstr>土地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'得换研发-土地比较法-住宅、综合'!Print_Area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2024-11-14T02:25:37Z</dcterms:modified>
</cp:coreProperties>
</file>