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30" windowWidth="11310" windowHeight="1023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3" i="3" l="1"/>
  <c r="J52" i="89"/>
  <c r="H52" i="89"/>
  <c r="I50" i="89"/>
  <c r="H409" i="89"/>
  <c r="H64" i="89"/>
  <c r="H63" i="89"/>
  <c r="S23" i="1" l="1"/>
  <c r="P411" i="89"/>
  <c r="L412" i="89"/>
  <c r="L411" i="89"/>
  <c r="N413" i="89"/>
  <c r="N412" i="89"/>
  <c r="N411" i="89"/>
  <c r="K412" i="89"/>
  <c r="H504" i="89" l="1"/>
  <c r="H413" i="89"/>
  <c r="C505" i="89" l="1"/>
  <c r="AA55" i="89" l="1"/>
  <c r="AA56" i="89"/>
  <c r="AA57" i="89"/>
  <c r="AA58" i="89"/>
  <c r="AA59"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4" i="89"/>
  <c r="AA92" i="89" l="1"/>
  <c r="C40" i="9"/>
  <c r="C27" i="9" s="1"/>
  <c r="Y54" i="89" l="1"/>
  <c r="C413" i="89"/>
  <c r="K35" i="89" s="1"/>
  <c r="U22" i="1" l="1"/>
  <c r="Y55" i="89" l="1"/>
  <c r="Y56" i="89"/>
  <c r="Y57" i="89"/>
  <c r="Y58" i="89"/>
  <c r="Y59" i="89"/>
  <c r="Y60" i="89"/>
  <c r="Y61" i="89"/>
  <c r="Y62" i="89"/>
  <c r="Y63" i="89"/>
  <c r="Y64" i="89"/>
  <c r="Y65" i="89"/>
  <c r="Y66" i="89"/>
  <c r="Y67" i="89"/>
  <c r="Y68" i="89"/>
  <c r="Y69" i="89"/>
  <c r="Y70" i="89"/>
  <c r="Y71" i="89"/>
  <c r="Y72" i="89"/>
  <c r="Y73" i="89"/>
  <c r="Y74" i="89"/>
  <c r="Y75" i="89"/>
  <c r="Y76" i="89"/>
  <c r="Y77" i="89"/>
  <c r="Y78" i="89"/>
  <c r="Y79" i="89"/>
  <c r="Y80" i="89"/>
  <c r="Y81" i="89"/>
  <c r="Y82" i="89"/>
  <c r="Y83" i="89"/>
  <c r="Y84" i="89"/>
  <c r="Y85" i="89"/>
  <c r="Y86" i="89"/>
  <c r="Y87" i="89"/>
  <c r="Y88" i="89"/>
  <c r="Y89" i="89"/>
  <c r="Y90" i="89"/>
  <c r="Y91" i="89"/>
  <c r="AA47" i="89"/>
  <c r="W60" i="89" s="1"/>
  <c r="P23" i="1"/>
  <c r="R23" i="1" s="1"/>
  <c r="P22" i="1"/>
  <c r="R22" i="1" s="1"/>
  <c r="V23" i="1"/>
  <c r="U23" i="1" s="1"/>
  <c r="U24" i="1" s="1"/>
  <c r="U7" i="1" s="1"/>
  <c r="S27" i="1"/>
  <c r="L23" i="1"/>
  <c r="L24" i="1" s="1"/>
  <c r="L26" i="1" s="1"/>
  <c r="K42" i="89"/>
  <c r="P26" i="89"/>
  <c r="P25" i="89"/>
  <c r="K34" i="89"/>
  <c r="K36" i="89" s="1"/>
  <c r="L34" i="89"/>
  <c r="N34" i="89"/>
  <c r="K13" i="3" s="1"/>
  <c r="G20" i="6" s="1"/>
  <c r="M32" i="89"/>
  <c r="J32" i="89" s="1"/>
  <c r="M30" i="89"/>
  <c r="J30" i="89" s="1"/>
  <c r="J26" i="89"/>
  <c r="J27" i="89"/>
  <c r="J28" i="89"/>
  <c r="J29" i="89"/>
  <c r="J31" i="89"/>
  <c r="J33" i="89"/>
  <c r="B40" i="9" s="1"/>
  <c r="J25" i="89"/>
  <c r="O14" i="89"/>
  <c r="M14" i="89"/>
  <c r="L14" i="89"/>
  <c r="N14" i="89"/>
  <c r="K13" i="89"/>
  <c r="K12" i="89"/>
  <c r="K11" i="89"/>
  <c r="K10" i="89"/>
  <c r="K9" i="89"/>
  <c r="K8" i="89"/>
  <c r="K7" i="89"/>
  <c r="K6" i="89"/>
  <c r="K5" i="89"/>
  <c r="B27" i="9" l="1"/>
  <c r="D27" i="9" s="1"/>
  <c r="D30" i="9" s="1"/>
  <c r="C38" i="9" s="1"/>
  <c r="E40" i="9"/>
  <c r="Y92" i="89"/>
  <c r="J34" i="89"/>
  <c r="J19" i="89" s="1"/>
  <c r="J21" i="89" s="1"/>
  <c r="W54" i="89"/>
  <c r="W58" i="89"/>
  <c r="W56" i="89"/>
  <c r="W91" i="89"/>
  <c r="W89" i="89"/>
  <c r="W87" i="89"/>
  <c r="W85" i="89"/>
  <c r="W83" i="89"/>
  <c r="W81" i="89"/>
  <c r="W79" i="89"/>
  <c r="W77" i="89"/>
  <c r="W75" i="89"/>
  <c r="W73" i="89"/>
  <c r="W71" i="89"/>
  <c r="W69" i="89"/>
  <c r="W67" i="89"/>
  <c r="W65" i="89"/>
  <c r="W63" i="89"/>
  <c r="W61" i="89"/>
  <c r="W59" i="89"/>
  <c r="W57" i="89"/>
  <c r="W55" i="89"/>
  <c r="W90" i="89"/>
  <c r="W88" i="89"/>
  <c r="W86" i="89"/>
  <c r="W84" i="89"/>
  <c r="W82" i="89"/>
  <c r="W80" i="89"/>
  <c r="W78" i="89"/>
  <c r="W76" i="89"/>
  <c r="W74" i="89"/>
  <c r="W72" i="89"/>
  <c r="W70" i="89"/>
  <c r="W68" i="89"/>
  <c r="W66" i="89"/>
  <c r="W64" i="89"/>
  <c r="W62" i="89"/>
  <c r="V24" i="1"/>
  <c r="R24" i="1"/>
  <c r="P24" i="1"/>
  <c r="W24" i="1" s="1"/>
  <c r="W25" i="1"/>
  <c r="M34" i="89"/>
  <c r="K14" i="89"/>
  <c r="Y24" i="1" l="1"/>
  <c r="P34" i="89"/>
  <c r="N6" i="1" s="1"/>
  <c r="N7" i="1" s="1"/>
  <c r="Q24" i="1"/>
  <c r="L15" i="89" l="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H4" i="31"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S73" i="82"/>
  <c r="C31" i="35"/>
  <c r="F20" i="88"/>
  <c r="F4" i="31" l="1"/>
  <c r="D4" i="31"/>
  <c r="G4" i="31"/>
  <c r="E4" i="31"/>
  <c r="I13" i="3"/>
  <c r="I86" i="9" s="1"/>
  <c r="C88" i="9" s="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C14" i="74" l="1"/>
  <c r="F19" i="6"/>
  <c r="C33" i="21"/>
  <c r="L5" i="83"/>
  <c r="L4" i="83"/>
  <c r="A120" i="80" l="1"/>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O53" i="80" s="1"/>
  <c r="N54" i="80"/>
  <c r="N53" i="80"/>
  <c r="K49" i="80"/>
  <c r="E48" i="80"/>
  <c r="N52" i="80" s="1"/>
  <c r="D48" i="80"/>
  <c r="M52" i="80" s="1"/>
  <c r="F33" i="80"/>
  <c r="D27" i="80"/>
  <c r="C25" i="80"/>
  <c r="C24" i="80"/>
  <c r="D17" i="80"/>
  <c r="C17" i="80"/>
  <c r="C18" i="80" s="1"/>
  <c r="D18" i="80" s="1"/>
  <c r="L4" i="80"/>
  <c r="K4" i="80"/>
  <c r="H1" i="80"/>
  <c r="D35" i="80"/>
  <c r="D34" i="80"/>
  <c r="H109" i="80" l="1"/>
  <c r="D124" i="80" s="1"/>
  <c r="D125" i="80" s="1"/>
  <c r="C92" i="80"/>
  <c r="C94" i="80"/>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R13" i="79"/>
  <c r="V13" i="79"/>
  <c r="S14" i="79"/>
  <c r="U14"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P29" i="71"/>
  <c r="O29" i="71"/>
  <c r="C30" i="71" s="1"/>
  <c r="D30" i="71" s="1"/>
  <c r="N29" i="71"/>
  <c r="D29" i="71"/>
  <c r="O28" i="71"/>
  <c r="N28" i="71"/>
  <c r="X27" i="71" s="1"/>
  <c r="B30" i="71"/>
  <c r="B31" i="71"/>
  <c r="E30" i="71"/>
  <c r="E31" i="71" s="1"/>
  <c r="E32" i="71"/>
  <c r="U32" i="71" s="1"/>
  <c r="E38" i="71"/>
  <c r="N68" i="71"/>
  <c r="C34" i="71"/>
  <c r="C35" i="71" s="1"/>
  <c r="AB37" i="71"/>
  <c r="C28" i="71"/>
  <c r="C27" i="71" s="1"/>
  <c r="C26" i="71" s="1"/>
  <c r="D26" i="71" s="1"/>
  <c r="D42" i="71"/>
  <c r="C51" i="71"/>
  <c r="D51" i="71" s="1"/>
  <c r="D50" i="71"/>
  <c r="P28" i="71"/>
  <c r="E59" i="71"/>
  <c r="E60" i="71" s="1"/>
  <c r="U60" i="71" s="1"/>
  <c r="U68" i="71"/>
  <c r="E67" i="71"/>
  <c r="E66" i="71" s="1"/>
  <c r="P66" i="71" s="1"/>
  <c r="Q28" i="71"/>
  <c r="C59" i="71"/>
  <c r="D58" i="71"/>
  <c r="C67" i="71"/>
  <c r="C71" i="71"/>
  <c r="D71" i="71" s="1"/>
  <c r="E71" i="71"/>
  <c r="E70" i="71"/>
  <c r="D72" i="71"/>
  <c r="E75" i="71"/>
  <c r="E74" i="71" s="1"/>
  <c r="C79" i="71"/>
  <c r="C78" i="71" s="1"/>
  <c r="D78" i="71" s="1"/>
  <c r="E79" i="71"/>
  <c r="E78" i="71" s="1"/>
  <c r="D80" i="71"/>
  <c r="C83" i="71"/>
  <c r="D83" i="71" s="1"/>
  <c r="C87" i="71"/>
  <c r="C86" i="71" s="1"/>
  <c r="D86" i="71" s="1"/>
  <c r="F28" i="71"/>
  <c r="F27" i="71" s="1"/>
  <c r="F26" i="71" s="1"/>
  <c r="AB25" i="71"/>
  <c r="D67" i="71"/>
  <c r="D87" i="71"/>
  <c r="C70" i="71"/>
  <c r="D70" i="71" s="1"/>
  <c r="C44" i="71"/>
  <c r="T44" i="71" s="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25" i="40"/>
  <c r="U18" i="36"/>
  <c r="F94" i="40"/>
  <c r="H25" i="40"/>
  <c r="G94" i="40"/>
  <c r="J25" i="40"/>
  <c r="W25" i="40" s="1"/>
  <c r="H29" i="39"/>
  <c r="J29" i="39"/>
  <c r="AC29" i="39" s="1"/>
  <c r="G66" i="36"/>
  <c r="J18" i="36"/>
  <c r="AC18" i="36" s="1"/>
  <c r="F68" i="35"/>
  <c r="G68" i="35" s="1"/>
  <c r="H18" i="35"/>
  <c r="AB18" i="35" s="1"/>
  <c r="J18" i="35"/>
  <c r="W18" i="35" s="1"/>
  <c r="H21" i="37"/>
  <c r="AB21" i="37" s="1"/>
  <c r="F21" i="37"/>
  <c r="H21" i="34"/>
  <c r="U21" i="34" s="1"/>
  <c r="H21" i="33"/>
  <c r="AB21" i="33" s="1"/>
  <c r="F21" i="33"/>
  <c r="AA21" i="33" s="1"/>
  <c r="H1" i="69"/>
  <c r="AC25" i="40"/>
  <c r="AB25" i="40"/>
  <c r="U25" i="40"/>
  <c r="W18" i="36"/>
  <c r="AA21" i="37"/>
  <c r="S21" i="37"/>
  <c r="U21" i="33"/>
  <c r="AC18" i="35"/>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D7" i="12"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AB30" i="36" s="1"/>
  <c r="F30" i="36"/>
  <c r="AA30" i="36" s="1"/>
  <c r="C26" i="35"/>
  <c r="C79" i="35" s="1"/>
  <c r="J31" i="35"/>
  <c r="H31" i="35"/>
  <c r="U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J26" i="37" s="1"/>
  <c r="D79" i="37"/>
  <c r="E79" i="37" s="1"/>
  <c r="D75" i="37"/>
  <c r="E75" i="37" s="1"/>
  <c r="D73" i="37"/>
  <c r="E73" i="37" s="1"/>
  <c r="F73" i="37" s="1"/>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B57" i="36"/>
  <c r="J12" i="36"/>
  <c r="B55" i="36"/>
  <c r="C51" i="36"/>
  <c r="J9" i="36" s="1"/>
  <c r="AC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H19" i="21" s="1"/>
  <c r="D77" i="21"/>
  <c r="E77" i="21" s="1"/>
  <c r="B130" i="21"/>
  <c r="H46" i="21" s="1"/>
  <c r="B128" i="21"/>
  <c r="J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H12" i="21"/>
  <c r="AB12" i="21" s="1"/>
  <c r="J26" i="21"/>
  <c r="W26" i="21" s="1"/>
  <c r="F26" i="21"/>
  <c r="S26" i="21" s="1"/>
  <c r="AB41" i="21"/>
  <c r="S41" i="21"/>
  <c r="J45" i="39"/>
  <c r="W45" i="39" s="1"/>
  <c r="J44" i="39"/>
  <c r="AC44" i="39" s="1"/>
  <c r="H36" i="39"/>
  <c r="AB36" i="39" s="1"/>
  <c r="J35" i="39"/>
  <c r="AC35" i="39" s="1"/>
  <c r="F35" i="39"/>
  <c r="AA35" i="39" s="1"/>
  <c r="W40" i="39"/>
  <c r="W31" i="37"/>
  <c r="F39" i="37"/>
  <c r="F29" i="36"/>
  <c r="AA29" i="36" s="1"/>
  <c r="F16" i="36"/>
  <c r="AA16" i="36" s="1"/>
  <c r="U31" i="36"/>
  <c r="H22" i="35"/>
  <c r="AB22" i="35" s="1"/>
  <c r="AC27" i="35"/>
  <c r="W22" i="35"/>
  <c r="F36" i="34"/>
  <c r="J35" i="34"/>
  <c r="H39" i="33"/>
  <c r="AB39" i="33" s="1"/>
  <c r="F26" i="33"/>
  <c r="AA26" i="33" s="1"/>
  <c r="U35" i="33"/>
  <c r="S40" i="33"/>
  <c r="W33" i="33"/>
  <c r="W39" i="33"/>
  <c r="H39" i="37"/>
  <c r="AB39" i="37" s="1"/>
  <c r="S27" i="35"/>
  <c r="F11" i="40"/>
  <c r="AA11" i="40" s="1"/>
  <c r="H11" i="40"/>
  <c r="AB11" i="40" s="1"/>
  <c r="W31" i="40"/>
  <c r="S38" i="40"/>
  <c r="F42" i="39"/>
  <c r="AA42" i="39" s="1"/>
  <c r="F41" i="39"/>
  <c r="S41" i="39" s="1"/>
  <c r="H40" i="39"/>
  <c r="AB40" i="39" s="1"/>
  <c r="S38" i="39"/>
  <c r="H31" i="39"/>
  <c r="AB31" i="39" s="1"/>
  <c r="F31" i="39"/>
  <c r="AA31" i="39" s="1"/>
  <c r="H19" i="39"/>
  <c r="AB19" i="39" s="1"/>
  <c r="F19" i="39"/>
  <c r="AA19" i="39" s="1"/>
  <c r="H17" i="39"/>
  <c r="AB17" i="39" s="1"/>
  <c r="F17" i="39"/>
  <c r="AA17" i="39" s="1"/>
  <c r="J23" i="40"/>
  <c r="AC23" i="40" s="1"/>
  <c r="F21" i="40"/>
  <c r="AA21" i="40" s="1"/>
  <c r="J21" i="40"/>
  <c r="W21" i="40" s="1"/>
  <c r="H42" i="39"/>
  <c r="AB42" i="39" s="1"/>
  <c r="J31" i="39"/>
  <c r="W31" i="39" s="1"/>
  <c r="J19" i="39"/>
  <c r="AC19" i="39" s="1"/>
  <c r="J17" i="39"/>
  <c r="F11" i="21"/>
  <c r="S11" i="21" s="1"/>
  <c r="U34" i="21"/>
  <c r="H11" i="39"/>
  <c r="H32" i="33"/>
  <c r="AB32" i="33" s="1"/>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F16" i="35"/>
  <c r="S16" i="35" s="1"/>
  <c r="H14" i="35"/>
  <c r="AB14" i="35" s="1"/>
  <c r="H33" i="35"/>
  <c r="J20" i="35"/>
  <c r="W20" i="35" s="1"/>
  <c r="F35" i="37"/>
  <c r="S35" i="37" s="1"/>
  <c r="J34" i="37"/>
  <c r="W34" i="37" s="1"/>
  <c r="AB34" i="37"/>
  <c r="J33" i="37"/>
  <c r="AC33" i="37" s="1"/>
  <c r="U42" i="34"/>
  <c r="H40" i="34"/>
  <c r="U40" i="34" s="1"/>
  <c r="H36" i="34"/>
  <c r="U36" i="34" s="1"/>
  <c r="F37" i="34"/>
  <c r="AA37" i="34" s="1"/>
  <c r="S35" i="34"/>
  <c r="F27" i="34"/>
  <c r="AA27" i="34" s="1"/>
  <c r="F25" i="34"/>
  <c r="S25" i="34" s="1"/>
  <c r="H23" i="34"/>
  <c r="J23" i="34"/>
  <c r="W23" i="34" s="1"/>
  <c r="F19" i="34"/>
  <c r="H17" i="34"/>
  <c r="U17" i="34" s="1"/>
  <c r="F15" i="34"/>
  <c r="AA15" i="34" s="1"/>
  <c r="J15" i="34"/>
  <c r="H15" i="34"/>
  <c r="AB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s="1"/>
  <c r="H15" i="40"/>
  <c r="AB15" i="40" s="1"/>
  <c r="AA12"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F44" i="21"/>
  <c r="AA44" i="21" s="1"/>
  <c r="J46" i="21"/>
  <c r="W46" i="21" s="1"/>
  <c r="E119" i="21"/>
  <c r="F119" i="21" s="1"/>
  <c r="G119" i="21" s="1"/>
  <c r="H119" i="21" s="1"/>
  <c r="I119" i="21" s="1"/>
  <c r="J119" i="21" s="1"/>
  <c r="K119" i="21" s="1"/>
  <c r="L119" i="21" s="1"/>
  <c r="M119"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H36" i="37"/>
  <c r="AB36" i="37" s="1"/>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U43" i="39"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AA44" i="33"/>
  <c r="AA14" i="33"/>
  <c r="J36" i="37"/>
  <c r="AC36" i="37" s="1"/>
  <c r="J10" i="36"/>
  <c r="AC10" i="36" s="1"/>
  <c r="AB26" i="33"/>
  <c r="AB30" i="21"/>
  <c r="W31" i="34"/>
  <c r="S11" i="36"/>
  <c r="BA586" i="3"/>
  <c r="F17" i="21"/>
  <c r="AA17" i="21" s="1"/>
  <c r="H17" i="21"/>
  <c r="AB17" i="21" s="1"/>
  <c r="J41" i="39"/>
  <c r="W41" i="39" s="1"/>
  <c r="W44" i="39"/>
  <c r="W35" i="39"/>
  <c r="U36" i="39"/>
  <c r="G544" i="3"/>
  <c r="G540" i="3"/>
  <c r="G535" i="3"/>
  <c r="G531" i="3"/>
  <c r="G527" i="3"/>
  <c r="G518" i="3"/>
  <c r="G510" i="3"/>
  <c r="G504" i="3"/>
  <c r="G496" i="3"/>
  <c r="G584" i="3"/>
  <c r="G580" i="3"/>
  <c r="G572" i="3"/>
  <c r="G568" i="3"/>
  <c r="G564" i="3"/>
  <c r="G554" i="3"/>
  <c r="BL584" i="3"/>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s="1"/>
  <c r="BA554" i="3"/>
  <c r="BA552" i="3"/>
  <c r="AZ552" i="3" s="1"/>
  <c r="BA548" i="3"/>
  <c r="BA546" i="3"/>
  <c r="AZ546" i="3" s="1"/>
  <c r="BA544" i="3"/>
  <c r="BA542" i="3"/>
  <c r="AZ542" i="3" s="1"/>
  <c r="BA528" i="3"/>
  <c r="BA526" i="3"/>
  <c r="BA524" i="3"/>
  <c r="BA522" i="3"/>
  <c r="AZ522" i="3" s="1"/>
  <c r="BA518" i="3"/>
  <c r="AZ518" i="3" s="1"/>
  <c r="BA516" i="3"/>
  <c r="BA514" i="3"/>
  <c r="BA506" i="3"/>
  <c r="BA500" i="3"/>
  <c r="BA494" i="3"/>
  <c r="AZ494" i="3" s="1"/>
  <c r="BA587" i="3"/>
  <c r="BA583" i="3"/>
  <c r="BA581" i="3"/>
  <c r="BA579" i="3"/>
  <c r="BA575" i="3"/>
  <c r="BA573" i="3"/>
  <c r="BA571" i="3"/>
  <c r="BA569" i="3"/>
  <c r="BA567" i="3"/>
  <c r="BA563" i="3"/>
  <c r="BA559" i="3"/>
  <c r="BA555" i="3"/>
  <c r="BA553" i="3"/>
  <c r="BA547" i="3"/>
  <c r="BA545" i="3"/>
  <c r="BA543" i="3"/>
  <c r="BA539" i="3"/>
  <c r="BA535" i="3"/>
  <c r="BA531" i="3"/>
  <c r="BA527" i="3"/>
  <c r="BA523" i="3"/>
  <c r="BA517" i="3"/>
  <c r="BA513" i="3"/>
  <c r="BA507" i="3"/>
  <c r="BA503" i="3"/>
  <c r="BA499" i="3"/>
  <c r="BA495" i="3"/>
  <c r="AZ560" i="3"/>
  <c r="G583" i="3"/>
  <c r="G581" i="3"/>
  <c r="G577" i="3"/>
  <c r="G573" i="3"/>
  <c r="G571" i="3"/>
  <c r="G569" i="3"/>
  <c r="G567" i="3"/>
  <c r="G565" i="3"/>
  <c r="G561" i="3"/>
  <c r="BA557" i="3"/>
  <c r="AC557" i="3"/>
  <c r="G557" i="3" s="1"/>
  <c r="BQ557" i="3"/>
  <c r="BL557" i="3" s="1"/>
  <c r="BQ583" i="3"/>
  <c r="BL583" i="3" s="1"/>
  <c r="BQ581" i="3"/>
  <c r="BL581" i="3" s="1"/>
  <c r="BQ579" i="3"/>
  <c r="BL579" i="3" s="1"/>
  <c r="BQ577" i="3"/>
  <c r="BQ575" i="3"/>
  <c r="BL575" i="3" s="1"/>
  <c r="BQ573" i="3"/>
  <c r="BL573" i="3" s="1"/>
  <c r="AZ573" i="3" s="1"/>
  <c r="BQ571" i="3"/>
  <c r="BL571" i="3"/>
  <c r="BQ569" i="3"/>
  <c r="BL569" i="3" s="1"/>
  <c r="BQ567" i="3"/>
  <c r="BL567" i="3" s="1"/>
  <c r="BQ565" i="3"/>
  <c r="BQ563" i="3"/>
  <c r="BL563" i="3" s="1"/>
  <c r="BQ561" i="3"/>
  <c r="BL561" i="3" s="1"/>
  <c r="BQ559" i="3"/>
  <c r="G555" i="3"/>
  <c r="G553" i="3"/>
  <c r="G549" i="3"/>
  <c r="G547" i="3"/>
  <c r="G545" i="3"/>
  <c r="G543" i="3"/>
  <c r="G541" i="3"/>
  <c r="G537" i="3"/>
  <c r="BQ555" i="3"/>
  <c r="BL555" i="3" s="1"/>
  <c r="BQ553" i="3"/>
  <c r="BL553" i="3" s="1"/>
  <c r="AZ553" i="3" s="1"/>
  <c r="BQ551" i="3"/>
  <c r="BL551" i="3"/>
  <c r="BQ549" i="3"/>
  <c r="BQ547" i="3"/>
  <c r="BL547" i="3" s="1"/>
  <c r="AZ547" i="3" s="1"/>
  <c r="BQ545" i="3"/>
  <c r="BL545" i="3"/>
  <c r="AZ545" i="3" s="1"/>
  <c r="BQ543" i="3"/>
  <c r="BL543" i="3" s="1"/>
  <c r="BQ541" i="3"/>
  <c r="BL541" i="3" s="1"/>
  <c r="BQ539" i="3"/>
  <c r="BQ537" i="3"/>
  <c r="BL537" i="3" s="1"/>
  <c r="BQ535" i="3"/>
  <c r="BQ533" i="3"/>
  <c r="BL533" i="3" s="1"/>
  <c r="BQ531" i="3"/>
  <c r="BQ529" i="3"/>
  <c r="BL529" i="3"/>
  <c r="BQ527" i="3"/>
  <c r="BQ525" i="3"/>
  <c r="BL525" i="3" s="1"/>
  <c r="BQ523" i="3"/>
  <c r="AC521" i="3"/>
  <c r="G521" i="3" s="1"/>
  <c r="BQ521" i="3"/>
  <c r="BL521" i="3" s="1"/>
  <c r="G517" i="3"/>
  <c r="G513" i="3"/>
  <c r="BQ519" i="3"/>
  <c r="BQ517" i="3"/>
  <c r="BL517" i="3" s="1"/>
  <c r="BQ515" i="3"/>
  <c r="BQ513" i="3"/>
  <c r="BL513" i="3"/>
  <c r="BQ511" i="3"/>
  <c r="AC509" i="3"/>
  <c r="AC5" i="3" s="1"/>
  <c r="BQ509" i="3"/>
  <c r="BL509" i="3"/>
  <c r="G505" i="3"/>
  <c r="G501" i="3"/>
  <c r="G497" i="3"/>
  <c r="BQ507" i="3"/>
  <c r="BQ505" i="3"/>
  <c r="BL505" i="3"/>
  <c r="BQ503" i="3"/>
  <c r="BQ501" i="3"/>
  <c r="BL501" i="3" s="1"/>
  <c r="BQ499" i="3"/>
  <c r="BL499" i="3" s="1"/>
  <c r="BQ497" i="3"/>
  <c r="BL497" i="3" s="1"/>
  <c r="BQ495" i="3"/>
  <c r="BL495" i="3" s="1"/>
  <c r="BQ493" i="3"/>
  <c r="BQ5" i="3" s="1"/>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35" i="35"/>
  <c r="AB28" i="37"/>
  <c r="U39" i="37"/>
  <c r="U26" i="37"/>
  <c r="AB13" i="34"/>
  <c r="AC45" i="33"/>
  <c r="U11" i="33"/>
  <c r="AB38" i="21"/>
  <c r="F43" i="33"/>
  <c r="AA43" i="33" s="1"/>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U40" i="39"/>
  <c r="W9" i="39"/>
  <c r="J19" i="40"/>
  <c r="AC19" i="40" s="1"/>
  <c r="J50" i="40"/>
  <c r="H103" i="9"/>
  <c r="D8" i="53" s="1"/>
  <c r="B16" i="53"/>
  <c r="B33" i="72" s="1"/>
  <c r="C7" i="34"/>
  <c r="W35" i="40"/>
  <c r="A118" i="9"/>
  <c r="A4" i="52"/>
  <c r="B41" i="72" s="1"/>
  <c r="J11" i="39"/>
  <c r="W11" i="39" s="1"/>
  <c r="F11" i="39"/>
  <c r="AA11" i="39" s="1"/>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s="1"/>
  <c r="G173" i="3"/>
  <c r="BA175" i="3"/>
  <c r="AZ175" i="3" s="1"/>
  <c r="BL176" i="3"/>
  <c r="G177" i="3"/>
  <c r="BA179" i="3"/>
  <c r="AZ179" i="3" s="1"/>
  <c r="BL180" i="3"/>
  <c r="G181" i="3"/>
  <c r="BA183" i="3"/>
  <c r="AZ183" i="3" s="1"/>
  <c r="BL184" i="3"/>
  <c r="AZ184" i="3" s="1"/>
  <c r="G185" i="3"/>
  <c r="BA187" i="3"/>
  <c r="BL188" i="3"/>
  <c r="G189" i="3"/>
  <c r="BA191" i="3"/>
  <c r="AZ191" i="3" s="1"/>
  <c r="BL192" i="3"/>
  <c r="G193" i="3"/>
  <c r="BA195" i="3"/>
  <c r="AZ195" i="3" s="1"/>
  <c r="BL196" i="3"/>
  <c r="AZ196" i="3" s="1"/>
  <c r="G197" i="3"/>
  <c r="BA199" i="3"/>
  <c r="BL200" i="3"/>
  <c r="AZ200" i="3" s="1"/>
  <c r="G201" i="3"/>
  <c r="BA203" i="3"/>
  <c r="BL204" i="3"/>
  <c r="AZ204" i="3" s="1"/>
  <c r="AZ75" i="3"/>
  <c r="AZ144" i="3"/>
  <c r="AZ168" i="3"/>
  <c r="AZ89" i="3"/>
  <c r="AZ105" i="3"/>
  <c r="AZ109" i="3"/>
  <c r="G534" i="3"/>
  <c r="G522" i="3"/>
  <c r="G512" i="3"/>
  <c r="G498"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2" i="3"/>
  <c r="AZ182" i="3"/>
  <c r="AZ194" i="3"/>
  <c r="AZ500" i="3"/>
  <c r="BA16" i="3"/>
  <c r="BL303" i="3"/>
  <c r="G304" i="3"/>
  <c r="BA306" i="3"/>
  <c r="AZ306" i="3"/>
  <c r="BL307" i="3"/>
  <c r="G308" i="3"/>
  <c r="BA310" i="3"/>
  <c r="AZ310" i="3" s="1"/>
  <c r="BL311" i="3"/>
  <c r="AZ311" i="3" s="1"/>
  <c r="G312" i="3"/>
  <c r="BA314" i="3"/>
  <c r="BL315" i="3"/>
  <c r="AZ315" i="3" s="1"/>
  <c r="G316" i="3"/>
  <c r="BA318" i="3"/>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AZ365" i="3" s="1"/>
  <c r="BL366" i="3"/>
  <c r="AZ366" i="3" s="1"/>
  <c r="G367" i="3"/>
  <c r="BA369" i="3"/>
  <c r="AZ369" i="3" s="1"/>
  <c r="BL370" i="3"/>
  <c r="G371" i="3"/>
  <c r="BA373" i="3"/>
  <c r="AZ373" i="3" s="1"/>
  <c r="BL374" i="3"/>
  <c r="G375" i="3"/>
  <c r="BA377" i="3"/>
  <c r="AZ377" i="3" s="1"/>
  <c r="AZ241" i="3"/>
  <c r="AZ245" i="3"/>
  <c r="BA379" i="3"/>
  <c r="AZ379" i="3" s="1"/>
  <c r="BL380" i="3"/>
  <c r="G381" i="3"/>
  <c r="BA383" i="3"/>
  <c r="BL384" i="3"/>
  <c r="AZ384" i="3" s="1"/>
  <c r="G385" i="3"/>
  <c r="BA387" i="3"/>
  <c r="AZ387" i="3" s="1"/>
  <c r="BL388" i="3"/>
  <c r="G389" i="3"/>
  <c r="BA391" i="3"/>
  <c r="AZ391" i="3" s="1"/>
  <c r="BL392" i="3"/>
  <c r="AZ392" i="3" s="1"/>
  <c r="G393" i="3"/>
  <c r="BO5" i="3"/>
  <c r="BJ5" i="3"/>
  <c r="BF5" i="3"/>
  <c r="AZ325" i="3"/>
  <c r="AZ341" i="3"/>
  <c r="G548" i="3"/>
  <c r="G520" i="3"/>
  <c r="BS5" i="3"/>
  <c r="BN5" i="3"/>
  <c r="BK5" i="3"/>
  <c r="BG5" i="3"/>
  <c r="BC5" i="3"/>
  <c r="G17" i="3"/>
  <c r="BA17" i="3"/>
  <c r="AZ356" i="3"/>
  <c r="AZ368" i="3"/>
  <c r="BA15" i="3"/>
  <c r="BB5" i="3"/>
  <c r="E5" i="6" s="1"/>
  <c r="AZ380" i="3"/>
  <c r="AZ388" i="3"/>
  <c r="AZ390" i="3"/>
  <c r="F83" i="43"/>
  <c r="H85" i="43" s="1"/>
  <c r="F50" i="43"/>
  <c r="H54" i="43" s="1"/>
  <c r="F72" i="43"/>
  <c r="H75" i="43" s="1"/>
  <c r="U17" i="39"/>
  <c r="U35" i="21"/>
  <c r="AC35" i="21"/>
  <c r="G8" i="1"/>
  <c r="G10" i="1"/>
  <c r="W44" i="34"/>
  <c r="AC44" i="34"/>
  <c r="S15" i="37"/>
  <c r="U13" i="37"/>
  <c r="U12" i="40"/>
  <c r="J37" i="33"/>
  <c r="W37" i="33" s="1"/>
  <c r="AC17" i="34"/>
  <c r="J34" i="33"/>
  <c r="W34" i="33" s="1"/>
  <c r="F33" i="34"/>
  <c r="S33" i="34" s="1"/>
  <c r="W12" i="36"/>
  <c r="AC12" i="36"/>
  <c r="H20" i="36"/>
  <c r="U20" i="36" s="1"/>
  <c r="J20" i="36"/>
  <c r="W20" i="36" s="1"/>
  <c r="J27" i="36"/>
  <c r="W27" i="36" s="1"/>
  <c r="H35" i="40"/>
  <c r="AB35" i="40"/>
  <c r="H35" i="37"/>
  <c r="U35" i="37"/>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0" i="3"/>
  <c r="AZ243" i="3"/>
  <c r="AZ296" i="3"/>
  <c r="AZ11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AB34" i="36"/>
  <c r="U34" i="36"/>
  <c r="AC12" i="39"/>
  <c r="W12" i="39"/>
  <c r="AC39" i="40"/>
  <c r="W39" i="40"/>
  <c r="AZ417" i="3"/>
  <c r="AZ433" i="3"/>
  <c r="AZ465" i="3"/>
  <c r="AZ457" i="3"/>
  <c r="BL14" i="3"/>
  <c r="U30" i="33"/>
  <c r="AA47" i="34"/>
  <c r="S19" i="39"/>
  <c r="F12" i="33"/>
  <c r="S12" i="33" s="1"/>
  <c r="H12" i="39"/>
  <c r="AB12" i="39" s="1"/>
  <c r="F39" i="40"/>
  <c r="AA39" i="40" s="1"/>
  <c r="BA14" i="3"/>
  <c r="AZ14" i="3"/>
  <c r="AZ238" i="3"/>
  <c r="AZ181" i="3"/>
  <c r="AZ189" i="3"/>
  <c r="B12" i="1"/>
  <c r="E12" i="1" s="1"/>
  <c r="B10" i="1"/>
  <c r="E10" i="1" s="1"/>
  <c r="AZ80" i="3"/>
  <c r="AZ107" i="3"/>
  <c r="AZ111" i="3"/>
  <c r="K12" i="1"/>
  <c r="M12" i="1" s="1"/>
  <c r="S13" i="1"/>
  <c r="AR13" i="1" s="1"/>
  <c r="R13" i="1"/>
  <c r="J51" i="67"/>
  <c r="AA34" i="33"/>
  <c r="AB37" i="40"/>
  <c r="S35" i="40"/>
  <c r="U35" i="40"/>
  <c r="AC36" i="40"/>
  <c r="W38" i="40"/>
  <c r="AA32" i="40"/>
  <c r="S17" i="40"/>
  <c r="S23" i="40"/>
  <c r="AC17" i="40"/>
  <c r="AC15" i="40"/>
  <c r="S28"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16" i="36"/>
  <c r="AA25" i="35"/>
  <c r="S23" i="35"/>
  <c r="AB13" i="35"/>
  <c r="U32" i="35"/>
  <c r="AA33" i="35"/>
  <c r="S32" i="35"/>
  <c r="U22" i="35"/>
  <c r="AC20" i="35"/>
  <c r="U14" i="35"/>
  <c r="F9" i="35"/>
  <c r="S9" i="35" s="1"/>
  <c r="H9" i="35"/>
  <c r="U9" i="35" s="1"/>
  <c r="AC29" i="37"/>
  <c r="U29" i="37"/>
  <c r="S32" i="37"/>
  <c r="AB31" i="37"/>
  <c r="W30" i="37"/>
  <c r="S36" i="37"/>
  <c r="AA38" i="37"/>
  <c r="W38" i="37"/>
  <c r="W39" i="37"/>
  <c r="S30" i="37"/>
  <c r="S37" i="37"/>
  <c r="AC15" i="37"/>
  <c r="J17" i="37"/>
  <c r="W17" i="37" s="1"/>
  <c r="G73" i="37"/>
  <c r="F17" i="37"/>
  <c r="AA17" i="37" s="1"/>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AA35" i="33"/>
  <c r="S27" i="33"/>
  <c r="S32" i="33"/>
  <c r="W38" i="33"/>
  <c r="H41" i="33"/>
  <c r="U41" i="33" s="1"/>
  <c r="S42" i="33"/>
  <c r="F36" i="33"/>
  <c r="AA36" i="33" s="1"/>
  <c r="G111" i="33"/>
  <c r="H111" i="33" s="1"/>
  <c r="I111" i="33" s="1"/>
  <c r="J111" i="33" s="1"/>
  <c r="K111" i="33" s="1"/>
  <c r="L111" i="33" s="1"/>
  <c r="M111" i="33" s="1"/>
  <c r="J35" i="33"/>
  <c r="AC35" i="33" s="1"/>
  <c r="S37" i="33"/>
  <c r="AA37" i="33"/>
  <c r="S39" i="33"/>
  <c r="F101" i="33"/>
  <c r="G101" i="33" s="1"/>
  <c r="H101" i="33" s="1"/>
  <c r="I101" i="33" s="1"/>
  <c r="J101" i="33" s="1"/>
  <c r="K101" i="33" s="1"/>
  <c r="L101" i="33" s="1"/>
  <c r="M101" i="33" s="1"/>
  <c r="J32" i="33"/>
  <c r="AC32" i="33" s="1"/>
  <c r="S43" i="33"/>
  <c r="H27" i="33"/>
  <c r="F87" i="33"/>
  <c r="G87" i="33" s="1"/>
  <c r="H87" i="33" s="1"/>
  <c r="I87" i="33" s="1"/>
  <c r="J87" i="33" s="1"/>
  <c r="K87" i="33" s="1"/>
  <c r="L87" i="33" s="1"/>
  <c r="M87" i="33" s="1"/>
  <c r="H25" i="33"/>
  <c r="F25" i="33"/>
  <c r="S25" i="33" s="1"/>
  <c r="J23" i="33"/>
  <c r="F85" i="33"/>
  <c r="H23" i="33"/>
  <c r="F81" i="33"/>
  <c r="G81" i="33" s="1"/>
  <c r="F19" i="33"/>
  <c r="S19" i="33" s="1"/>
  <c r="W19" i="33"/>
  <c r="J17" i="33"/>
  <c r="W17" i="33" s="1"/>
  <c r="S15" i="33"/>
  <c r="W15" i="33"/>
  <c r="J10" i="33"/>
  <c r="W10" i="33" s="1"/>
  <c r="H10" i="33"/>
  <c r="U10" i="33" s="1"/>
  <c r="AC11" i="33"/>
  <c r="AB14" i="33"/>
  <c r="W41" i="21"/>
  <c r="AB39"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G1" i="15"/>
  <c r="G1" i="69"/>
  <c r="G1" i="67"/>
  <c r="W23" i="40"/>
  <c r="U32" i="40"/>
  <c r="AB31" i="40"/>
  <c r="S37" i="40"/>
  <c r="AB28" i="40"/>
  <c r="W28" i="40"/>
  <c r="W34" i="40"/>
  <c r="S36" i="40"/>
  <c r="W37" i="40"/>
  <c r="AC14" i="40"/>
  <c r="AA15" i="40"/>
  <c r="U11" i="40"/>
  <c r="S31" i="40"/>
  <c r="U15" i="40"/>
  <c r="AB17" i="40"/>
  <c r="U8" i="40"/>
  <c r="S8" i="40"/>
  <c r="W25" i="39"/>
  <c r="AA14" i="39"/>
  <c r="AB43" i="39"/>
  <c r="AB11" i="39"/>
  <c r="U11" i="39"/>
  <c r="W17" i="39"/>
  <c r="AC17" i="39"/>
  <c r="AC31" i="39"/>
  <c r="U38" i="39"/>
  <c r="S8" i="39"/>
  <c r="S20" i="36"/>
  <c r="AC25" i="36"/>
  <c r="W29" i="36"/>
  <c r="AC20" i="36"/>
  <c r="U25" i="36"/>
  <c r="AA13" i="36"/>
  <c r="W22" i="36"/>
  <c r="AC25" i="35"/>
  <c r="S35" i="35"/>
  <c r="W35" i="35"/>
  <c r="W36" i="37"/>
  <c r="S28" i="37"/>
  <c r="W32" i="37"/>
  <c r="U36" i="37"/>
  <c r="U38" i="37"/>
  <c r="AC34" i="37"/>
  <c r="AB35" i="37"/>
  <c r="AA31" i="37"/>
  <c r="AA29" i="37"/>
  <c r="AB40" i="34"/>
  <c r="U19" i="34"/>
  <c r="AB33" i="34"/>
  <c r="AA31" i="34"/>
  <c r="AB45" i="34"/>
  <c r="U25" i="34"/>
  <c r="AB36" i="34"/>
  <c r="AC32" i="34"/>
  <c r="AC29" i="34"/>
  <c r="W29" i="34"/>
  <c r="AC46" i="34"/>
  <c r="AA32" i="34"/>
  <c r="AB30" i="34"/>
  <c r="U38" i="34"/>
  <c r="AC40" i="34"/>
  <c r="W40" i="34"/>
  <c r="AA19" i="34"/>
  <c r="S19" i="34"/>
  <c r="AA36" i="34"/>
  <c r="S36" i="34"/>
  <c r="S8" i="34"/>
  <c r="AA46" i="34"/>
  <c r="AB14" i="34"/>
  <c r="AC43" i="34"/>
  <c r="W43" i="34"/>
  <c r="AC23" i="34"/>
  <c r="AC35" i="34"/>
  <c r="W35" i="34"/>
  <c r="W46" i="33"/>
  <c r="U39" i="33"/>
  <c r="U38" i="33"/>
  <c r="S33" i="33"/>
  <c r="AB34" i="33"/>
  <c r="U44" i="33"/>
  <c r="AB44" i="33"/>
  <c r="S30" i="33"/>
  <c r="AA30" i="33"/>
  <c r="AC14" i="33"/>
  <c r="W14" i="33"/>
  <c r="AC30" i="33"/>
  <c r="W30" i="33"/>
  <c r="S31" i="33"/>
  <c r="W13" i="33"/>
  <c r="U15" i="33"/>
  <c r="S11" i="33"/>
  <c r="U37" i="33"/>
  <c r="W8" i="33"/>
  <c r="F33" i="21"/>
  <c r="AA33" i="21" s="1"/>
  <c r="J33" i="21"/>
  <c r="AC33" i="21" s="1"/>
  <c r="H33" i="21"/>
  <c r="AB33" i="21" s="1"/>
  <c r="AA26" i="21"/>
  <c r="AB14" i="21"/>
  <c r="U40" i="21"/>
  <c r="U31" i="21"/>
  <c r="U13" i="21"/>
  <c r="S35" i="21"/>
  <c r="J17" i="21"/>
  <c r="AC17" i="21" s="1"/>
  <c r="W39" i="21"/>
  <c r="AC14" i="21"/>
  <c r="W30" i="21"/>
  <c r="H45" i="21"/>
  <c r="U45" i="21" s="1"/>
  <c r="AC38" i="21"/>
  <c r="H32" i="21"/>
  <c r="AB32" i="21" s="1"/>
  <c r="J9" i="21"/>
  <c r="W9" i="21" s="1"/>
  <c r="J32" i="21"/>
  <c r="W32" i="21" s="1"/>
  <c r="F32" i="21"/>
  <c r="AA32" i="21" s="1"/>
  <c r="AA31" i="21"/>
  <c r="AA9" i="21"/>
  <c r="K141" i="21"/>
  <c r="K144" i="21"/>
  <c r="K143" i="21"/>
  <c r="W13" i="21"/>
  <c r="W42"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AA12" i="33"/>
  <c r="J32" i="39"/>
  <c r="H32" i="39"/>
  <c r="AB32" i="39" s="1"/>
  <c r="S17" i="37"/>
  <c r="J19" i="37"/>
  <c r="G75" i="37"/>
  <c r="S19" i="37"/>
  <c r="AA19" i="37"/>
  <c r="AA23" i="37"/>
  <c r="J23" i="37"/>
  <c r="W23" i="37" s="1"/>
  <c r="J10" i="37"/>
  <c r="W10" i="37" s="1"/>
  <c r="H11" i="37"/>
  <c r="AB11" i="37" s="1"/>
  <c r="H11" i="34"/>
  <c r="U11" i="34" s="1"/>
  <c r="J10" i="34"/>
  <c r="AC10" i="34" s="1"/>
  <c r="AB41" i="33"/>
  <c r="W35" i="33"/>
  <c r="J36" i="33"/>
  <c r="W36" i="33" s="1"/>
  <c r="H36" i="33"/>
  <c r="U36" i="33" s="1"/>
  <c r="S36" i="33"/>
  <c r="U27" i="33"/>
  <c r="AB27" i="33"/>
  <c r="J27" i="33"/>
  <c r="AC27" i="33" s="1"/>
  <c r="U25" i="33"/>
  <c r="AB25" i="33"/>
  <c r="J25" i="33"/>
  <c r="AC25" i="33" s="1"/>
  <c r="AB23" i="33"/>
  <c r="U23" i="33"/>
  <c r="F23" i="33"/>
  <c r="G85" i="33"/>
  <c r="AC23" i="33"/>
  <c r="W23" i="33"/>
  <c r="AA19" i="33"/>
  <c r="H19" i="33"/>
  <c r="U19" i="33" s="1"/>
  <c r="H17" i="33"/>
  <c r="U17" i="33" s="1"/>
  <c r="F17" i="33"/>
  <c r="S17" i="33" s="1"/>
  <c r="AC17" i="33"/>
  <c r="J23" i="21"/>
  <c r="W23" i="21" s="1"/>
  <c r="H23" i="21"/>
  <c r="AB23" i="21" s="1"/>
  <c r="AP7" i="1"/>
  <c r="U32" i="39"/>
  <c r="AC32" i="39"/>
  <c r="W32" i="39"/>
  <c r="W19" i="37"/>
  <c r="AC19" i="37"/>
  <c r="J11" i="37"/>
  <c r="AC11" i="37" s="1"/>
  <c r="J11" i="34"/>
  <c r="W11" i="34" s="1"/>
  <c r="AB36" i="33"/>
  <c r="W25" i="33"/>
  <c r="AA23" i="33"/>
  <c r="S23" i="33"/>
  <c r="AA17" i="33"/>
  <c r="AB17" i="33"/>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D4" i="73"/>
  <c r="M9" i="15"/>
  <c r="F36" i="67"/>
  <c r="L48" i="15"/>
  <c r="F7" i="73"/>
  <c r="D3" i="73"/>
  <c r="F40" i="67"/>
  <c r="F20" i="31"/>
  <c r="F6" i="67"/>
  <c r="M28" i="67"/>
  <c r="J15" i="15"/>
  <c r="B12" i="76"/>
  <c r="F13" i="15"/>
  <c r="E2" i="69"/>
  <c r="B8" i="76"/>
  <c r="F37" i="15"/>
  <c r="F16" i="15"/>
  <c r="E13" i="76"/>
  <c r="D7" i="73"/>
  <c r="M24" i="15"/>
  <c r="E11" i="76"/>
  <c r="E10" i="76"/>
  <c r="F9" i="15"/>
  <c r="F7" i="15"/>
  <c r="M22" i="67"/>
  <c r="M8" i="15"/>
  <c r="F5" i="73"/>
  <c r="E2" i="68"/>
  <c r="B7" i="76"/>
  <c r="D5" i="73"/>
  <c r="D6" i="73"/>
  <c r="F6" i="73"/>
  <c r="E12" i="76"/>
  <c r="E7" i="76"/>
  <c r="AO13" i="1"/>
  <c r="M28" i="15"/>
  <c r="F40" i="15"/>
  <c r="F26" i="67"/>
  <c r="M23" i="67"/>
  <c r="F4" i="73"/>
  <c r="B11" i="76"/>
  <c r="F3" i="73"/>
  <c r="M6" i="15"/>
  <c r="M24" i="67"/>
  <c r="F16" i="67"/>
  <c r="E8" i="76"/>
  <c r="C76" i="67"/>
  <c r="B9" i="76"/>
  <c r="M23" i="15"/>
  <c r="F13" i="67"/>
  <c r="E9" i="76"/>
  <c r="F37" i="67"/>
  <c r="B10" i="76"/>
  <c r="B13" i="76"/>
  <c r="AC26" i="37" l="1"/>
  <c r="W26" i="37"/>
  <c r="F34" i="39"/>
  <c r="F108" i="39"/>
  <c r="G108" i="39" s="1"/>
  <c r="H108" i="39" s="1"/>
  <c r="I108" i="39" s="1"/>
  <c r="J108" i="39" s="1"/>
  <c r="K108" i="39" s="1"/>
  <c r="L108" i="39" s="1"/>
  <c r="M108" i="39" s="1"/>
  <c r="J34" i="39"/>
  <c r="U46" i="21"/>
  <c r="AB46" i="21"/>
  <c r="S36" i="39"/>
  <c r="AA36" i="39"/>
  <c r="AB19" i="33"/>
  <c r="W27" i="33"/>
  <c r="AC23" i="37"/>
  <c r="U32" i="21"/>
  <c r="AA25" i="33"/>
  <c r="W32" i="33"/>
  <c r="S32" i="39"/>
  <c r="AC37" i="33"/>
  <c r="W33" i="34"/>
  <c r="AA40" i="34"/>
  <c r="W19" i="40"/>
  <c r="W43" i="33"/>
  <c r="U32" i="37"/>
  <c r="S14" i="36"/>
  <c r="AB20" i="36"/>
  <c r="U21" i="40"/>
  <c r="S30" i="40"/>
  <c r="AC34" i="33"/>
  <c r="AC13" i="34"/>
  <c r="AA39" i="34"/>
  <c r="AA12" i="40"/>
  <c r="W37" i="37"/>
  <c r="G509" i="3"/>
  <c r="AZ357" i="3"/>
  <c r="AZ334" i="3"/>
  <c r="AZ326" i="3"/>
  <c r="AZ318" i="3"/>
  <c r="AZ372" i="3"/>
  <c r="AZ336" i="3"/>
  <c r="AZ329" i="3"/>
  <c r="AZ305" i="3"/>
  <c r="AC46" i="21"/>
  <c r="W44" i="33"/>
  <c r="AC36" i="34"/>
  <c r="U14" i="40"/>
  <c r="S21" i="40"/>
  <c r="AZ499" i="3"/>
  <c r="AZ543" i="3"/>
  <c r="AZ555" i="3"/>
  <c r="AZ569" i="3"/>
  <c r="AZ583" i="3"/>
  <c r="AZ544" i="3"/>
  <c r="AZ554" i="3"/>
  <c r="S35" i="39"/>
  <c r="U31" i="33"/>
  <c r="U31" i="34"/>
  <c r="H27" i="21"/>
  <c r="AB27" i="21" s="1"/>
  <c r="F46" i="21"/>
  <c r="J44" i="21"/>
  <c r="AC44" i="21" s="1"/>
  <c r="S41" i="33"/>
  <c r="S26" i="33"/>
  <c r="W8" i="34"/>
  <c r="F28" i="34"/>
  <c r="AA28" i="34" s="1"/>
  <c r="H16" i="35"/>
  <c r="U16" i="35" s="1"/>
  <c r="F24" i="36"/>
  <c r="AA24" i="36" s="1"/>
  <c r="W32" i="40"/>
  <c r="S40" i="39"/>
  <c r="S40" i="21"/>
  <c r="H39" i="39"/>
  <c r="AA9" i="40"/>
  <c r="U34" i="34"/>
  <c r="J36" i="39"/>
  <c r="AC36" i="39" s="1"/>
  <c r="J19" i="21"/>
  <c r="BL585" i="3"/>
  <c r="J9" i="33"/>
  <c r="H12" i="33"/>
  <c r="J23" i="35"/>
  <c r="AB31" i="35"/>
  <c r="J25" i="37"/>
  <c r="F26" i="37"/>
  <c r="H39" i="40"/>
  <c r="AZ188" i="3"/>
  <c r="G582" i="3"/>
  <c r="G579" i="3"/>
  <c r="G576" i="3"/>
  <c r="G575" i="3"/>
  <c r="G556" i="3"/>
  <c r="G552" i="3"/>
  <c r="G550" i="3"/>
  <c r="BL398" i="3"/>
  <c r="G399" i="3"/>
  <c r="BL401" i="3"/>
  <c r="G402" i="3"/>
  <c r="BA403" i="3"/>
  <c r="AZ403" i="3" s="1"/>
  <c r="BA405" i="3"/>
  <c r="AZ405" i="3" s="1"/>
  <c r="BA406" i="3"/>
  <c r="BL406" i="3"/>
  <c r="BA407" i="3"/>
  <c r="AZ407" i="3" s="1"/>
  <c r="BA408" i="3"/>
  <c r="AZ408" i="3" s="1"/>
  <c r="BA410" i="3"/>
  <c r="AZ410" i="3" s="1"/>
  <c r="BA412" i="3"/>
  <c r="AZ412" i="3" s="1"/>
  <c r="BL412" i="3"/>
  <c r="BL413" i="3"/>
  <c r="G414" i="3"/>
  <c r="G417" i="3"/>
  <c r="BL418" i="3"/>
  <c r="G419" i="3"/>
  <c r="BL420" i="3"/>
  <c r="G421" i="3"/>
  <c r="BL422" i="3"/>
  <c r="G423" i="3"/>
  <c r="G426" i="3"/>
  <c r="BA427" i="3"/>
  <c r="AZ427" i="3" s="1"/>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AZ484" i="3" s="1"/>
  <c r="BL484" i="3"/>
  <c r="BA485" i="3"/>
  <c r="AZ485" i="3" s="1"/>
  <c r="BA487" i="3"/>
  <c r="AZ487" i="3" s="1"/>
  <c r="BL489" i="3"/>
  <c r="G490" i="3"/>
  <c r="BL491" i="3"/>
  <c r="G492" i="3"/>
  <c r="G313" i="3"/>
  <c r="BL314" i="3"/>
  <c r="AZ314" i="3" s="1"/>
  <c r="BA316" i="3"/>
  <c r="AZ316" i="3" s="1"/>
  <c r="G327" i="3"/>
  <c r="BL328" i="3"/>
  <c r="AZ328" i="3" s="1"/>
  <c r="BA331" i="3"/>
  <c r="AZ331" i="3" s="1"/>
  <c r="BA333" i="3"/>
  <c r="AZ333" i="3" s="1"/>
  <c r="BL333" i="3"/>
  <c r="G339" i="3"/>
  <c r="BL340" i="3"/>
  <c r="AZ340" i="3" s="1"/>
  <c r="G349" i="3"/>
  <c r="BA350" i="3"/>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G243" i="3"/>
  <c r="G247" i="3"/>
  <c r="BL248" i="3"/>
  <c r="G249" i="3"/>
  <c r="BL250" i="3"/>
  <c r="G251" i="3"/>
  <c r="BA252" i="3"/>
  <c r="BL252"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A266" i="3"/>
  <c r="AZ266" i="3" s="1"/>
  <c r="BA268" i="3"/>
  <c r="BL268" i="3"/>
  <c r="BL270" i="3"/>
  <c r="G271" i="3"/>
  <c r="BA272" i="3"/>
  <c r="BL272"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BL163" i="3"/>
  <c r="AZ163" i="3" s="1"/>
  <c r="G164" i="3"/>
  <c r="BA165" i="3"/>
  <c r="AZ165" i="3" s="1"/>
  <c r="BA166" i="3"/>
  <c r="AZ166" i="3" s="1"/>
  <c r="BL167" i="3"/>
  <c r="AZ167" i="3" s="1"/>
  <c r="BA169" i="3"/>
  <c r="AZ169" i="3" s="1"/>
  <c r="BA170" i="3"/>
  <c r="AZ170" i="3" s="1"/>
  <c r="BL171" i="3"/>
  <c r="AZ171" i="3" s="1"/>
  <c r="BA174" i="3"/>
  <c r="BL174" i="3"/>
  <c r="BA176" i="3"/>
  <c r="AZ176" i="3" s="1"/>
  <c r="G179" i="3"/>
  <c r="BL186" i="3"/>
  <c r="G187" i="3"/>
  <c r="BA188" i="3"/>
  <c r="G191" i="3"/>
  <c r="G194" i="3"/>
  <c r="BL197" i="3"/>
  <c r="G198" i="3"/>
  <c r="G200" i="3"/>
  <c r="BL201" i="3"/>
  <c r="G202" i="3"/>
  <c r="G204" i="3"/>
  <c r="BA205" i="3"/>
  <c r="AZ205" i="3" s="1"/>
  <c r="BL205" i="3"/>
  <c r="BA207" i="3"/>
  <c r="AZ207" i="3" s="1"/>
  <c r="BA19" i="3"/>
  <c r="BL19" i="3"/>
  <c r="BA21" i="3"/>
  <c r="BL21" i="3"/>
  <c r="BA22" i="3"/>
  <c r="AZ22" i="3" s="1"/>
  <c r="BA24" i="3"/>
  <c r="AZ24" i="3" s="1"/>
  <c r="BL24" i="3"/>
  <c r="BL25" i="3"/>
  <c r="G26" i="3"/>
  <c r="BA27" i="3"/>
  <c r="BL27" i="3"/>
  <c r="BA29" i="3"/>
  <c r="AZ29" i="3" s="1"/>
  <c r="BL29" i="3"/>
  <c r="BL30" i="3"/>
  <c r="G31" i="3"/>
  <c r="BL32"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BL55" i="3"/>
  <c r="G56" i="3"/>
  <c r="BL58" i="3"/>
  <c r="G59" i="3"/>
  <c r="BA60" i="3"/>
  <c r="BL60" i="3"/>
  <c r="BL62" i="3"/>
  <c r="G63" i="3"/>
  <c r="BA64" i="3"/>
  <c r="BL64" i="3"/>
  <c r="BA65" i="3"/>
  <c r="AZ65" i="3" s="1"/>
  <c r="BA66" i="3"/>
  <c r="AZ66" i="3" s="1"/>
  <c r="BA67" i="3"/>
  <c r="AZ67" i="3" s="1"/>
  <c r="BA69" i="3"/>
  <c r="AZ69" i="3" s="1"/>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BL102" i="3"/>
  <c r="BL103" i="3"/>
  <c r="G104" i="3"/>
  <c r="G109" i="3"/>
  <c r="G111" i="3"/>
  <c r="S21" i="33"/>
  <c r="AB21" i="34"/>
  <c r="S18" i="36"/>
  <c r="D27" i="71"/>
  <c r="P67" i="71"/>
  <c r="AA25" i="71"/>
  <c r="T28" i="71"/>
  <c r="E39" i="71"/>
  <c r="AB36" i="71"/>
  <c r="B39" i="71"/>
  <c r="B40" i="71" s="1"/>
  <c r="S40" i="71" s="1"/>
  <c r="B67" i="71"/>
  <c r="K7" i="1"/>
  <c r="W45" i="21"/>
  <c r="AC45" i="21"/>
  <c r="AC26" i="33"/>
  <c r="W26" i="33"/>
  <c r="W27" i="34"/>
  <c r="AC27" i="34"/>
  <c r="AB9" i="33"/>
  <c r="U9" i="33"/>
  <c r="W9" i="35"/>
  <c r="AC9" i="35"/>
  <c r="AC12" i="33"/>
  <c r="W12" i="33"/>
  <c r="D20" i="71"/>
  <c r="U20" i="71" s="1"/>
  <c r="T20" i="71"/>
  <c r="AC23" i="21"/>
  <c r="C48" i="35"/>
  <c r="D48" i="35" s="1"/>
  <c r="G7" i="35"/>
  <c r="I7" i="35"/>
  <c r="E7" i="35"/>
  <c r="F23" i="21"/>
  <c r="AZ362" i="3"/>
  <c r="AZ343" i="3"/>
  <c r="AZ495" i="3"/>
  <c r="AZ513" i="3"/>
  <c r="AZ567" i="3"/>
  <c r="AZ571" i="3"/>
  <c r="AZ575" i="3"/>
  <c r="AZ581" i="3"/>
  <c r="H34" i="39"/>
  <c r="BL586" i="3"/>
  <c r="AZ586" i="3" s="1"/>
  <c r="BA585" i="3"/>
  <c r="AZ585" i="3" s="1"/>
  <c r="J43" i="21"/>
  <c r="F81" i="21"/>
  <c r="G81" i="21" s="1"/>
  <c r="F19" i="21"/>
  <c r="J14" i="35"/>
  <c r="W14" i="35" s="1"/>
  <c r="H24" i="36"/>
  <c r="E7" i="21"/>
  <c r="G7" i="21"/>
  <c r="I7" i="21"/>
  <c r="AZ17" i="3"/>
  <c r="AZ382" i="3"/>
  <c r="AZ342" i="3"/>
  <c r="AZ321" i="3"/>
  <c r="AZ394" i="3"/>
  <c r="AZ517" i="3"/>
  <c r="AZ563" i="3"/>
  <c r="AZ579" i="3"/>
  <c r="AZ568" i="3"/>
  <c r="AZ576" i="3"/>
  <c r="AZ584" i="3"/>
  <c r="H9" i="36"/>
  <c r="F9" i="36"/>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BL15" i="3"/>
  <c r="AZ15" i="3" s="1"/>
  <c r="BL16" i="3"/>
  <c r="AZ16" i="3" s="1"/>
  <c r="G408" i="3"/>
  <c r="G409" i="3"/>
  <c r="BL409" i="3"/>
  <c r="G411" i="3"/>
  <c r="BL411" i="3"/>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F44" i="39"/>
  <c r="H38"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BR5" i="3"/>
  <c r="G495" i="3"/>
  <c r="BM5" i="3"/>
  <c r="BH5" i="3"/>
  <c r="BD5" i="3"/>
  <c r="G494" i="3"/>
  <c r="BP5" i="3"/>
  <c r="BL493" i="3"/>
  <c r="BI5" i="3"/>
  <c r="BE5" i="3"/>
  <c r="BA493" i="3"/>
  <c r="A15" i="62"/>
  <c r="B61" i="72" s="1"/>
  <c r="BA398" i="3"/>
  <c r="AZ398" i="3" s="1"/>
  <c r="BA400" i="3"/>
  <c r="AZ400" i="3" s="1"/>
  <c r="BA401" i="3"/>
  <c r="AZ401" i="3" s="1"/>
  <c r="BA402" i="3"/>
  <c r="BL402" i="3"/>
  <c r="G404" i="3"/>
  <c r="BL404" i="3"/>
  <c r="G406" i="3"/>
  <c r="AZ411" i="3"/>
  <c r="AZ416" i="3"/>
  <c r="AZ418" i="3"/>
  <c r="AZ422" i="3"/>
  <c r="AZ432" i="3"/>
  <c r="AZ434" i="3"/>
  <c r="AZ445" i="3"/>
  <c r="AZ447" i="3"/>
  <c r="AZ450" i="3"/>
  <c r="AZ454" i="3"/>
  <c r="AZ459" i="3"/>
  <c r="AZ474" i="3"/>
  <c r="AZ477" i="3"/>
  <c r="AZ488" i="3"/>
  <c r="AZ216" i="3"/>
  <c r="AZ221" i="3"/>
  <c r="AZ230" i="3"/>
  <c r="AZ242" i="3"/>
  <c r="AZ246" i="3"/>
  <c r="AZ262" i="3"/>
  <c r="AZ278" i="3"/>
  <c r="AZ284"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BA49" i="3"/>
  <c r="AZ49" i="3" s="1"/>
  <c r="BA50" i="3"/>
  <c r="AZ50" i="3" s="1"/>
  <c r="BA51" i="3"/>
  <c r="AZ51" i="3" s="1"/>
  <c r="BL53" i="3"/>
  <c r="AZ53" i="3" s="1"/>
  <c r="AZ302" i="3"/>
  <c r="AZ126" i="3"/>
  <c r="AZ141" i="3"/>
  <c r="AZ193" i="3"/>
  <c r="AZ23" i="3"/>
  <c r="AZ48" i="3"/>
  <c r="D62" i="71"/>
  <c r="C63" i="7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C51" i="10"/>
  <c r="A13" i="51" s="1"/>
  <c r="B11" i="72" s="1"/>
  <c r="A118" i="80"/>
  <c r="A2" i="80"/>
  <c r="F40" i="68"/>
  <c r="C21" i="68"/>
  <c r="AC21" i="21"/>
  <c r="W21" i="21"/>
  <c r="D54" i="71"/>
  <c r="C55" i="71"/>
  <c r="G107" i="3"/>
  <c r="G108" i="3"/>
  <c r="BL108" i="3"/>
  <c r="AZ108" i="3" s="1"/>
  <c r="BL110" i="3"/>
  <c r="AZ110" i="3" s="1"/>
  <c r="BA112" i="3"/>
  <c r="AZ112" i="3" s="1"/>
  <c r="C7" i="37"/>
  <c r="C52" i="37" s="1"/>
  <c r="D52" i="37" s="1"/>
  <c r="M47" i="80"/>
  <c r="AC21" i="33"/>
  <c r="AC21" i="37"/>
  <c r="U21" i="37"/>
  <c r="P65" i="71"/>
  <c r="C52" i="71"/>
  <c r="T52" i="71" s="1"/>
  <c r="D79" i="7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14" i="74"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Q71" i="67"/>
  <c r="C27" i="67"/>
  <c r="F65" i="15"/>
  <c r="B13" i="70"/>
  <c r="F68" i="67"/>
  <c r="F64" i="67"/>
  <c r="F68" i="15"/>
  <c r="D9" i="68"/>
  <c r="M29" i="15"/>
  <c r="C36" i="69"/>
  <c r="F26" i="15"/>
  <c r="M26" i="15"/>
  <c r="F8" i="67"/>
  <c r="D9" i="69"/>
  <c r="M26" i="67"/>
  <c r="F8" i="15"/>
  <c r="F43" i="15"/>
  <c r="F7" i="67"/>
  <c r="G1" i="73"/>
  <c r="F38" i="15"/>
  <c r="M29" i="67"/>
  <c r="C76" i="15"/>
  <c r="F43" i="67"/>
  <c r="M6" i="67"/>
  <c r="M22" i="15"/>
  <c r="F42" i="15"/>
  <c r="M9" i="67"/>
  <c r="M8" i="67"/>
  <c r="F38" i="67"/>
  <c r="J15" i="67"/>
  <c r="L47" i="15"/>
  <c r="L47" i="67"/>
  <c r="F9" i="67"/>
  <c r="F42" i="67"/>
  <c r="F36" i="15"/>
  <c r="F6" i="15"/>
  <c r="L48" i="67"/>
  <c r="U39" i="40" l="1"/>
  <c r="AB39" i="40"/>
  <c r="AC25" i="37"/>
  <c r="W25" i="37"/>
  <c r="AC23" i="35"/>
  <c r="W23" i="35"/>
  <c r="AC9" i="33"/>
  <c r="W9" i="33"/>
  <c r="W19" i="21"/>
  <c r="AC19" i="21"/>
  <c r="U39" i="39"/>
  <c r="AB39" i="39"/>
  <c r="AC34" i="39"/>
  <c r="W34" i="39"/>
  <c r="F52" i="9"/>
  <c r="F48" i="9"/>
  <c r="O52" i="9" s="1"/>
  <c r="S27" i="39"/>
  <c r="AZ451" i="3"/>
  <c r="AZ438" i="3"/>
  <c r="AZ435" i="3"/>
  <c r="AZ419" i="3"/>
  <c r="B66" i="71"/>
  <c r="N67" i="71"/>
  <c r="AZ102" i="3"/>
  <c r="AZ64" i="3"/>
  <c r="AZ21" i="3"/>
  <c r="AZ19" i="3"/>
  <c r="AZ174" i="3"/>
  <c r="AZ272" i="3"/>
  <c r="AZ268" i="3"/>
  <c r="AZ254" i="3"/>
  <c r="AZ224" i="3"/>
  <c r="AZ222" i="3"/>
  <c r="AZ350" i="3"/>
  <c r="AZ443" i="3"/>
  <c r="AZ406" i="3"/>
  <c r="AA26" i="37"/>
  <c r="S26" i="37"/>
  <c r="AA46" i="21"/>
  <c r="S46" i="21"/>
  <c r="F71" i="15"/>
  <c r="M7" i="1"/>
  <c r="F48" i="80"/>
  <c r="O52" i="80" s="1"/>
  <c r="F53" i="80"/>
  <c r="F54" i="9"/>
  <c r="D55" i="71"/>
  <c r="C56" i="71"/>
  <c r="AB38" i="40"/>
  <c r="U38" i="40"/>
  <c r="AB9" i="36"/>
  <c r="U9" i="36"/>
  <c r="U34" i="39"/>
  <c r="AB34" i="39"/>
  <c r="S23" i="21"/>
  <c r="AA23" i="21"/>
  <c r="J7" i="37"/>
  <c r="L19" i="6"/>
  <c r="L27" i="6" s="1"/>
  <c r="AZ402" i="3"/>
  <c r="G28" i="6"/>
  <c r="AZ469" i="3"/>
  <c r="AA9" i="36"/>
  <c r="S9" i="36"/>
  <c r="AB24" i="36"/>
  <c r="U24" i="36"/>
  <c r="AA19" i="21"/>
  <c r="S19" i="21"/>
  <c r="AC43" i="21"/>
  <c r="W43" i="21"/>
  <c r="N94" i="46"/>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D17" i="53"/>
  <c r="B36" i="72" s="1"/>
  <c r="K46" i="36"/>
  <c r="L46" i="36" s="1"/>
  <c r="M46" i="36" s="1"/>
  <c r="N46" i="36" s="1"/>
  <c r="O46" i="36" s="1"/>
  <c r="F7" i="36"/>
  <c r="F51" i="15"/>
  <c r="C49" i="15" s="1"/>
  <c r="C27" i="15"/>
  <c r="N59" i="15"/>
  <c r="L59" i="15"/>
  <c r="Q61" i="15" s="1"/>
  <c r="L58" i="15"/>
  <c r="Q73" i="15" s="1"/>
  <c r="Q71" i="15"/>
  <c r="F64" i="15"/>
  <c r="J57" i="67"/>
  <c r="J55" i="67" s="1"/>
  <c r="J58" i="67" s="1"/>
  <c r="Q50" i="67" s="1"/>
  <c r="I54" i="67"/>
  <c r="J53" i="67"/>
  <c r="Q52" i="67" s="1"/>
  <c r="L56" i="67"/>
  <c r="F31" i="15"/>
  <c r="C6" i="15"/>
  <c r="F66" i="15"/>
  <c r="F66" i="67"/>
  <c r="C6" i="67"/>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F31" i="6"/>
  <c r="E51" i="40"/>
  <c r="E16" i="6"/>
  <c r="E58" i="40"/>
  <c r="E62" i="39"/>
  <c r="D5" i="43"/>
  <c r="J10" i="40"/>
  <c r="AC10" i="40" s="1"/>
  <c r="H10" i="39"/>
  <c r="U10" i="39" s="1"/>
  <c r="F10" i="40"/>
  <c r="S10" i="40" s="1"/>
  <c r="J10" i="39"/>
  <c r="W10" i="39" s="1"/>
  <c r="H10" i="40"/>
  <c r="AB10" i="40"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C16" i="67"/>
  <c r="F27" i="69"/>
  <c r="C16" i="15"/>
  <c r="C32" i="15" l="1"/>
  <c r="AZ5" i="3"/>
  <c r="E3" i="6" s="1"/>
  <c r="N65" i="71"/>
  <c r="N66" i="71"/>
  <c r="O7" i="1"/>
  <c r="P7" i="1" s="1"/>
  <c r="AY6" i="3"/>
  <c r="F67" i="39"/>
  <c r="G30" i="6"/>
  <c r="G31" i="6" s="1"/>
  <c r="E28" i="6"/>
  <c r="K26" i="6" s="1"/>
  <c r="M26" i="6" s="1"/>
  <c r="I26" i="6" s="1"/>
  <c r="S26" i="6" s="1"/>
  <c r="D56" i="71"/>
  <c r="T56" i="71"/>
  <c r="C32" i="67"/>
  <c r="J7" i="36"/>
  <c r="H7" i="36"/>
  <c r="AC6" i="3"/>
  <c r="E65" i="39"/>
  <c r="H6" i="3"/>
  <c r="C47" i="69"/>
  <c r="D45" i="69" s="1"/>
  <c r="F45" i="69"/>
  <c r="F48" i="68"/>
  <c r="C30" i="68"/>
  <c r="C48" i="68"/>
  <c r="C29" i="69"/>
  <c r="D27" i="69"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M27" i="15"/>
  <c r="AE7" i="1"/>
  <c r="M18" i="80" l="1"/>
  <c r="B118" i="80" s="1"/>
  <c r="E6" i="6"/>
  <c r="D14" i="12"/>
  <c r="D17" i="12" s="1"/>
  <c r="C17" i="12" s="1"/>
  <c r="D3" i="34"/>
  <c r="L18" i="9"/>
  <c r="D3" i="33"/>
  <c r="L18" i="80"/>
  <c r="D37" i="11"/>
  <c r="M18" i="9"/>
  <c r="B118" i="9" s="1"/>
  <c r="B1" i="74" s="1"/>
  <c r="D19" i="11"/>
  <c r="C19" i="11" s="1"/>
  <c r="C17" i="4"/>
  <c r="B4" i="52" s="1"/>
  <c r="B43" i="72" s="1"/>
  <c r="D3" i="37"/>
  <c r="W7" i="36"/>
  <c r="AC7" i="36"/>
  <c r="V36" i="36" s="1"/>
  <c r="I36" i="36" s="1"/>
  <c r="I40" i="36" s="1"/>
  <c r="J40" i="36" s="1"/>
  <c r="U7" i="36"/>
  <c r="AB7" i="36"/>
  <c r="T36" i="36" s="1"/>
  <c r="G36" i="36" s="1"/>
  <c r="K14" i="1"/>
  <c r="E30" i="6"/>
  <c r="E31" i="6" s="1"/>
  <c r="L19" i="80"/>
  <c r="M19" i="80"/>
  <c r="C118" i="80" s="1"/>
  <c r="C48" i="67"/>
  <c r="C66" i="67" s="1"/>
  <c r="C13" i="71"/>
  <c r="D14" i="71"/>
  <c r="G54" i="34"/>
  <c r="H54" i="34"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D10" i="68"/>
  <c r="F41" i="67"/>
  <c r="C17" i="15"/>
  <c r="D10" i="69"/>
  <c r="C17" i="67"/>
  <c r="C14" i="67"/>
  <c r="C34" i="69"/>
  <c r="F41" i="15"/>
  <c r="F69" i="15" l="1"/>
  <c r="G41" i="36"/>
  <c r="H41" i="36" s="1"/>
  <c r="G40" i="36"/>
  <c r="H40" i="36" s="1"/>
  <c r="M14" i="1"/>
  <c r="K16" i="1"/>
  <c r="H21" i="6"/>
  <c r="H25" i="6"/>
  <c r="F69" i="67"/>
  <c r="C60" i="67"/>
  <c r="C12" i="71"/>
  <c r="D13" i="7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7" i="74"/>
  <c r="R21" i="6"/>
  <c r="R8" i="1" s="1"/>
  <c r="C10" i="69"/>
  <c r="C8" i="69" s="1"/>
  <c r="D19" i="69"/>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E2" i="70" l="1"/>
  <c r="M16" i="1"/>
  <c r="O14" i="1"/>
  <c r="O16" i="1" s="1"/>
  <c r="C18" i="12"/>
  <c r="C11" i="71"/>
  <c r="T12" i="71"/>
  <c r="D12" i="71"/>
  <c r="U12" i="71" s="1"/>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P14" i="1" l="1"/>
  <c r="P16" i="1" s="1"/>
  <c r="C11" i="12" s="1"/>
  <c r="N16" i="1"/>
  <c r="B21" i="1" s="1"/>
  <c r="C24" i="68" s="1"/>
  <c r="L16" i="1"/>
  <c r="J7" i="21"/>
  <c r="W7" i="21" s="1"/>
  <c r="C10" i="71"/>
  <c r="D11" i="71"/>
  <c r="C23" i="67"/>
  <c r="C29" i="67" s="1"/>
  <c r="J59" i="67" s="1"/>
  <c r="J60" i="67" s="1"/>
  <c r="Q48" i="67" s="1"/>
  <c r="C19" i="15"/>
  <c r="C20" i="15" s="1"/>
  <c r="C26" i="15" s="1"/>
  <c r="H27" i="6"/>
  <c r="R19" i="6"/>
  <c r="C39" i="69"/>
  <c r="C43" i="69" s="1"/>
  <c r="C42" i="69"/>
  <c r="B3" i="76"/>
  <c r="J69" i="39"/>
  <c r="K67" i="39"/>
  <c r="U7" i="21"/>
  <c r="AB7" i="21"/>
  <c r="T48" i="21" s="1"/>
  <c r="G48" i="21" s="1"/>
  <c r="S7" i="21"/>
  <c r="AA7" i="21"/>
  <c r="R48" i="21" s="1"/>
  <c r="J63" i="40"/>
  <c r="I65" i="40"/>
  <c r="K48" i="35"/>
  <c r="L48" i="35" s="1"/>
  <c r="M48" i="35" s="1"/>
  <c r="N48" i="35" s="1"/>
  <c r="O48" i="35" s="1"/>
  <c r="H7" i="35" s="1"/>
  <c r="J7" i="35"/>
  <c r="C44" i="68" l="1"/>
  <c r="D41" i="68" s="1"/>
  <c r="C24" i="11"/>
  <c r="C44" i="11"/>
  <c r="D41" i="11" s="1"/>
  <c r="B23" i="1"/>
  <c r="C29" i="11"/>
  <c r="D27" i="11" s="1"/>
  <c r="C28" i="11"/>
  <c r="C27" i="11" s="1"/>
  <c r="B24" i="1"/>
  <c r="C29" i="68"/>
  <c r="D27" i="68" s="1"/>
  <c r="C15" i="12"/>
  <c r="C12" i="12"/>
  <c r="AC7" i="21"/>
  <c r="V48" i="21" s="1"/>
  <c r="I48" i="21" s="1"/>
  <c r="I52" i="21" s="1"/>
  <c r="J52" i="21" s="1"/>
  <c r="D10" i="71"/>
  <c r="C9" i="71"/>
  <c r="Q49" i="67"/>
  <c r="J14" i="67"/>
  <c r="J13" i="67" s="1"/>
  <c r="J23" i="67" s="1"/>
  <c r="C36" i="67"/>
  <c r="C57" i="67"/>
  <c r="C64" i="67" s="1"/>
  <c r="C13" i="67"/>
  <c r="Q70" i="67" s="1"/>
  <c r="C61" i="67"/>
  <c r="C23" i="15"/>
  <c r="C29" i="15" s="1"/>
  <c r="C41" i="69"/>
  <c r="R27" i="6"/>
  <c r="R6" i="1"/>
  <c r="C46" i="69"/>
  <c r="C45" i="69" s="1"/>
  <c r="L67" i="39"/>
  <c r="K69" i="39"/>
  <c r="W7" i="35"/>
  <c r="AC7" i="35"/>
  <c r="V38" i="35" s="1"/>
  <c r="I38" i="35" s="1"/>
  <c r="J65" i="40"/>
  <c r="K63" i="40"/>
  <c r="U7" i="35"/>
  <c r="AB7" i="35"/>
  <c r="T38" i="35" s="1"/>
  <c r="G38" i="35" s="1"/>
  <c r="E48" i="21"/>
  <c r="G52" i="21"/>
  <c r="H52" i="21" s="1"/>
  <c r="F7" i="35"/>
  <c r="F35" i="67"/>
  <c r="F35" i="15"/>
  <c r="M21" i="15"/>
  <c r="M21" i="67"/>
  <c r="C25" i="11" l="1"/>
  <c r="C26" i="68"/>
  <c r="D22" i="68" s="1"/>
  <c r="C26" i="11"/>
  <c r="D22" i="11" s="1"/>
  <c r="C23" i="11"/>
  <c r="F11" i="12"/>
  <c r="C14" i="12" s="1"/>
  <c r="C16" i="12" s="1"/>
  <c r="C21" i="12" s="1"/>
  <c r="C22" i="12" s="1"/>
  <c r="F34" i="11"/>
  <c r="F50" i="69"/>
  <c r="F50" i="68"/>
  <c r="F50" i="11"/>
  <c r="M59" i="15"/>
  <c r="C29" i="12"/>
  <c r="D28" i="12" s="1"/>
  <c r="F34" i="68"/>
  <c r="M59" i="67"/>
  <c r="C26" i="12"/>
  <c r="D25" i="12" s="1"/>
  <c r="G53" i="21"/>
  <c r="H53" i="21" s="1"/>
  <c r="R49" i="21"/>
  <c r="C48" i="21" s="1"/>
  <c r="C8" i="71"/>
  <c r="D9"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22" i="11" l="1"/>
  <c r="C31" i="11" s="1"/>
  <c r="C37" i="68"/>
  <c r="C36" i="68"/>
  <c r="C34" i="68"/>
  <c r="C37" i="11"/>
  <c r="C36" i="11"/>
  <c r="C34" i="11"/>
  <c r="C49" i="21"/>
  <c r="C7" i="71"/>
  <c r="D8"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C35" i="11" l="1"/>
  <c r="C38" i="11"/>
  <c r="C38" i="68"/>
  <c r="C35" i="68"/>
  <c r="C6" i="71"/>
  <c r="D7" i="71"/>
  <c r="C80" i="67"/>
  <c r="C79" i="67" s="1"/>
  <c r="C40" i="67"/>
  <c r="C45" i="67"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3" i="11" l="1"/>
  <c r="C42" i="11" s="1"/>
  <c r="C33" i="68"/>
  <c r="C42" i="68" s="1"/>
  <c r="B3" i="21"/>
  <c r="C6" i="1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D19" i="80"/>
  <c r="C39" i="11" l="1"/>
  <c r="C43" i="11" s="1"/>
  <c r="C41" i="11" s="1"/>
  <c r="C39" i="68"/>
  <c r="C43" i="68" s="1"/>
  <c r="C41" i="68" s="1"/>
  <c r="C91" i="9"/>
  <c r="D102" i="80"/>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6" i="1"/>
  <c r="AO9" i="1"/>
  <c r="AO7" i="1"/>
  <c r="AO12" i="1"/>
  <c r="AO8" i="1"/>
  <c r="D20" i="80"/>
  <c r="AO11" i="1"/>
  <c r="C19" i="80"/>
  <c r="C49" i="11" l="1"/>
  <c r="C51" i="11" s="1"/>
  <c r="C52" i="11" s="1"/>
  <c r="B2" i="11" s="1"/>
  <c r="B3" i="11" s="1"/>
  <c r="C46" i="11"/>
  <c r="C45" i="11" s="1"/>
  <c r="C46" i="68"/>
  <c r="C45" i="68" s="1"/>
  <c r="C49" i="68" s="1"/>
  <c r="C51" i="68" s="1"/>
  <c r="C92" i="9"/>
  <c r="C94" i="9"/>
  <c r="D8" i="12"/>
  <c r="C4" i="12" s="1"/>
  <c r="D6" i="12"/>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56" i="11" l="1"/>
  <c r="C57" i="11" s="1"/>
  <c r="C23" i="12"/>
  <c r="C30" i="12" s="1"/>
  <c r="C28" i="12" s="1"/>
  <c r="C31" i="12"/>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2" i="12" s="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C42" i="40"/>
  <c r="C43" i="40"/>
  <c r="E47" i="40"/>
  <c r="F47" i="40" s="1"/>
  <c r="E46" i="40"/>
  <c r="F46" i="40" s="1"/>
  <c r="I47" i="40"/>
  <c r="J47" i="40" s="1"/>
  <c r="B3" i="39" l="1"/>
  <c r="C6" i="68"/>
  <c r="C23" i="69"/>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8" i="69"/>
  <c r="C27" i="69" s="1"/>
  <c r="C25" i="69"/>
  <c r="C22" i="69" s="1"/>
  <c r="S22" i="31"/>
  <c r="C23" i="68" l="1"/>
  <c r="C20" i="68"/>
  <c r="C31" i="69"/>
  <c r="C52" i="69" s="1"/>
  <c r="B20" i="31"/>
  <c r="R22" i="31"/>
  <c r="C28" i="68" l="1"/>
  <c r="C27" i="68" s="1"/>
  <c r="C25" i="68"/>
  <c r="C22" i="68" s="1"/>
  <c r="B2" i="69"/>
  <c r="C57" i="69"/>
  <c r="C56" i="69" s="1"/>
  <c r="E15" i="74"/>
  <c r="F15" i="74"/>
  <c r="B21" i="31"/>
  <c r="D19" i="9"/>
  <c r="B3" i="69"/>
  <c r="C31" i="68" l="1"/>
  <c r="C52" i="68" s="1"/>
  <c r="B2" i="68" s="1"/>
  <c r="D102" i="9"/>
  <c r="D21" i="9"/>
  <c r="D20" i="9"/>
  <c r="C19" i="9"/>
  <c r="C57" i="68" l="1"/>
  <c r="C56" i="68" s="1"/>
  <c r="C21" i="9"/>
  <c r="C102" i="9"/>
  <c r="D22" i="9"/>
  <c r="G19" i="9"/>
  <c r="F1" i="89" s="1"/>
  <c r="E1" i="89" s="1"/>
  <c r="F2" i="89" s="1"/>
  <c r="B3" i="68"/>
  <c r="D103" i="9"/>
  <c r="D34" i="9"/>
  <c r="D35" i="9"/>
  <c r="C20" i="9"/>
  <c r="E233" i="89" l="1"/>
  <c r="G21" i="9"/>
  <c r="C32" i="9"/>
  <c r="C35" i="9" s="1"/>
  <c r="D14" i="74"/>
  <c r="C103" i="9"/>
  <c r="G20" i="9"/>
  <c r="R24" i="88" s="1"/>
  <c r="S24" i="88" s="1"/>
  <c r="S22" i="88" s="1"/>
  <c r="B20" i="88" s="1"/>
  <c r="E126" i="89" l="1"/>
  <c r="E30" i="89"/>
  <c r="E85" i="89"/>
  <c r="E377" i="89"/>
  <c r="E11" i="89"/>
  <c r="E46" i="89"/>
  <c r="E153" i="89"/>
  <c r="E142" i="89"/>
  <c r="E119" i="89"/>
  <c r="E94" i="89"/>
  <c r="E101" i="89"/>
  <c r="E20" i="89"/>
  <c r="E78" i="89"/>
  <c r="E21" i="89"/>
  <c r="E72" i="89"/>
  <c r="E191" i="89"/>
  <c r="E14" i="89"/>
  <c r="E86" i="89"/>
  <c r="E158" i="89"/>
  <c r="E185" i="89"/>
  <c r="E39" i="89"/>
  <c r="E294" i="89"/>
  <c r="E54" i="89"/>
  <c r="E118" i="89"/>
  <c r="E5" i="89"/>
  <c r="E133" i="89"/>
  <c r="E152" i="89"/>
  <c r="E194" i="89"/>
  <c r="E244" i="89"/>
  <c r="E22" i="89"/>
  <c r="E62" i="89"/>
  <c r="E110" i="89"/>
  <c r="E150" i="89"/>
  <c r="E37" i="89"/>
  <c r="E165" i="89"/>
  <c r="E24" i="89"/>
  <c r="E57" i="89"/>
  <c r="E87" i="89"/>
  <c r="E226" i="89"/>
  <c r="E208" i="89"/>
  <c r="E380" i="89"/>
  <c r="E193" i="89"/>
  <c r="E120" i="89"/>
  <c r="E195" i="89"/>
  <c r="E167" i="89"/>
  <c r="E148" i="89"/>
  <c r="E92" i="89"/>
  <c r="E6" i="89"/>
  <c r="E38" i="89"/>
  <c r="E70" i="89"/>
  <c r="E102" i="89"/>
  <c r="E134" i="89"/>
  <c r="E166" i="89"/>
  <c r="E69" i="89"/>
  <c r="E149" i="89"/>
  <c r="E203" i="89"/>
  <c r="E56" i="89"/>
  <c r="E136" i="89"/>
  <c r="E89" i="89"/>
  <c r="E23" i="89"/>
  <c r="E103" i="89"/>
  <c r="E178" i="89"/>
  <c r="E242" i="89"/>
  <c r="E81" i="89"/>
  <c r="E262" i="89"/>
  <c r="E59" i="89"/>
  <c r="E360" i="89"/>
  <c r="E8" i="89"/>
  <c r="E88" i="89"/>
  <c r="E25" i="89"/>
  <c r="E179" i="89"/>
  <c r="E55" i="89"/>
  <c r="E151" i="89"/>
  <c r="E210" i="89"/>
  <c r="E84" i="89"/>
  <c r="E115" i="89"/>
  <c r="E326" i="89"/>
  <c r="E320" i="89"/>
  <c r="E53" i="89"/>
  <c r="E117" i="89"/>
  <c r="E177" i="89"/>
  <c r="E219" i="89"/>
  <c r="E40" i="89"/>
  <c r="E104" i="89"/>
  <c r="E168" i="89"/>
  <c r="E121" i="89"/>
  <c r="E223" i="89"/>
  <c r="E71" i="89"/>
  <c r="E135" i="89"/>
  <c r="E186" i="89"/>
  <c r="E218" i="89"/>
  <c r="E250" i="89"/>
  <c r="E116" i="89"/>
  <c r="E145" i="89"/>
  <c r="E176" i="89"/>
  <c r="E278" i="89"/>
  <c r="E12" i="89"/>
  <c r="E180" i="89"/>
  <c r="E378" i="89"/>
  <c r="E332" i="89"/>
  <c r="E202" i="89"/>
  <c r="E234" i="89"/>
  <c r="E52" i="89"/>
  <c r="E17" i="89"/>
  <c r="E51" i="89"/>
  <c r="E240" i="89"/>
  <c r="E310" i="89"/>
  <c r="E97" i="89"/>
  <c r="E280" i="89"/>
  <c r="E379" i="89"/>
  <c r="E19" i="89"/>
  <c r="E83" i="89"/>
  <c r="E147" i="89"/>
  <c r="E192" i="89"/>
  <c r="E224" i="89"/>
  <c r="E254" i="89"/>
  <c r="E270" i="89"/>
  <c r="E286" i="89"/>
  <c r="E302" i="89"/>
  <c r="E318" i="89"/>
  <c r="E334" i="89"/>
  <c r="E76" i="89"/>
  <c r="E156" i="89"/>
  <c r="E201" i="89"/>
  <c r="E123" i="89"/>
  <c r="E212" i="89"/>
  <c r="E264" i="89"/>
  <c r="E296" i="89"/>
  <c r="E346" i="89"/>
  <c r="E183" i="89"/>
  <c r="E251" i="89"/>
  <c r="E329" i="89"/>
  <c r="E359" i="89"/>
  <c r="E7" i="89"/>
  <c r="E362" i="89"/>
  <c r="E394" i="89"/>
  <c r="E292" i="89"/>
  <c r="E217" i="89"/>
  <c r="E315" i="89"/>
  <c r="E261" i="89"/>
  <c r="E108" i="89"/>
  <c r="E401" i="89"/>
  <c r="E309" i="89"/>
  <c r="E335" i="89"/>
  <c r="E337" i="89"/>
  <c r="E204" i="89"/>
  <c r="E348" i="89"/>
  <c r="E404" i="89"/>
  <c r="E365" i="89"/>
  <c r="E283" i="89"/>
  <c r="E347" i="89"/>
  <c r="E411" i="89"/>
  <c r="E297" i="89"/>
  <c r="E373" i="89"/>
  <c r="E252" i="89"/>
  <c r="E410" i="89"/>
  <c r="E295" i="89"/>
  <c r="E241" i="89"/>
  <c r="E393" i="89"/>
  <c r="E269" i="89"/>
  <c r="E285" i="89"/>
  <c r="E255" i="89"/>
  <c r="E3" i="89"/>
  <c r="E301" i="89"/>
  <c r="E351" i="89"/>
  <c r="E381" i="89"/>
  <c r="E287" i="89"/>
  <c r="E220" i="89"/>
  <c r="E265" i="89"/>
  <c r="E319" i="89"/>
  <c r="E221" i="89"/>
  <c r="E300" i="89"/>
  <c r="E405" i="89"/>
  <c r="E317" i="89"/>
  <c r="E249" i="89"/>
  <c r="E367" i="89"/>
  <c r="E303" i="89"/>
  <c r="E239" i="89"/>
  <c r="E205" i="89"/>
  <c r="E368" i="89"/>
  <c r="E268" i="89"/>
  <c r="E172" i="89"/>
  <c r="E369" i="89"/>
  <c r="E325" i="89"/>
  <c r="E293" i="89"/>
  <c r="E257" i="89"/>
  <c r="E407" i="89"/>
  <c r="E375" i="89"/>
  <c r="E343" i="89"/>
  <c r="E311" i="89"/>
  <c r="E279" i="89"/>
  <c r="E247" i="89"/>
  <c r="E353" i="89"/>
  <c r="E213" i="89"/>
  <c r="E402" i="89"/>
  <c r="E376" i="89"/>
  <c r="E344" i="89"/>
  <c r="E284" i="89"/>
  <c r="E188" i="89"/>
  <c r="E129" i="89"/>
  <c r="E409" i="89"/>
  <c r="E385" i="89"/>
  <c r="E361" i="89"/>
  <c r="E341" i="89"/>
  <c r="E321" i="89"/>
  <c r="E305" i="89"/>
  <c r="E289" i="89"/>
  <c r="E273" i="89"/>
  <c r="E253" i="89"/>
  <c r="E237" i="89"/>
  <c r="E403" i="89"/>
  <c r="E387" i="89"/>
  <c r="E371" i="89"/>
  <c r="E355" i="89"/>
  <c r="E339" i="89"/>
  <c r="E323" i="89"/>
  <c r="E307" i="89"/>
  <c r="E291" i="89"/>
  <c r="E275" i="89"/>
  <c r="E259" i="89"/>
  <c r="E243" i="89"/>
  <c r="E389" i="89"/>
  <c r="E333" i="89"/>
  <c r="E225" i="89"/>
  <c r="E209" i="89"/>
  <c r="E408" i="89"/>
  <c r="E400" i="89"/>
  <c r="E388" i="89"/>
  <c r="E372" i="89"/>
  <c r="E356" i="89"/>
  <c r="E340" i="89"/>
  <c r="E308" i="89"/>
  <c r="E276" i="89"/>
  <c r="E236" i="89"/>
  <c r="E171" i="89"/>
  <c r="E43" i="89"/>
  <c r="E65" i="89"/>
  <c r="E60" i="89"/>
  <c r="E390" i="89"/>
  <c r="E382" i="89"/>
  <c r="E374" i="89"/>
  <c r="E366" i="89"/>
  <c r="E358" i="89"/>
  <c r="E350" i="89"/>
  <c r="E342" i="89"/>
  <c r="E328" i="89"/>
  <c r="E312" i="89"/>
  <c r="E10" i="89"/>
  <c r="E18" i="89"/>
  <c r="E26" i="89"/>
  <c r="E34" i="89"/>
  <c r="E42" i="89"/>
  <c r="E50" i="89"/>
  <c r="E58" i="89"/>
  <c r="E66" i="89"/>
  <c r="E74" i="89"/>
  <c r="E82" i="89"/>
  <c r="E90" i="89"/>
  <c r="E98" i="89"/>
  <c r="E106" i="89"/>
  <c r="E114" i="89"/>
  <c r="E122" i="89"/>
  <c r="E130" i="89"/>
  <c r="E138" i="89"/>
  <c r="E146" i="89"/>
  <c r="E154" i="89"/>
  <c r="E162" i="89"/>
  <c r="E170" i="89"/>
  <c r="E13" i="89"/>
  <c r="E29" i="89"/>
  <c r="E45" i="89"/>
  <c r="E61" i="89"/>
  <c r="E77" i="89"/>
  <c r="E93" i="89"/>
  <c r="E109" i="89"/>
  <c r="E125" i="89"/>
  <c r="E141" i="89"/>
  <c r="E157" i="89"/>
  <c r="E173" i="89"/>
  <c r="E181" i="89"/>
  <c r="E189" i="89"/>
  <c r="E197" i="89"/>
  <c r="E211" i="89"/>
  <c r="E227" i="89"/>
  <c r="E2" i="89"/>
  <c r="E16" i="89"/>
  <c r="E32" i="89"/>
  <c r="E48" i="89"/>
  <c r="E64" i="89"/>
  <c r="E80" i="89"/>
  <c r="E96" i="89"/>
  <c r="E112" i="89"/>
  <c r="E128" i="89"/>
  <c r="E144" i="89"/>
  <c r="E160" i="89"/>
  <c r="E9" i="89"/>
  <c r="E41" i="89"/>
  <c r="E73" i="89"/>
  <c r="E105" i="89"/>
  <c r="E137" i="89"/>
  <c r="E169" i="89"/>
  <c r="E187" i="89"/>
  <c r="E207" i="89"/>
  <c r="E15" i="89"/>
  <c r="E31" i="89"/>
  <c r="E47" i="89"/>
  <c r="E63" i="89"/>
  <c r="E79" i="89"/>
  <c r="E95" i="89"/>
  <c r="E111" i="89"/>
  <c r="E127" i="89"/>
  <c r="E143" i="89"/>
  <c r="E159" i="89"/>
  <c r="E174" i="89"/>
  <c r="E182" i="89"/>
  <c r="E190" i="89"/>
  <c r="E198" i="89"/>
  <c r="E206" i="89"/>
  <c r="E214" i="89"/>
  <c r="E222" i="89"/>
  <c r="E230" i="89"/>
  <c r="E238" i="89"/>
  <c r="E246" i="89"/>
  <c r="E4" i="89"/>
  <c r="E36" i="89"/>
  <c r="E68" i="89"/>
  <c r="E100" i="89"/>
  <c r="E132" i="89"/>
  <c r="E164" i="89"/>
  <c r="E49" i="89"/>
  <c r="E113" i="89"/>
  <c r="E175" i="89"/>
  <c r="E215" i="89"/>
  <c r="E35" i="89"/>
  <c r="E67" i="89"/>
  <c r="E99" i="89"/>
  <c r="E131" i="89"/>
  <c r="E163" i="89"/>
  <c r="E184" i="89"/>
  <c r="E200" i="89"/>
  <c r="E216" i="89"/>
  <c r="E232" i="89"/>
  <c r="E248" i="89"/>
  <c r="E258" i="89"/>
  <c r="E266" i="89"/>
  <c r="E274" i="89"/>
  <c r="E282" i="89"/>
  <c r="E290" i="89"/>
  <c r="E298" i="89"/>
  <c r="E306" i="89"/>
  <c r="E314" i="89"/>
  <c r="E322" i="89"/>
  <c r="E330" i="89"/>
  <c r="E338" i="89"/>
  <c r="E44" i="89"/>
  <c r="E28" i="89"/>
  <c r="E124" i="89"/>
  <c r="E33" i="89"/>
  <c r="E161" i="89"/>
  <c r="E27" i="89"/>
  <c r="E91" i="89"/>
  <c r="E155" i="89"/>
  <c r="E196" i="89"/>
  <c r="E228" i="89"/>
  <c r="E256" i="89"/>
  <c r="E272" i="89"/>
  <c r="E288" i="89"/>
  <c r="E304" i="89"/>
  <c r="E336" i="89"/>
  <c r="E354" i="89"/>
  <c r="E370" i="89"/>
  <c r="E386" i="89"/>
  <c r="E140" i="89"/>
  <c r="E107" i="89"/>
  <c r="E260" i="89"/>
  <c r="E324" i="89"/>
  <c r="E364" i="89"/>
  <c r="E396" i="89"/>
  <c r="E199" i="89"/>
  <c r="E231" i="89"/>
  <c r="E235" i="89"/>
  <c r="E267" i="89"/>
  <c r="E299" i="89"/>
  <c r="E331" i="89"/>
  <c r="E363" i="89"/>
  <c r="E395" i="89"/>
  <c r="E245" i="89"/>
  <c r="E281" i="89"/>
  <c r="E313" i="89"/>
  <c r="E349" i="89"/>
  <c r="E397" i="89"/>
  <c r="E75" i="89"/>
  <c r="E316" i="89"/>
  <c r="E392" i="89"/>
  <c r="E229" i="89"/>
  <c r="E263" i="89"/>
  <c r="E327" i="89"/>
  <c r="E391" i="89"/>
  <c r="E277" i="89"/>
  <c r="E345" i="89"/>
  <c r="E139" i="89"/>
  <c r="E398" i="89"/>
  <c r="E271" i="89"/>
  <c r="E399" i="89"/>
  <c r="E357" i="89"/>
  <c r="E384" i="89"/>
  <c r="E383" i="89"/>
  <c r="E406" i="89"/>
  <c r="E352" i="89"/>
  <c r="G14" i="74"/>
  <c r="R22" i="88"/>
  <c r="H118" i="9"/>
  <c r="I118" i="9" s="1"/>
  <c r="H102" i="9" s="1"/>
  <c r="D7" i="53" s="1"/>
  <c r="B21" i="72" s="1"/>
  <c r="B21" i="88"/>
  <c r="C34" i="9"/>
  <c r="G24" i="74" l="1"/>
  <c r="G411" i="89"/>
  <c r="E412" i="89" s="1"/>
  <c r="E413" i="89" s="1"/>
  <c r="I4" i="52"/>
  <c r="C105" i="9"/>
  <c r="E14" i="74"/>
  <c r="F14" i="74"/>
  <c r="B5" i="74"/>
  <c r="F118" i="9"/>
  <c r="G118" i="9" s="1"/>
  <c r="G4" i="52" s="1"/>
  <c r="B52" i="72" s="1"/>
  <c r="C104" i="9"/>
  <c r="H4" i="52"/>
  <c r="H101" i="9"/>
  <c r="H119" i="9"/>
  <c r="H5" i="52" s="1"/>
  <c r="B6" i="74" l="1"/>
  <c r="D6" i="74" s="1"/>
  <c r="E118" i="9"/>
  <c r="E4" i="52" s="1"/>
  <c r="B48" i="72" s="1"/>
  <c r="M48" i="9"/>
  <c r="D5" i="53"/>
  <c r="H107" i="9"/>
  <c r="D45" i="9" s="1"/>
  <c r="D5" i="74"/>
  <c r="C5" i="74"/>
  <c r="D118" i="9"/>
  <c r="F4" i="52"/>
  <c r="B51" i="72" s="1"/>
  <c r="F119" i="9"/>
  <c r="F5" i="52" s="1"/>
  <c r="B53" i="72" s="1"/>
  <c r="H108" i="9" l="1"/>
  <c r="D13" i="53"/>
  <c r="D122" i="9"/>
  <c r="M49" i="9"/>
  <c r="D53" i="9"/>
  <c r="D48" i="9" s="1"/>
  <c r="M52" i="9" s="1"/>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96" i="9" s="1"/>
  <c r="E96" i="9" s="1"/>
  <c r="E97" i="9" s="1"/>
  <c r="C79" i="9"/>
  <c r="C80" i="9" s="1"/>
  <c r="E80" i="9" s="1"/>
  <c r="E81" i="9" s="1"/>
  <c r="D59" i="9"/>
  <c r="M55" i="9" s="1"/>
  <c r="C68" i="9"/>
  <c r="D54" i="9" s="1"/>
  <c r="L66" i="9"/>
  <c r="M66" i="9" s="1"/>
  <c r="L65" i="9"/>
  <c r="M65" i="9" s="1"/>
  <c r="L63" i="9"/>
  <c r="M63" i="9" s="1"/>
  <c r="L68" i="9"/>
  <c r="M68" i="9" s="1"/>
  <c r="L67" i="9"/>
  <c r="M67" i="9" s="1"/>
  <c r="L64" i="9"/>
  <c r="M64" i="9" s="1"/>
  <c r="D14" i="53"/>
  <c r="B32" i="72" s="1"/>
  <c r="B30" i="72"/>
  <c r="D123" i="9"/>
  <c r="D9" i="52" s="1"/>
  <c r="D8" i="52"/>
  <c r="M69" i="9" l="1"/>
  <c r="N69" i="9" s="1"/>
  <c r="C97" i="9"/>
  <c r="D58" i="9" s="1"/>
  <c r="D56" i="9" s="1"/>
  <c r="M54" i="9" s="1"/>
  <c r="N57" i="9" s="1"/>
  <c r="P57" i="9" s="1"/>
  <c r="C81" i="9"/>
  <c r="N58" i="9" l="1"/>
  <c r="N59" i="9"/>
  <c r="I14" i="74" s="1"/>
  <c r="I24" i="74" l="1"/>
  <c r="B8" i="74"/>
  <c r="D8" i="74" s="1"/>
  <c r="N60" i="9"/>
  <c r="H111" i="9"/>
  <c r="N61" i="9"/>
  <c r="H112" i="9" s="1"/>
  <c r="D126" i="9" l="1"/>
  <c r="D19" i="53"/>
  <c r="D21" i="53"/>
  <c r="B39" i="72" s="1"/>
  <c r="C8" i="74"/>
  <c r="D127" i="9" l="1"/>
  <c r="D13" i="52" s="1"/>
  <c r="D12" i="52"/>
  <c r="B38" i="72"/>
  <c r="D20" i="53"/>
  <c r="B40" i="72" s="1"/>
  <c r="N58" i="80"/>
  <c r="P57" i="80"/>
  <c r="N69" i="80"/>
  <c r="D53" i="80"/>
  <c r="D52" i="80"/>
  <c r="C105" i="80"/>
  <c r="H102" i="80"/>
  <c r="H119" i="80"/>
  <c r="C104" i="80"/>
  <c r="M55" i="80"/>
  <c r="M68" i="80"/>
  <c r="D59" i="80"/>
  <c r="E97" i="80"/>
  <c r="M67" i="80"/>
  <c r="M65" i="80"/>
  <c r="M48" i="80"/>
  <c r="D127" i="80"/>
  <c r="M64" i="80"/>
  <c r="N60" i="80"/>
  <c r="L68" i="80"/>
  <c r="L67" i="80"/>
  <c r="L65" i="80"/>
  <c r="L64" i="80"/>
  <c r="M54" i="80"/>
  <c r="H111" i="80"/>
  <c r="D126" i="80"/>
  <c r="C67" i="80"/>
  <c r="C68" i="80"/>
  <c r="D54" i="80"/>
  <c r="E96" i="80"/>
  <c r="F119" i="80"/>
  <c r="H108" i="80"/>
  <c r="D119" i="80"/>
  <c r="C93" i="80"/>
  <c r="C86" i="80"/>
  <c r="M69" i="80"/>
  <c r="C81" i="80"/>
  <c r="C72" i="80"/>
  <c r="C79" i="80"/>
  <c r="C80" i="80"/>
  <c r="E80" i="80"/>
  <c r="E81" i="80"/>
  <c r="N59" i="80"/>
  <c r="N61" i="80"/>
  <c r="H112" i="80"/>
  <c r="L66" i="80"/>
  <c r="M66" i="80"/>
  <c r="C78" i="80"/>
  <c r="C73" i="80"/>
  <c r="M49" i="80"/>
  <c r="L63" i="80"/>
  <c r="M63" i="80"/>
  <c r="C64" i="80"/>
  <c r="C63" i="80"/>
  <c r="C96" i="80"/>
  <c r="D55" i="80"/>
  <c r="M53" i="80"/>
  <c r="N57" i="80"/>
  <c r="D45" i="80"/>
  <c r="C85" i="80"/>
  <c r="C95" i="80"/>
  <c r="C97" i="80"/>
  <c r="D58" i="80"/>
  <c r="D56" i="80"/>
  <c r="G118" i="80"/>
  <c r="F118" i="80"/>
  <c r="H101" i="80"/>
  <c r="H107" i="80"/>
  <c r="D122" i="80"/>
  <c r="D123" i="80"/>
  <c r="H118" i="80"/>
  <c r="I118" i="80"/>
  <c r="E118" i="80"/>
  <c r="D118"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<sst xmlns="http://schemas.openxmlformats.org/spreadsheetml/2006/main" count="9840" uniqueCount="4114">
  <si>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</si>
  <si>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</si>
  <si>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</si>
  <si>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</si>
  <si>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</si>
  <si>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</si>
  <si>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</si>
  <si>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</si>
  <si>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</si>
  <si>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</si>
  <si>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</si>
  <si>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</si>
  <si>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</si>
  <si>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</si>
  <si>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</si>
  <si>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</si>
  <si>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</si>
  <si>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</si>
  <si>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</si>
  <si>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</si>
  <si>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</si>
  <si>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</si>
  <si>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</si>
  <si>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</si>
  <si>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</si>
  <si>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</si>
  <si>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</si>
  <si>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</si>
  <si>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</si>
  <si>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</si>
  <si>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</si>
  <si>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</si>
  <si>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</si>
  <si>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</si>
  <si>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</si>
  <si>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</si>
  <si>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</si>
  <si>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</si>
  <si>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</si>
  <si>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</si>
  <si>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</si>
  <si>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</si>
  <si>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</si>
  <si>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</si>
  <si>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</si>
  <si>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</si>
  <si>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</si>
  <si>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</si>
  <si>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</si>
  <si>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</si>
  <si>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</si>
  <si>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</si>
  <si>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</si>
  <si>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</si>
  <si>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</si>
  <si>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</si>
  <si>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</si>
  <si>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</si>
  <si>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</si>
  <si>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</si>
  <si>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</si>
  <si>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</si>
  <si>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</si>
  <si>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</si>
  <si>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</si>
  <si>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</si>
  <si>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</si>
  <si>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</si>
  <si>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</si>
  <si>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</si>
  <si>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</si>
  <si>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</si>
  <si>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</si>
  <si>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</si>
  <si>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</si>
  <si>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</si>
  <si>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</si>
  <si>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</si>
  <si>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</si>
  <si>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</si>
  <si>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</si>
  <si>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</si>
  <si>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</si>
  <si>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</si>
  <si>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</si>
  <si>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</si>
  <si>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</si>
  <si>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</si>
  <si>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</si>
  <si>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</si>
  <si>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</si>
  <si>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</si>
  <si>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</si>
  <si>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</si>
  <si>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</si>
  <si>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</si>
  <si>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</si>
  <si>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</si>
  <si>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</si>
  <si>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</si>
  <si>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</si>
  <si>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</si>
  <si>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</si>
  <si>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</si>
  <si>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</si>
  <si>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</si>
  <si>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</si>
  <si>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</si>
  <si>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</si>
  <si>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</si>
  <si>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</si>
  <si>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</si>
  <si>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</si>
  <si>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</si>
  <si>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</si>
  <si>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</si>
  <si>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</si>
  <si>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</si>
  <si>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</si>
  <si>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</si>
  <si>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</si>
  <si>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</si>
  <si>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</si>
  <si>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</si>
  <si>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</si>
  <si>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</si>
  <si>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</si>
  <si>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</si>
  <si>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</si>
  <si>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</si>
  <si>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</si>
  <si>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</si>
  <si>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</si>
  <si>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</si>
  <si>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</si>
  <si>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</si>
  <si>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</si>
  <si>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</si>
  <si>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</si>
  <si>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</si>
  <si>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</si>
  <si>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</si>
  <si>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</si>
  <si>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</si>
  <si>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</si>
  <si>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</si>
  <si>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</si>
  <si>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</si>
  <si>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</si>
  <si>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</si>
  <si>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</si>
  <si>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</si>
  <si>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</si>
  <si>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</si>
  <si>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</si>
  <si>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</si>
  <si>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</si>
  <si>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</si>
  <si>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</si>
  <si>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</si>
  <si>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</si>
  <si>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</si>
  <si>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</si>
  <si>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</si>
  <si>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</si>
  <si>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</si>
  <si>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</si>
  <si>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</si>
  <si>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</si>
  <si>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</si>
  <si>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</si>
  <si>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</si>
  <si>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</si>
  <si>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</si>
  <si>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</si>
  <si>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</si>
  <si>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</si>
  <si>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</si>
  <si>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</si>
  <si>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</si>
  <si>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</si>
  <si>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</si>
  <si>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</si>
  <si>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</si>
  <si>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</si>
  <si>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</si>
  <si>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</si>
  <si>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</si>
  <si>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</si>
  <si>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</si>
  <si>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</si>
  <si>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</si>
  <si>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</si>
  <si>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</si>
  <si>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</si>
  <si>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</si>
  <si>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</si>
  <si>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</si>
  <si>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</si>
  <si>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</si>
  <si>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</si>
  <si>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</si>
  <si>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</si>
  <si>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</si>
  <si>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</si>
  <si>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</si>
  <si>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</si>
  <si>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</si>
  <si>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</si>
  <si>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</si>
  <si>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</si>
  <si>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</si>
  <si>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</si>
  <si>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</si>
  <si>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</si>
  <si>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</si>
  <si>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</si>
  <si>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</si>
  <si>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</si>
  <si>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</si>
  <si>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</si>
  <si>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</si>
  <si>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</si>
  <si>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</si>
  <si>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</si>
  <si>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</si>
  <si>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</si>
  <si>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</si>
  <si>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</si>
  <si>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</si>
  <si>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</si>
  <si>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</si>
  <si>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</si>
  <si>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</si>
  <si>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</si>
  <si>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</si>
  <si>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</si>
  <si>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</si>
  <si>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</si>
  <si>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</si>
  <si>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</si>
  <si>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</si>
  <si>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</si>
  <si>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</si>
  <si>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</si>
  <si>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</si>
  <si>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</si>
  <si>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</si>
  <si>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</si>
  <si>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</si>
  <si>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</si>
  <si>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</si>
  <si>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</si>
  <si>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</si>
  <si>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</si>
  <si>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</si>
  <si>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</si>
  <si>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</si>
  <si>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</si>
  <si>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</si>
  <si>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</si>
  <si>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</si>
  <si>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</si>
  <si>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</si>
  <si>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</si>
  <si>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</si>
  <si>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</si>
  <si>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</si>
  <si>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</si>
  <si>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</si>
  <si>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</si>
  <si>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</si>
  <si>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</si>
  <si>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</si>
  <si>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</si>
  <si>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</si>
  <si>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</si>
  <si>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</si>
  <si>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</si>
  <si>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</si>
  <si>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</si>
  <si>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</si>
  <si>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</si>
  <si>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</si>
  <si>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</si>
  <si>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</si>
  <si>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</si>
  <si>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</si>
  <si>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</si>
  <si>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</si>
  <si>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</si>
  <si>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</si>
  <si>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</si>
  <si>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</si>
  <si>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</si>
  <si>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</si>
  <si>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</si>
  <si>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</si>
  <si>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</si>
  <si>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</si>
  <si>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</si>
  <si>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</si>
  <si>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</si>
  <si>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</si>
  <si>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</si>
  <si>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</si>
  <si>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</si>
  <si>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</si>
  <si>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</si>
  <si>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</si>
  <si>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</si>
  <si>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</si>
  <si>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</si>
  <si>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</si>
  <si>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</si>
  <si>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</si>
  <si>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</si>
  <si>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</si>
  <si>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</si>
  <si>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</si>
  <si>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</si>
  <si>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</si>
  <si>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</si>
  <si>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</si>
  <si>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</si>
  <si>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</si>
  <si>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</si>
  <si>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</si>
  <si>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</si>
  <si>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</si>
  <si>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</si>
  <si>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</si>
  <si>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</si>
  <si>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</si>
  <si>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</si>
  <si>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</si>
  <si>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</si>
  <si>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</si>
  <si>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</si>
  <si>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</si>
  <si>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</si>
  <si>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</si>
  <si>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</si>
  <si>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</si>
  <si>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</si>
  <si>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</si>
  <si>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</si>
  <si>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</si>
  <si>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</si>
  <si>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</si>
  <si>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</si>
  <si>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</si>
  <si>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</si>
  <si>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</si>
  <si>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</si>
  <si>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</si>
  <si>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</si>
  <si>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</si>
  <si>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</si>
  <si>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</si>
  <si>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</si>
  <si>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</si>
  <si>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</si>
  <si>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</si>
  <si>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</si>
  <si>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</si>
  <si>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</si>
  <si>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</si>
  <si>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</si>
  <si>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</si>
  <si>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</si>
  <si>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</si>
  <si>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</si>
  <si>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</si>
  <si>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</si>
  <si>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</si>
  <si>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</si>
  <si>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</si>
  <si>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</si>
  <si>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</si>
  <si>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</si>
  <si>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</si>
  <si>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</si>
  <si>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</si>
  <si>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</si>
  <si>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</si>
  <si>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</si>
  <si>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</si>
  <si>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</si>
  <si>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</si>
  <si>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</si>
  <si>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</si>
  <si>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</si>
  <si>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</si>
  <si>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</si>
  <si>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</si>
  <si>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</si>
  <si>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</si>
  <si>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</si>
  <si>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</si>
  <si>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</si>
  <si>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</si>
  <si>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</si>
  <si>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</si>
  <si>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</si>
  <si>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</si>
  <si>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</si>
  <si>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</si>
  <si>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</si>
  <si>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</si>
  <si>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</si>
  <si>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</si>
  <si>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</si>
  <si>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</si>
  <si>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</si>
  <si>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</si>
  <si>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</si>
  <si>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</si>
  <si>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</si>
  <si>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</si>
  <si>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</si>
  <si>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</si>
  <si>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</si>
  <si>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</si>
  <si>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</si>
  <si>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</si>
  <si>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</si>
  <si>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</si>
  <si>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</si>
  <si>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</si>
  <si>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</si>
  <si>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</si>
  <si>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</si>
  <si>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</si>
  <si>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</si>
  <si>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</si>
  <si>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</si>
  <si>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</si>
  <si>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</si>
  <si>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</si>
  <si>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</si>
  <si>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</si>
  <si>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</si>
  <si>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</si>
  <si>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</si>
  <si>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</si>
  <si>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</si>
  <si>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</si>
  <si>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</si>
  <si>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</si>
  <si>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</si>
  <si>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</si>
  <si>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</si>
  <si>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</si>
  <si>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</si>
  <si>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</si>
  <si>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</si>
  <si>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</si>
  <si>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</si>
  <si>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</si>
  <si>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</si>
  <si>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</si>
  <si>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</si>
  <si>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</si>
  <si>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</si>
  <si>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</si>
  <si>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</si>
  <si>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</si>
  <si>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</si>
  <si>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</si>
  <si>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</si>
  <si>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</si>
  <si>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</si>
  <si>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</si>
  <si>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</si>
  <si>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</si>
  <si>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</si>
  <si>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</si>
  <si>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</si>
  <si>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</si>
  <si>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</si>
  <si>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</si>
  <si>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</si>
  <si>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</si>
  <si>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</si>
  <si>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</si>
  <si>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</si>
  <si>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</si>
  <si>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</si>
  <si>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</si>
  <si>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</si>
  <si>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</si>
  <si>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</si>
  <si>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</si>
  <si>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</si>
  <si>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</si>
  <si>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</si>
  <si>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</si>
  <si>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</si>
  <si>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</si>
  <si>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</si>
  <si>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</si>
  <si>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</si>
  <si>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</si>
  <si>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</si>
  <si>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</si>
  <si>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</si>
  <si>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</si>
  <si>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</si>
  <si>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</si>
  <si>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</si>
  <si>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</si>
  <si>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</si>
  <si>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</si>
  <si>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</si>
  <si>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</si>
  <si>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</si>
  <si>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</si>
  <si>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</si>
  <si>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</si>
  <si>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</si>
  <si>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</si>
  <si>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</si>
  <si>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</si>
  <si>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</si>
  <si>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</si>
  <si>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</si>
  <si>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</si>
  <si>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</si>
  <si>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</si>
  <si>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</si>
  <si>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</si>
  <si>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</si>
  <si>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</si>
  <si>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</si>
  <si>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</si>
  <si>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</si>
  <si>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</si>
  <si>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</si>
  <si>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</si>
  <si>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</si>
  <si>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</si>
  <si>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</si>
  <si>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</si>
  <si>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</si>
  <si>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</si>
  <si>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</si>
  <si>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</si>
  <si>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</si>
  <si>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</si>
  <si>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</si>
  <si>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</si>
  <si>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</si>
  <si>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</si>
  <si>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</si>
  <si>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</si>
  <si>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</si>
  <si>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</si>
  <si>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</si>
  <si>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</si>
  <si>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</si>
  <si>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</si>
  <si>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</si>
  <si>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</si>
  <si>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</si>
  <si>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</si>
  <si>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</si>
  <si>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</si>
  <si>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</si>
  <si>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</si>
  <si>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</si>
  <si>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</si>
  <si>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</si>
  <si>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</si>
  <si>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</si>
  <si>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</si>
  <si>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</si>
  <si>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</si>
  <si>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</si>
  <si>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</si>
  <si>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</si>
  <si>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</si>
  <si>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</si>
  <si>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</si>
  <si>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</si>
  <si>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</si>
  <si>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</si>
  <si>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</si>
  <si>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</si>
  <si>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</si>
  <si>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</si>
  <si>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</si>
  <si>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</si>
  <si>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</si>
  <si>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</si>
  <si>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</si>
  <si>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</si>
  <si>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</si>
  <si>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</si>
  <si>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</si>
  <si>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</si>
  <si>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</si>
  <si>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</si>
  <si>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</si>
  <si>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</si>
  <si>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</si>
  <si>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</si>
  <si>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</si>
  <si>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</si>
  <si>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</si>
  <si>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</si>
  <si>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</si>
  <si>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</si>
  <si>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</si>
  <si>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</si>
  <si>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</si>
  <si>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</si>
  <si>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</si>
  <si>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</si>
  <si>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</si>
  <si>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</si>
  <si>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</si>
  <si>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</si>
  <si>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</si>
  <si>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</si>
  <si>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</si>
  <si>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</si>
  <si>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</si>
  <si>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</si>
  <si>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</si>
  <si>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</si>
  <si>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</si>
  <si>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</si>
  <si>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</si>
  <si>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</si>
  <si>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</si>
  <si>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</si>
  <si>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</si>
  <si>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</si>
  <si>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</si>
  <si>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</si>
  <si>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</si>
  <si>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</si>
  <si>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</si>
  <si>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</si>
  <si>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</si>
  <si>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</si>
  <si>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</si>
  <si>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</si>
  <si>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</si>
  <si>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</si>
  <si>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</si>
  <si>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</si>
  <si>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</si>
  <si>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</si>
  <si>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</si>
  <si>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</si>
  <si>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</si>
  <si>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</si>
  <si>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</si>
  <si>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</si>
  <si>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</si>
  <si>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</si>
  <si>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</si>
  <si>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</si>
  <si>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</si>
  <si>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</si>
  <si>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</si>
  <si>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</si>
  <si>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</si>
  <si>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</si>
  <si>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</si>
  <si>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</si>
  <si>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</si>
  <si>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</si>
  <si>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</si>
  <si>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</si>
  <si>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</si>
  <si>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</si>
  <si>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</si>
  <si>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</si>
  <si>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</si>
  <si>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</si>
  <si>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</si>
  <si>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</si>
  <si>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</si>
  <si>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</si>
  <si>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</si>
  <si>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</si>
  <si>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</si>
  <si>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</si>
  <si>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</si>
  <si>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</si>
  <si>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</si>
  <si>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</si>
  <si>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</si>
  <si>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</si>
  <si>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</si>
  <si>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</si>
  <si>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</si>
  <si>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</si>
  <si>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</si>
  <si>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</si>
  <si>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</si>
  <si>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</si>
  <si>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</si>
  <si>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</si>
  <si>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</si>
  <si>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</si>
  <si>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</si>
  <si>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</si>
  <si>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</si>
  <si>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</si>
  <si>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</si>
  <si>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</si>
  <si>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</si>
  <si>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</si>
  <si>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</si>
  <si>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</si>
  <si>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</si>
  <si>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</si>
  <si>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</si>
  <si>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</si>
  <si>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</si>
  <si>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</si>
  <si>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</si>
  <si>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</si>
  <si>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</si>
  <si>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</si>
  <si>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</si>
  <si>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</si>
  <si>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</si>
  <si>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</si>
  <si>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</si>
  <si>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</si>
  <si>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</si>
  <si>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</si>
  <si>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</si>
  <si>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</si>
  <si>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</si>
  <si>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</si>
  <si>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</si>
  <si>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</si>
  <si>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</si>
  <si>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</si>
  <si>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</si>
  <si>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</si>
  <si>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</si>
  <si>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</si>
  <si>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</si>
  <si>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</si>
  <si>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</si>
  <si>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</si>
  <si>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</si>
  <si>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</si>
  <si>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</si>
  <si>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</si>
  <si>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</si>
  <si>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</si>
  <si>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</si>
  <si>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</si>
  <si>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</si>
  <si>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</si>
  <si>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</si>
  <si>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</si>
  <si>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</si>
  <si>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</si>
  <si>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</si>
  <si>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</si>
  <si>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</si>
  <si>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</si>
  <si>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</si>
  <si>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</si>
  <si>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</si>
  <si>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</si>
  <si>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</si>
  <si>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</si>
  <si>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</si>
  <si>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</si>
  <si>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</si>
  <si>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</si>
  <si>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</si>
  <si>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</si>
  <si>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</si>
  <si>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</si>
  <si>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</si>
  <si>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</si>
  <si>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</si>
  <si>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</si>
  <si>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</si>
  <si>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</si>
  <si>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</si>
  <si>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</si>
  <si>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</si>
  <si>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</si>
  <si>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</si>
  <si>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</si>
  <si>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</si>
  <si>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</si>
  <si>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</si>
  <si>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</si>
  <si>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</si>
  <si>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</si>
  <si>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</si>
  <si>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</si>
  <si>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</si>
  <si>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</si>
  <si>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</si>
  <si>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</si>
  <si>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</si>
  <si>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</si>
  <si>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</si>
  <si>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</si>
  <si>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</si>
  <si>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</si>
  <si>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</si>
  <si>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</si>
  <si>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</si>
  <si>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</si>
  <si>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</si>
  <si>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</si>
  <si>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</si>
  <si>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</si>
  <si>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</si>
  <si>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</si>
  <si>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</si>
  <si>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</si>
  <si>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</si>
  <si>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</si>
  <si>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</si>
  <si>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</si>
  <si>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</si>
  <si>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</si>
  <si>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</si>
  <si>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</si>
  <si>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</si>
  <si>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</si>
  <si>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</si>
  <si>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</si>
  <si>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</si>
  <si>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</si>
  <si>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</si>
  <si>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</si>
  <si>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</si>
  <si>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</si>
  <si>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</si>
  <si>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</si>
  <si>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</si>
  <si>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</si>
  <si>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</si>
  <si>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</si>
  <si>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</si>
  <si>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</si>
  <si>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</si>
  <si>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</si>
  <si>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</si>
  <si>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</si>
  <si>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</si>
  <si>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</si>
  <si>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</si>
  <si>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</si>
  <si>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</si>
  <si>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</si>
  <si>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</si>
  <si>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</si>
  <si>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</si>
  <si>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</si>
  <si>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</si>
  <si>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</si>
  <si>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</si>
  <si>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</si>
  <si>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</si>
  <si>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</si>
  <si>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</si>
  <si>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</si>
  <si>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</si>
  <si>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</si>
  <si>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</si>
  <si>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</si>
  <si>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</si>
  <si>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</si>
  <si>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</si>
  <si>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</si>
  <si>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</si>
  <si>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</si>
  <si>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</si>
  <si>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</si>
  <si>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</si>
  <si>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</si>
  <si>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</si>
  <si>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</si>
  <si>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</si>
  <si>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</si>
  <si>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</si>
  <si>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</si>
  <si>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</si>
  <si>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</si>
  <si>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</si>
  <si>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</si>
  <si>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</si>
  <si>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</si>
  <si>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</si>
  <si>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</si>
  <si>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</si>
  <si>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</si>
  <si>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</si>
  <si>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</si>
  <si>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</si>
  <si>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</si>
  <si>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</si>
  <si>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</si>
  <si>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</si>
  <si>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</si>
  <si>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</si>
  <si>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</si>
  <si>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</si>
  <si>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</si>
  <si>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</si>
  <si>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</si>
  <si>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</si>
  <si>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</si>
  <si>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</si>
  <si>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</si>
  <si>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</si>
  <si>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</si>
  <si>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</si>
  <si>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</si>
  <si>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</si>
  <si>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</si>
  <si>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</si>
  <si>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</si>
  <si>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</si>
  <si>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</si>
  <si>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</si>
  <si>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</si>
  <si>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</si>
  <si>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</si>
  <si>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</si>
  <si>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</si>
  <si>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</si>
  <si>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</si>
  <si>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</si>
  <si>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</si>
  <si>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</si>
  <si>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</si>
  <si>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</si>
  <si>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</si>
  <si>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</si>
  <si>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</si>
  <si>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</si>
  <si>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</si>
  <si>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</si>
  <si>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</si>
  <si>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</si>
  <si>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</si>
  <si>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</si>
  <si>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</si>
  <si>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</si>
  <si>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</si>
  <si>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</si>
  <si>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</si>
  <si>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</si>
  <si>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</si>
  <si>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</si>
  <si>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</si>
  <si>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</si>
  <si>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</si>
  <si>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</si>
  <si>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</si>
  <si>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</si>
  <si>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</si>
  <si>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</si>
  <si>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</si>
  <si>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</si>
  <si>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</si>
  <si>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</si>
  <si>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</si>
  <si>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</si>
  <si>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</si>
  <si>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</si>
  <si>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</si>
  <si>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</si>
  <si>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</si>
  <si>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</si>
  <si>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</si>
  <si>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</si>
  <si>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</si>
  <si>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</si>
  <si>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</si>
  <si>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</si>
  <si>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</si>
  <si>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</si>
  <si>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</si>
  <si>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</si>
  <si>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</si>
  <si>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</si>
  <si>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</si>
  <si>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</si>
  <si>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</si>
  <si>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</si>
  <si>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</si>
  <si>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</si>
  <si>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</si>
  <si>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</si>
  <si>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</si>
  <si>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</si>
  <si>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</si>
  <si>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</si>
  <si>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</si>
  <si>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</si>
  <si>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</si>
  <si>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</si>
  <si>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</si>
  <si>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</si>
  <si>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</si>
  <si>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</si>
  <si>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</si>
  <si>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</si>
  <si>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</si>
  <si>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</si>
  <si>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</si>
  <si>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</si>
  <si>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</si>
  <si>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</si>
  <si>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</si>
  <si>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</si>
  <si>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</si>
  <si>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</si>
  <si>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</si>
  <si>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</si>
  <si>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</si>
  <si>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</si>
  <si>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</si>
  <si>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</si>
  <si>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</si>
  <si>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</si>
  <si>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</si>
  <si>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</si>
  <si>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</si>
  <si>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</si>
  <si>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</si>
  <si>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</si>
  <si>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</si>
  <si>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</si>
  <si>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</si>
  <si>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</si>
  <si>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</si>
  <si>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</si>
  <si>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</si>
  <si>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</si>
  <si>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</si>
  <si>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</si>
  <si>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</si>
  <si>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</si>
  <si>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</si>
  <si>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</si>
  <si>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</si>
  <si>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</si>
  <si>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</si>
  <si>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</si>
  <si>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</si>
  <si>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</si>
  <si>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</si>
  <si>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</si>
  <si>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</si>
  <si>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</si>
  <si>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</si>
  <si>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</si>
  <si>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</si>
  <si>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</si>
  <si>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</si>
  <si>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</si>
  <si>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</si>
  <si>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</si>
  <si>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</si>
  <si>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</si>
  <si>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</si>
  <si>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</si>
  <si>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</si>
  <si>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</si>
  <si>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</si>
  <si>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</si>
  <si>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</si>
  <si>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</si>
  <si>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</si>
  <si>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</si>
  <si>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</si>
  <si>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</si>
  <si>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</si>
  <si>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</si>
  <si>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</si>
  <si>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</si>
  <si>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</si>
  <si>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</si>
  <si>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</si>
  <si>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</si>
  <si>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</si>
  <si>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</si>
  <si>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</si>
  <si>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</si>
  <si>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</si>
  <si>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</si>
  <si>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</si>
  <si>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</si>
  <si>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</si>
  <si>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</si>
  <si>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</si>
  <si>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</si>
  <si>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</si>
  <si>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</si>
  <si>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</si>
  <si>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</si>
  <si>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</si>
  <si>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</si>
  <si>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</si>
  <si>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</si>
  <si>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</si>
  <si>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</si>
  <si>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</si>
  <si>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</si>
  <si>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</si>
  <si>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</si>
  <si>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</si>
  <si>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</si>
  <si>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</si>
  <si>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</si>
  <si>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</si>
  <si>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</si>
  <si>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</si>
  <si>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</si>
  <si>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</si>
  <si>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</si>
  <si>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</si>
  <si>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</si>
  <si>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</si>
  <si>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</si>
  <si>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</si>
  <si>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</si>
  <si>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</si>
  <si>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</si>
  <si>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</si>
  <si>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</si>
  <si>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</si>
  <si>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</si>
  <si>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</si>
  <si>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</si>
  <si>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</si>
  <si>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</si>
  <si>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</si>
  <si>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</si>
  <si>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</si>
  <si>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</si>
  <si>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</si>
  <si>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</si>
  <si>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</si>
  <si>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</si>
  <si>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</si>
  <si>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</si>
  <si>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</si>
  <si>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</si>
  <si>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</si>
  <si>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</si>
  <si>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</si>
  <si>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</si>
  <si>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</si>
  <si>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</si>
  <si>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</si>
  <si>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</si>
  <si>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</si>
  <si>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</si>
  <si>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</si>
  <si>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</si>
  <si>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</si>
  <si>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</si>
  <si>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</si>
  <si>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</si>
  <si>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</si>
  <si>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</si>
  <si>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</si>
  <si>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</si>
  <si>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</si>
  <si>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</si>
  <si>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</si>
  <si>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</si>
  <si>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</si>
  <si>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</si>
  <si>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</si>
  <si>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</si>
  <si>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</si>
  <si>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</si>
  <si>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</si>
  <si>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</si>
  <si>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</si>
  <si>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</si>
  <si>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</si>
  <si>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</si>
  <si>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</si>
  <si>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</si>
  <si>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</si>
  <si>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</si>
  <si>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</si>
  <si>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</si>
  <si>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</si>
  <si>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</si>
  <si>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</si>
  <si>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</si>
  <si>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</si>
  <si>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</si>
  <si>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</si>
  <si>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</si>
  <si>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</si>
  <si>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</si>
  <si>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</si>
  <si>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</si>
  <si>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</si>
  <si>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</si>
  <si>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</si>
  <si>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</si>
  <si>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</si>
  <si>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</si>
  <si>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</si>
  <si>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</si>
  <si>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</si>
  <si>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</si>
  <si>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</si>
  <si>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</si>
  <si>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</si>
  <si>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</si>
  <si>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</si>
  <si>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</si>
  <si>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</si>
  <si>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</si>
  <si>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</si>
  <si>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</si>
  <si>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</si>
  <si>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</si>
  <si>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</si>
  <si>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</si>
  <si>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</si>
  <si>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</si>
  <si>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</si>
  <si>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</si>
  <si>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</si>
  <si>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</si>
  <si>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</si>
  <si>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</si>
  <si>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</si>
  <si>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</si>
  <si>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</si>
  <si>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</si>
  <si>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</si>
  <si>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</si>
  <si>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</si>
  <si>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</si>
  <si>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</si>
  <si>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</si>
  <si>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</si>
  <si>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</si>
  <si>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</si>
  <si>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</si>
  <si>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</si>
  <si>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</si>
  <si>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</si>
  <si>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</si>
  <si>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</si>
  <si>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</si>
  <si>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</si>
  <si>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</si>
  <si>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</si>
  <si>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</si>
  <si>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</si>
  <si>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</si>
  <si>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</si>
  <si>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</si>
  <si>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</si>
  <si>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</si>
  <si>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</si>
  <si>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</si>
  <si>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</si>
  <si>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</si>
  <si>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</si>
  <si>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</si>
  <si>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</si>
  <si>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</si>
  <si>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</si>
  <si>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</si>
  <si>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</si>
  <si>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</si>
  <si>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</si>
  <si>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</si>
  <si>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</si>
  <si>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</si>
  <si>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</si>
  <si>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</si>
  <si>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</si>
  <si>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</si>
  <si>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</si>
  <si>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</si>
  <si>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</si>
  <si>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</si>
  <si>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</si>
  <si>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</si>
  <si>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</si>
  <si>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</si>
  <si>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</si>
  <si>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</si>
  <si>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</si>
  <si>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</si>
  <si>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</si>
  <si>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</si>
  <si>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</si>
  <si>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</si>
  <si>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</si>
  <si>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</si>
  <si>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</si>
  <si>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</si>
  <si>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</si>
  <si>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</si>
  <si>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</si>
  <si>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</si>
  <si>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</si>
  <si>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</si>
  <si>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</si>
  <si>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</si>
  <si>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</si>
  <si>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</si>
  <si>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</si>
  <si>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</si>
  <si>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</si>
  <si>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</si>
  <si>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</si>
  <si>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</si>
  <si>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</si>
  <si>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</si>
  <si>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</si>
  <si>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</si>
  <si>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</si>
  <si>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</si>
  <si>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</si>
  <si>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</si>
  <si>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</si>
  <si>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</si>
  <si>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</si>
  <si>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</si>
  <si>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</si>
  <si>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</si>
  <si>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</si>
  <si>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</si>
  <si>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</si>
  <si>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</si>
  <si>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</si>
  <si>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</si>
  <si>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</si>
  <si>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</si>
  <si>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</si>
  <si>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</si>
  <si>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</si>
  <si>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</si>
  <si>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</si>
  <si>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</si>
  <si>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</si>
  <si>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</si>
  <si>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</si>
  <si>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</si>
  <si>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</si>
  <si>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</si>
  <si>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</si>
  <si>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</si>
  <si>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</si>
  <si>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</si>
  <si>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</si>
  <si>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</si>
  <si>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</si>
  <si>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</si>
  <si>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</si>
  <si>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</si>
  <si>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</si>
  <si>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</si>
  <si>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</si>
  <si>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</si>
  <si>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</si>
  <si>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</si>
  <si>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</si>
  <si>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</si>
  <si>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</si>
  <si>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</si>
  <si>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</si>
  <si>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</si>
  <si>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</si>
  <si>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</si>
  <si>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</si>
  <si>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</si>
  <si>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</si>
  <si>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</si>
  <si>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</si>
  <si>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</si>
  <si>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</si>
  <si>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</si>
  <si>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</si>
  <si>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</si>
  <si>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</si>
  <si>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</si>
  <si>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</si>
  <si>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</si>
  <si>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</si>
  <si>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</si>
  <si>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</si>
  <si>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</si>
  <si>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</si>
  <si>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</si>
  <si>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</si>
  <si>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</si>
  <si>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</si>
  <si>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</si>
  <si>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</si>
  <si>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</si>
  <si>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</si>
  <si>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</si>
  <si>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</si>
  <si>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</si>
  <si>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</si>
  <si>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</si>
  <si>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</si>
  <si>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</si>
  <si>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</si>
  <si>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</si>
  <si>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</si>
  <si>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</si>
  <si>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</si>
  <si>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</si>
  <si>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</si>
  <si>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</si>
  <si>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</si>
  <si>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</si>
  <si>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</si>
  <si>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</si>
  <si>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</si>
  <si>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</si>
  <si>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</si>
  <si>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</si>
  <si>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</si>
  <si>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</si>
  <si>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</si>
  <si>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</si>
  <si>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</si>
  <si>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</si>
  <si>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</si>
  <si>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</si>
  <si>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</si>
  <si>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</si>
  <si>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</si>
  <si>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</si>
  <si>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</si>
  <si>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</si>
  <si>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</si>
  <si>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</si>
  <si>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</si>
  <si>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</si>
  <si>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</si>
  <si>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</si>
  <si>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</si>
  <si>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</si>
  <si>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</si>
  <si>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</si>
  <si>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</si>
  <si>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</si>
  <si>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</si>
  <si>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</si>
  <si>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</si>
  <si>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</si>
  <si>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</si>
  <si>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</si>
  <si>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</si>
  <si>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</si>
  <si>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</si>
  <si>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</si>
  <si>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</si>
  <si>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</si>
  <si>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</si>
  <si>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</si>
  <si>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</si>
  <si>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</si>
  <si>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</si>
  <si>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</si>
  <si>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</si>
  <si>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</si>
  <si>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</si>
  <si>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</si>
  <si>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</si>
  <si>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</si>
  <si>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</si>
  <si>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</si>
  <si>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</si>
  <si>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</si>
  <si>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</si>
  <si>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</si>
  <si>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</si>
  <si>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</si>
  <si>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</si>
  <si>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</si>
  <si>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</si>
  <si>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</si>
  <si>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</si>
  <si>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</si>
  <si>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</si>
  <si>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</si>
  <si>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</si>
  <si>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</si>
  <si>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</si>
  <si>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</si>
  <si>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</si>
  <si>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</si>
  <si>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</si>
  <si>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</si>
  <si>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</si>
  <si>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</si>
  <si>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</si>
  <si>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</si>
  <si>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</si>
  <si>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</si>
  <si>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</si>
  <si>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</si>
  <si>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</si>
  <si>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</si>
  <si>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</si>
  <si>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</si>
  <si>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</si>
  <si>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</si>
  <si>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</si>
  <si>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</si>
  <si>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</si>
  <si>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</si>
  <si>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</si>
  <si>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</si>
  <si>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</si>
  <si>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</si>
  <si>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</si>
  <si>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</si>
  <si>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</si>
  <si>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</si>
  <si>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</si>
  <si>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</si>
  <si>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</si>
  <si>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</si>
  <si>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</si>
  <si>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</si>
  <si>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</si>
  <si>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</si>
  <si>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</si>
  <si>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</si>
  <si>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</si>
  <si>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</si>
  <si>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</si>
  <si>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</si>
  <si>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</si>
  <si>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</si>
  <si>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</si>
  <si>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</si>
  <si>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</si>
  <si>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</si>
  <si>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</si>
  <si>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</si>
  <si>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</si>
  <si>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</si>
  <si>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</si>
  <si>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</si>
  <si>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</si>
  <si>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</si>
  <si>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</si>
  <si>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</si>
  <si>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</si>
  <si>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</si>
  <si>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</si>
  <si>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</si>
  <si>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</si>
  <si>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</si>
  <si>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</si>
  <si>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</si>
  <si>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</si>
  <si>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</si>
  <si>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</si>
  <si>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</si>
  <si>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</si>
  <si>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</si>
  <si>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</si>
  <si>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</si>
  <si>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</si>
  <si>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</si>
  <si>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</si>
  <si>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</si>
  <si>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</si>
  <si>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</si>
  <si>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</si>
  <si>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</si>
  <si>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</si>
  <si>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</si>
  <si>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</si>
  <si>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</si>
  <si>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</si>
  <si>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</si>
  <si>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</si>
  <si>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</si>
  <si>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</si>
  <si>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</si>
  <si>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</si>
  <si>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</si>
  <si>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</si>
  <si>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</si>
  <si>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</si>
  <si>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</si>
  <si>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</si>
  <si>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</si>
  <si>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</si>
  <si>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</si>
  <si>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</si>
  <si>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</si>
  <si>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</si>
  <si>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</si>
  <si>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</si>
  <si>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</si>
  <si>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</si>
  <si>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</si>
  <si>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</si>
  <si>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</si>
  <si>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</si>
  <si>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</si>
  <si>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</si>
  <si>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</si>
  <si>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</si>
  <si>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</si>
  <si>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</si>
  <si>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</si>
  <si>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</si>
  <si>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</si>
  <si>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</si>
  <si>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</si>
  <si>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</si>
  <si>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</si>
  <si>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</si>
  <si>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</si>
  <si>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</si>
  <si>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</si>
  <si>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</si>
  <si>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</si>
  <si>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</si>
  <si>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</si>
  <si>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</si>
  <si>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</si>
  <si>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</si>
  <si>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</si>
  <si>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</si>
  <si>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</si>
  <si>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</si>
  <si>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</si>
  <si>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</si>
  <si>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</si>
  <si>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</si>
  <si>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</si>
  <si>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</si>
  <si>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</si>
  <si>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</si>
  <si>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</si>
  <si>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</si>
  <si>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</si>
  <si>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</si>
  <si>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</si>
  <si>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</si>
  <si>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</si>
  <si>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</si>
  <si>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</si>
  <si>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</si>
  <si>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</si>
  <si>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</si>
  <si>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</si>
  <si>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</si>
  <si>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</si>
  <si>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</si>
  <si>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</si>
  <si>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</si>
  <si>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</si>
  <si>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</si>
  <si>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</si>
  <si>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</si>
  <si>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</si>
  <si>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</si>
  <si>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</si>
  <si>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</si>
  <si>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</si>
  <si>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</si>
  <si>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</si>
  <si>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</si>
  <si>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</si>
  <si>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</si>
  <si>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</si>
  <si>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</si>
  <si>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</si>
  <si>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</si>
  <si>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</si>
  <si>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</si>
  <si>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</si>
  <si>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</si>
  <si>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</si>
  <si>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</si>
  <si>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</si>
  <si>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</si>
  <si>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</si>
  <si>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</si>
  <si>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</si>
  <si>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</si>
  <si>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</si>
  <si>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</si>
  <si>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</si>
  <si>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</si>
  <si>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</si>
  <si>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</si>
  <si>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</si>
  <si>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</si>
  <si>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</si>
  <si>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</si>
  <si>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</si>
  <si>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</si>
  <si>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</si>
  <si>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</si>
  <si>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</si>
  <si>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</si>
  <si>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</si>
  <si>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</si>
  <si>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</si>
  <si>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</si>
  <si>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</si>
  <si>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</si>
  <si>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</si>
  <si>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</si>
  <si>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</si>
  <si>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</si>
  <si>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</si>
  <si>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</si>
  <si>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</si>
  <si>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</si>
  <si>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</si>
  <si>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</si>
  <si>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</si>
  <si>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</si>
  <si>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</si>
  <si>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</si>
  <si>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</si>
  <si>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</si>
  <si>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</si>
  <si>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</si>
  <si>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</si>
  <si>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</si>
  <si>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</si>
  <si>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</si>
  <si>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</si>
  <si>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</si>
  <si>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</si>
  <si>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</si>
  <si>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</si>
  <si>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</si>
  <si>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</si>
  <si>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</si>
  <si>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</si>
  <si>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</si>
  <si>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</si>
  <si>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</si>
  <si>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</si>
  <si>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</si>
  <si>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</si>
  <si>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</si>
  <si>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</si>
  <si>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</si>
  <si>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</si>
  <si>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</si>
  <si>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</si>
  <si>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</si>
  <si>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</si>
  <si>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</si>
  <si>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</si>
  <si>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</si>
  <si>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</si>
  <si>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</si>
  <si>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</si>
  <si>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</si>
  <si>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</si>
  <si>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</si>
  <si>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</si>
  <si>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</si>
  <si>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</si>
  <si>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</si>
  <si>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</si>
  <si>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</si>
  <si>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</si>
  <si>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</si>
  <si>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</si>
  <si>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</si>
  <si>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</si>
  <si>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</si>
  <si>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</si>
  <si>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</si>
  <si>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</si>
  <si>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</si>
  <si>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</si>
  <si>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</si>
  <si>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</si>
  <si>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</si>
  <si>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</si>
  <si>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</si>
  <si>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</si>
  <si>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</si>
  <si>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</si>
  <si>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</si>
  <si>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</si>
  <si>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</si>
  <si>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</si>
  <si>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</si>
  <si>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</si>
  <si>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</si>
  <si>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</si>
  <si>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</si>
  <si>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</si>
  <si>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</si>
  <si>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</si>
  <si>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</si>
  <si>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</si>
  <si>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</si>
  <si>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</si>
  <si>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</si>
  <si>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</si>
  <si>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</si>
  <si>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</si>
  <si>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</si>
  <si>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</si>
  <si>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</si>
  <si>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</si>
  <si>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</si>
  <si>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</si>
  <si>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</si>
  <si>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</si>
  <si>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</si>
  <si>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</si>
  <si>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</si>
  <si>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</si>
  <si>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</si>
  <si>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</si>
  <si>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</si>
  <si>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</si>
  <si>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</si>
  <si>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</si>
  <si>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</si>
  <si>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</si>
  <si>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</si>
  <si>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</si>
  <si>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</si>
  <si>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</si>
  <si>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</si>
  <si>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</si>
  <si>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</si>
  <si>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</si>
  <si>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</si>
  <si>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</si>
  <si>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</si>
  <si>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</si>
  <si>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</si>
  <si>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</si>
  <si>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</si>
  <si>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</si>
  <si>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</si>
  <si>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</si>
  <si>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</si>
  <si>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</si>
  <si>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</si>
  <si>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</si>
  <si>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</si>
  <si>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</si>
  <si>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</si>
  <si>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</si>
  <si>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</si>
  <si>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</si>
  <si>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</si>
  <si>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</si>
  <si>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</si>
  <si>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</si>
  <si>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</si>
  <si>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</si>
  <si>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</si>
  <si>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</si>
  <si>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</si>
  <si>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</si>
  <si>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</si>
  <si>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</si>
  <si>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</si>
  <si>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</si>
  <si>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</si>
  <si>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</si>
  <si>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</si>
  <si>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</si>
  <si>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</si>
  <si>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</si>
  <si>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</si>
  <si>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</si>
  <si>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</si>
  <si>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</si>
  <si>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</si>
  <si>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</si>
  <si>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</si>
  <si>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</si>
  <si>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</si>
  <si>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</si>
  <si>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</si>
  <si>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</si>
  <si>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</si>
  <si>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</si>
  <si>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</si>
  <si>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</si>
  <si>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</si>
  <si>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</si>
  <si>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</si>
  <si>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</si>
  <si>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</si>
  <si>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</si>
  <si>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</si>
  <si>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</si>
  <si>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</si>
  <si>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</si>
  <si>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</si>
  <si>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</si>
  <si>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</si>
  <si>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</si>
  <si>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</si>
  <si>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</si>
  <si>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</si>
  <si>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</si>
  <si>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</si>
  <si>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</si>
  <si>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</si>
  <si>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</si>
  <si>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</si>
  <si>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</si>
  <si>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</si>
  <si>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</si>
  <si>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</si>
  <si>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</si>
  <si>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</si>
  <si>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</si>
  <si>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</si>
  <si>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</si>
  <si>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</si>
  <si>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</si>
  <si>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</si>
  <si>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</si>
  <si>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</si>
  <si>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</si>
  <si>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</si>
  <si>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</si>
  <si>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</si>
  <si>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</si>
  <si>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</si>
  <si>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</si>
  <si>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</si>
  <si>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</si>
  <si>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</si>
  <si>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</si>
  <si>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</si>
  <si>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</si>
  <si>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</si>
  <si>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</si>
  <si>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</si>
  <si>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</si>
  <si>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</si>
  <si>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</si>
  <si>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</si>
  <si>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</si>
  <si>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</si>
  <si>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</si>
  <si>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</si>
  <si>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</si>
  <si>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</si>
  <si>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</si>
  <si>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</si>
  <si>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</si>
  <si>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</si>
  <si>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</si>
  <si>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</si>
  <si>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</si>
  <si>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</si>
  <si>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</si>
  <si>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</si>
  <si>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</si>
  <si>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</si>
  <si>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</si>
  <si>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</si>
  <si>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</si>
  <si>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</si>
  <si>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</si>
  <si>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</si>
  <si>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</si>
  <si>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</si>
  <si>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</si>
  <si>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</si>
  <si>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</si>
  <si>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</si>
  <si>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</si>
  <si>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</si>
  <si>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</si>
  <si>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</si>
  <si>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</si>
  <si>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</si>
  <si>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</si>
  <si>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</si>
  <si>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</si>
  <si>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</si>
  <si>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</si>
  <si>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</si>
  <si>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</si>
  <si>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</si>
  <si>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</si>
  <si>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</si>
  <si>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</si>
  <si>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</si>
  <si>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</si>
  <si>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</si>
  <si>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</si>
  <si>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</si>
  <si>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</si>
  <si>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</si>
  <si>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</si>
  <si>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</si>
  <si>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</si>
  <si>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</si>
  <si>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</si>
  <si>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</si>
  <si>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</si>
  <si>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</si>
  <si>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</si>
  <si>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</si>
  <si>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</si>
  <si>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</si>
  <si>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</si>
  <si>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</si>
  <si>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</si>
  <si>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</si>
  <si>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</si>
  <si>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</si>
  <si>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</si>
  <si>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</si>
  <si>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</si>
  <si>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</si>
  <si>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</si>
  <si>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</si>
  <si>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</si>
  <si>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</si>
  <si>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</si>
  <si>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</si>
  <si>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</si>
  <si>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</si>
  <si>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</si>
  <si>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</si>
  <si>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</si>
  <si>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</si>
  <si>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</si>
  <si>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</si>
  <si>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</si>
  <si>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</si>
  <si>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</si>
  <si>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</si>
  <si>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</si>
  <si>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</si>
  <si>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</si>
  <si>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</si>
  <si>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</si>
  <si>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</si>
  <si>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</si>
  <si>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</si>
  <si>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</si>
  <si>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</si>
  <si>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</si>
  <si>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</si>
  <si>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</si>
  <si>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</si>
  <si>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</si>
  <si>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</si>
  <si>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</si>
  <si>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</si>
  <si>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</si>
  <si>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</si>
  <si>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</si>
  <si>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</si>
  <si>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</si>
  <si>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</si>
  <si>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</si>
  <si>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</si>
  <si>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</si>
  <si>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</si>
  <si>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</si>
  <si>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</si>
  <si>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</si>
  <si>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</si>
  <si>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</si>
  <si>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</si>
  <si>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</si>
  <si>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</si>
  <si>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</si>
  <si>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</si>
  <si>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</si>
  <si>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</si>
  <si>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</si>
  <si>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</si>
  <si>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</si>
  <si>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</si>
  <si>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</si>
  <si>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</si>
  <si>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</si>
  <si>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</si>
  <si>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</si>
  <si>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</si>
  <si>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</si>
  <si>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</si>
  <si>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</si>
  <si>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</si>
  <si>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</si>
  <si>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</si>
  <si>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</si>
  <si>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</si>
  <si>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</si>
  <si>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</si>
  <si>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</si>
  <si>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</si>
  <si>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</si>
  <si>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</si>
  <si>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</si>
  <si>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</si>
  <si>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</si>
  <si>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</si>
  <si>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</si>
  <si>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</si>
  <si>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</si>
  <si>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</si>
  <si>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</si>
  <si>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</si>
  <si>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</si>
  <si>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</si>
  <si>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</si>
  <si>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</si>
  <si>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</si>
  <si>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</si>
  <si>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</si>
  <si>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</si>
  <si>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</si>
  <si>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</si>
  <si>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</si>
  <si>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</si>
  <si>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</si>
  <si>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</si>
  <si>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</si>
  <si>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</si>
  <si>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</si>
  <si>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</si>
  <si>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</si>
  <si>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</si>
  <si>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</si>
  <si>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</si>
  <si>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</si>
  <si>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</si>
  <si>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</si>
  <si>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</si>
  <si>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</si>
  <si>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</si>
  <si>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</si>
  <si>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</si>
  <si>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</si>
  <si>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</si>
  <si>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</si>
  <si>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</si>
  <si>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</si>
  <si>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</si>
  <si>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</si>
  <si>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</si>
  <si>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</si>
  <si>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</si>
  <si>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</si>
  <si>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</si>
  <si>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</si>
  <si>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</si>
  <si>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</si>
  <si>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</si>
  <si>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</si>
  <si>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</si>
  <si>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</si>
  <si>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</si>
  <si>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</si>
  <si>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</si>
  <si>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</si>
  <si>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</si>
  <si>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</si>
  <si>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</si>
  <si>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</si>
  <si>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</si>
  <si>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</si>
  <si>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</si>
  <si>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</si>
  <si>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</si>
  <si>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</si>
  <si>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</si>
  <si>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</si>
  <si>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</si>
  <si>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</si>
  <si>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</si>
  <si>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</si>
  <si>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</si>
  <si>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</si>
  <si>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</si>
  <si>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</si>
  <si>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</si>
  <si>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</si>
  <si>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</si>
  <si>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</si>
  <si>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</si>
  <si>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</si>
  <si>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</si>
  <si>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</si>
  <si>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</si>
  <si>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</si>
  <si>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</si>
  <si>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</si>
  <si>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</si>
  <si>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</si>
  <si>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</si>
  <si>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</si>
  <si>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</si>
  <si>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</si>
  <si>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</si>
  <si>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</si>
  <si>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</si>
  <si>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</si>
  <si>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</si>
  <si>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</si>
  <si>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</si>
  <si>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</si>
  <si>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</si>
  <si>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</si>
  <si>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</si>
  <si>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</si>
  <si>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</si>
  <si>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</si>
  <si>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</si>
  <si>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</si>
  <si>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</si>
  <si>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</si>
  <si>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</si>
  <si>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</si>
  <si>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</si>
  <si>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</si>
  <si>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</si>
  <si>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</si>
  <si>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</si>
  <si>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</si>
  <si>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</si>
  <si>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</si>
  <si>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</si>
  <si>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</si>
  <si>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</si>
  <si>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</si>
  <si>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</si>
  <si>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</si>
  <si>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</si>
  <si>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</si>
  <si>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</si>
  <si>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</si>
  <si>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</si>
  <si>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</si>
  <si>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</si>
  <si>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</si>
  <si>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</si>
  <si>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</si>
  <si>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</si>
  <si>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</si>
  <si>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</si>
  <si>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</si>
  <si>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</si>
  <si>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</si>
  <si>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</si>
  <si>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</si>
  <si>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</si>
  <si>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</si>
  <si>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</si>
  <si>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</si>
  <si>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</si>
  <si>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</si>
  <si>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</si>
  <si>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</si>
  <si>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</si>
  <si>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</si>
  <si>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</si>
  <si>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</si>
  <si>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</si>
  <si>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</si>
  <si>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</si>
  <si>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</si>
  <si>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</si>
  <si>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</si>
  <si>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</si>
  <si>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</si>
  <si>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</si>
  <si>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</si>
  <si>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</si>
  <si>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</si>
  <si>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</si>
  <si>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</si>
  <si>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</si>
  <si>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</si>
  <si>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</si>
  <si>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</si>
  <si>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</si>
  <si>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</si>
  <si>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</si>
  <si>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</si>
  <si>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</si>
  <si>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</si>
  <si>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</si>
  <si>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</si>
  <si>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</si>
  <si>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</si>
  <si>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</si>
  <si>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</si>
  <si>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</si>
  <si>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</si>
  <si>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</si>
  <si>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</si>
  <si>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</si>
  <si>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</si>
  <si>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</si>
  <si>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</si>
  <si>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</si>
  <si>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</si>
  <si>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</si>
  <si>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</si>
  <si>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</si>
  <si>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</si>
  <si>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</si>
  <si>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</si>
  <si>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</si>
  <si>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</si>
  <si>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</si>
  <si>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</si>
  <si>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</si>
  <si>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</si>
  <si>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</si>
  <si>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</si>
  <si>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</si>
  <si>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</si>
  <si>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</si>
  <si>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</si>
  <si>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</si>
  <si>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</si>
  <si>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</si>
  <si>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</si>
  <si>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</si>
  <si>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</si>
  <si>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</si>
  <si>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</si>
  <si>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</si>
  <si>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</si>
  <si>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</si>
  <si>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</si>
  <si>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</si>
  <si>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</si>
  <si>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</si>
  <si>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</si>
  <si>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</si>
  <si>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</si>
  <si>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</si>
  <si>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</si>
  <si>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</si>
  <si>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</si>
  <si>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</si>
  <si>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</si>
  <si>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</si>
  <si>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</si>
  <si>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</si>
  <si>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</si>
  <si>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</si>
  <si>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</si>
  <si>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</si>
  <si>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</si>
  <si>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</si>
  <si>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</si>
  <si>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</si>
  <si>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</si>
  <si>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</si>
  <si>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</si>
  <si>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</si>
  <si>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</si>
  <si>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</si>
  <si>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</si>
  <si>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</si>
  <si>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</si>
  <si>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</si>
  <si>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</si>
  <si>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</si>
  <si>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</si>
  <si>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</si>
  <si>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</si>
  <si>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</si>
  <si>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</si>
  <si>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</si>
  <si>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</si>
  <si>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</si>
  <si>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</si>
  <si>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</si>
  <si>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</si>
  <si>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</si>
  <si>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</si>
  <si>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</si>
  <si>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</si>
  <si>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</si>
  <si>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</si>
  <si>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</si>
  <si>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</si>
  <si>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</si>
  <si>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</si>
  <si>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</si>
  <si>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</si>
  <si>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</si>
  <si>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</si>
  <si>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</si>
  <si>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</si>
  <si>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</si>
  <si>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</si>
  <si>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</si>
  <si>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</si>
  <si>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</si>
  <si>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</si>
  <si>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</si>
  <si>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</si>
  <si>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</si>
  <si>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</si>
  <si>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</si>
  <si>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</si>
  <si>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</si>
  <si>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</si>
  <si>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</si>
  <si>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</si>
  <si>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</si>
  <si>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</si>
  <si>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</si>
  <si>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</si>
  <si>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</si>
  <si>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</si>
  <si>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</si>
  <si>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</si>
  <si>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</si>
  <si>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</si>
  <si>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</si>
  <si>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</si>
  <si>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</si>
  <si>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</si>
  <si>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</si>
  <si>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</si>
  <si>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</si>
  <si>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</si>
  <si>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</si>
  <si>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</si>
  <si>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</si>
  <si>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</si>
  <si>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</si>
  <si>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</si>
  <si>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</si>
  <si>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</si>
  <si>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</si>
  <si>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</si>
  <si>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</si>
  <si>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</si>
  <si>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</si>
  <si>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</si>
  <si>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</si>
  <si>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</si>
  <si>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</si>
  <si>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</si>
  <si>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</si>
  <si>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</si>
  <si>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</si>
  <si>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</si>
  <si>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</si>
  <si>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</si>
  <si>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</si>
  <si>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</si>
  <si>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</si>
  <si>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</si>
  <si>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</si>
  <si>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</si>
  <si>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</si>
  <si>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</si>
  <si>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</si>
  <si>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</si>
  <si>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</si>
  <si>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</si>
  <si>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</si>
  <si>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</si>
  <si>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</si>
  <si>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</si>
  <si>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</si>
  <si>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</si>
  <si>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</si>
  <si>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</si>
  <si>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</si>
  <si>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</si>
  <si>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</si>
  <si>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</si>
  <si>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</si>
  <si>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</si>
  <si>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</si>
  <si>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</si>
  <si>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</si>
  <si>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</si>
  <si>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</si>
  <si>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</si>
  <si>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</si>
  <si>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</si>
  <si>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</si>
  <si>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</si>
  <si>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</si>
  <si>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</si>
  <si>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</si>
  <si>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</si>
  <si>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</si>
  <si>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</si>
  <si>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</si>
  <si>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</si>
  <si>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</si>
  <si>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</si>
  <si>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</si>
  <si>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</si>
  <si>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</si>
  <si>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</si>
  <si>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</si>
  <si>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</si>
  <si>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</si>
  <si>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</si>
  <si>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</si>
  <si>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</si>
  <si>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</si>
  <si>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</si>
  <si>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</si>
  <si>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</si>
  <si>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</si>
  <si>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</si>
  <si>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</si>
  <si>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</si>
  <si>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</si>
  <si>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</si>
  <si>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</si>
  <si>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</si>
  <si>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</si>
  <si>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</si>
  <si>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</si>
  <si>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</si>
  <si>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</si>
  <si>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</si>
  <si>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</si>
  <si>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</si>
  <si>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</si>
  <si>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</si>
  <si>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</si>
  <si>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</si>
  <si>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</si>
  <si>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</si>
  <si>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</si>
  <si>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</si>
  <si>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</si>
  <si>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</si>
  <si>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</si>
  <si>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</si>
  <si>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</si>
  <si>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</si>
  <si>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</si>
  <si>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</si>
  <si>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</si>
  <si>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</si>
  <si>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</si>
  <si>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</si>
  <si>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</si>
  <si>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</si>
  <si>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</si>
  <si>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</si>
  <si>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</si>
  <si>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</si>
  <si>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</si>
  <si>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</si>
  <si>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</si>
  <si>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</si>
  <si>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</si>
  <si>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</si>
  <si>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</si>
  <si>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</si>
  <si>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</si>
  <si>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</si>
  <si>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</si>
  <si>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</si>
  <si>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</si>
  <si>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</si>
  <si>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</si>
  <si>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</si>
  <si>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</si>
  <si>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</si>
  <si>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</si>
  <si>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</si>
  <si>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</si>
  <si>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</si>
  <si>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</si>
  <si>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</si>
  <si>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</si>
  <si>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</si>
  <si>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</si>
  <si>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</si>
  <si>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</si>
  <si>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</si>
  <si>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</si>
  <si>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</si>
  <si>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</si>
  <si>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</si>
  <si>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</si>
  <si>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</si>
  <si>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</si>
  <si>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</si>
  <si>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</si>
  <si>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</si>
  <si>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</si>
  <si>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</si>
  <si>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</si>
  <si>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</si>
  <si>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</si>
  <si>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</si>
  <si>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</si>
  <si>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</si>
  <si>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</si>
  <si>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</si>
  <si>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</si>
  <si>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</si>
  <si>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</si>
  <si>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</si>
  <si>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</si>
  <si>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</si>
  <si>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</si>
  <si>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</si>
  <si>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</si>
  <si>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</si>
  <si>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</si>
  <si>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</si>
  <si>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</si>
  <si>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</si>
  <si>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</si>
  <si>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</si>
  <si>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</si>
  <si>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</si>
  <si>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</si>
  <si>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</si>
  <si>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</si>
  <si>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</si>
  <si>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</si>
  <si>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</si>
  <si>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</si>
  <si>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</si>
  <si>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</si>
  <si>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</si>
  <si>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</si>
  <si>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</si>
  <si>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</si>
  <si>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</si>
  <si>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</si>
  <si>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</si>
  <si>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</si>
  <si>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</si>
  <si>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</si>
  <si>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</si>
  <si>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</si>
  <si>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</si>
  <si>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</si>
  <si>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</si>
  <si>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</si>
  <si>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</si>
  <si>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</si>
  <si>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</si>
  <si>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</si>
  <si>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</si>
  <si>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</si>
  <si>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</si>
  <si>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</si>
  <si>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</si>
  <si>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</si>
  <si>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</si>
  <si>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</si>
  <si>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</si>
  <si>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</si>
  <si>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</si>
  <si>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</si>
  <si>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</si>
  <si>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</si>
  <si>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</si>
  <si>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</si>
  <si>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</si>
  <si>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</si>
  <si>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</si>
  <si>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</si>
  <si>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</si>
  <si>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</si>
  <si>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</si>
  <si>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</si>
  <si>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</si>
  <si>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</si>
  <si>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</si>
  <si>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</si>
  <si>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</si>
  <si>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</si>
  <si>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</si>
  <si>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</si>
  <si>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</si>
  <si>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</si>
  <si>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</si>
  <si>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</si>
  <si>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</si>
  <si>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</si>
  <si>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</si>
  <si>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</si>
  <si>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</si>
  <si>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</si>
  <si>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</si>
  <si>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</si>
  <si>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</si>
  <si>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</si>
  <si>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</si>
  <si>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</si>
  <si>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</si>
  <si>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</si>
  <si>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</si>
  <si>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</si>
  <si>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</si>
  <si>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</si>
  <si>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</si>
  <si>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</si>
  <si>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</si>
  <si>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</si>
  <si>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</si>
  <si>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</si>
  <si>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</si>
  <si>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</si>
  <si>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</si>
  <si>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</si>
  <si>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</si>
  <si>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</si>
  <si>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</si>
  <si>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</si>
  <si>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</si>
  <si>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</si>
  <si>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</si>
  <si>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</si>
  <si>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</si>
  <si>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</si>
  <si>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</si>
  <si>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</si>
  <si>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</si>
  <si>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</si>
  <si>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</si>
  <si>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</si>
  <si>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</si>
  <si>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</si>
  <si>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</si>
  <si>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</si>
  <si>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</si>
  <si>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</si>
  <si>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</si>
  <si>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</si>
  <si>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</si>
  <si>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</si>
  <si>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</si>
  <si>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</si>
  <si>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</si>
  <si>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</si>
  <si>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</si>
  <si>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</si>
  <si>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</si>
  <si>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</si>
  <si>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</si>
  <si>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</si>
  <si>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</si>
  <si>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</si>
  <si>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</si>
  <si>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</si>
  <si>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</si>
  <si>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</si>
  <si>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</si>
  <si>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</si>
  <si>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</si>
  <si>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</si>
  <si>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</si>
  <si>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</si>
  <si>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</si>
  <si>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</si>
  <si>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</si>
  <si>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</si>
  <si>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</si>
  <si>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</si>
  <si>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</si>
  <si>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</si>
  <si>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</si>
  <si>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</si>
  <si>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</si>
  <si>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</si>
  <si>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</si>
  <si>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</si>
  <si>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</si>
  <si>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</si>
  <si>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</si>
  <si>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</si>
  <si>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</si>
  <si>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</si>
  <si>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</si>
  <si>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</si>
  <si>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</si>
  <si>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</si>
  <si>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</si>
  <si>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</si>
  <si>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</si>
  <si>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</si>
  <si>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</si>
  <si>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</si>
  <si>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</si>
  <si>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</si>
  <si>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</si>
  <si>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</si>
  <si>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</si>
  <si>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</si>
  <si>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</si>
  <si>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</si>
  <si>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</si>
  <si>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</si>
  <si>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</si>
  <si>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</si>
  <si>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</si>
  <si>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</si>
  <si>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</si>
  <si>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</si>
  <si>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</si>
  <si>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</si>
  <si>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</si>
  <si>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</si>
  <si>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</si>
  <si>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</si>
  <si>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</si>
  <si>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</si>
  <si>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</si>
  <si>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</si>
  <si>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</si>
  <si>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</si>
  <si>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</si>
  <si>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</si>
  <si>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</si>
  <si>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</si>
  <si>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</si>
  <si>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</si>
  <si>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</si>
  <si>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</si>
  <si>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</si>
  <si>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</si>
  <si>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</si>
  <si>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</si>
  <si>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</si>
  <si>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</si>
  <si>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</si>
  <si>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</si>
  <si>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</si>
  <si>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</si>
  <si>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</si>
  <si>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</si>
  <si>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</si>
  <si>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</si>
  <si>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</si>
  <si>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</si>
  <si>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</si>
  <si>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</si>
  <si>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</si>
  <si>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</si>
  <si>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</si>
  <si>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</si>
  <si>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</si>
  <si>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</si>
  <si>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</si>
  <si>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</si>
  <si>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</si>
  <si>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</si>
  <si>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</si>
  <si>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</si>
  <si>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</si>
  <si>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</si>
  <si>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</si>
  <si>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</si>
  <si>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</si>
  <si>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</si>
  <si>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</si>
  <si>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</si>
  <si>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</si>
  <si>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</si>
  <si>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</si>
  <si>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</si>
  <si>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</si>
  <si>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</si>
  <si>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</si>
  <si>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</si>
  <si>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</si>
  <si>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</si>
  <si>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</si>
  <si>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</si>
  <si>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</si>
  <si>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</si>
  <si>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</si>
  <si>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</si>
  <si>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</si>
  <si>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</si>
  <si>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</si>
  <si>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</si>
  <si>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</si>
  <si>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</si>
  <si>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</si>
  <si>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</si>
  <si>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</si>
  <si>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</si>
  <si>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</si>
  <si>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</si>
  <si>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</si>
  <si>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</si>
  <si>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</si>
  <si>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</si>
  <si>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</si>
  <si>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</si>
  <si>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</si>
  <si>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</si>
  <si>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</si>
  <si>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</si>
  <si>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</si>
  <si>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</si>
  <si>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</si>
  <si>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</si>
  <si>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</si>
  <si>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</si>
  <si>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</si>
  <si>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</si>
  <si>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</si>
  <si>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</si>
  <si>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</si>
  <si>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</si>
  <si>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</si>
  <si>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</si>
  <si>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</si>
  <si>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</si>
  <si>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</si>
  <si>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</si>
  <si>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</si>
  <si>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</si>
  <si>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</si>
  <si>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</si>
  <si>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</si>
  <si>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</si>
  <si>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</si>
  <si>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</si>
  <si>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</si>
  <si>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</si>
  <si>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</si>
  <si>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</si>
  <si>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</si>
  <si>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</si>
  <si>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</si>
  <si>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</si>
  <si>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</si>
  <si>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</si>
  <si>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</si>
  <si>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</si>
  <si>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</si>
  <si>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</si>
  <si>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</si>
  <si>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</si>
  <si>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</si>
  <si>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</si>
  <si>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</si>
  <si>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</si>
  <si>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</si>
  <si>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</si>
  <si>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</si>
  <si>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</si>
  <si>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</si>
  <si>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</si>
  <si>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</si>
  <si>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</si>
  <si>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</si>
  <si>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</si>
  <si>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</si>
  <si>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</si>
  <si>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</si>
  <si>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</si>
  <si>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</si>
  <si>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</si>
  <si>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</si>
  <si>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</si>
  <si>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</si>
  <si>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</si>
  <si>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</si>
  <si>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</si>
  <si>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</si>
  <si>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</si>
  <si>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</si>
  <si>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</si>
  <si>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</si>
  <si>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</si>
  <si>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</si>
  <si>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</si>
  <si>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</si>
  <si>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</si>
  <si>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</si>
  <si>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</si>
  <si>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</si>
  <si>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</si>
  <si>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</si>
  <si>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</si>
  <si>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</si>
  <si>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</si>
  <si>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</si>
  <si>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</si>
  <si>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</si>
  <si>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</si>
  <si>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</si>
  <si>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</si>
  <si>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</si>
  <si>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</si>
  <si>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</si>
  <si>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</si>
  <si>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</si>
  <si>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</si>
  <si>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</si>
  <si>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</si>
  <si>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</si>
  <si>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</si>
  <si>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</si>
  <si>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</si>
  <si>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</si>
  <si>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</si>
  <si>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</si>
  <si>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</si>
  <si>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</si>
  <si>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</si>
  <si>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</si>
  <si>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</si>
  <si>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</si>
  <si>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</si>
  <si>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</si>
  <si>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</si>
  <si>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</si>
  <si>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</si>
  <si>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</si>
  <si>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</si>
  <si>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</si>
  <si>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</si>
  <si>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</si>
  <si>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</si>
  <si>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</si>
  <si>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</si>
  <si>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</si>
  <si>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</si>
  <si>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</si>
  <si>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</si>
  <si>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</si>
  <si>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</si>
  <si>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</si>
  <si>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</si>
  <si>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</si>
  <si>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</si>
  <si>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</si>
  <si>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</si>
  <si>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</si>
  <si>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</si>
  <si>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</si>
  <si>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</si>
  <si>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</si>
  <si>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</si>
  <si>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</si>
  <si>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</si>
  <si>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</si>
  <si>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</si>
  <si>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</si>
  <si>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</si>
  <si>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</si>
  <si>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</si>
  <si>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</si>
  <si>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</si>
  <si>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</si>
  <si>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</si>
  <si>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</si>
  <si>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</si>
  <si>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</si>
  <si>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</si>
  <si>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</si>
  <si>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</si>
  <si>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</si>
  <si>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</si>
  <si>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</si>
  <si>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</si>
  <si>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</si>
  <si>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</si>
  <si>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</si>
  <si>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</si>
  <si>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</si>
  <si>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</si>
  <si>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</si>
  <si>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</si>
  <si>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</si>
  <si>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</si>
  <si>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</si>
  <si>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</si>
  <si>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</si>
  <si>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</si>
  <si>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</si>
  <si>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</si>
  <si>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</si>
  <si>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</si>
  <si>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</si>
  <si>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</si>
  <si>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</si>
  <si>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</si>
  <si>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</si>
  <si>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</si>
  <si>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</si>
  <si>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</si>
  <si>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</si>
  <si>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</si>
  <si>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</si>
  <si>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</si>
  <si>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</si>
  <si>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</si>
  <si>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</si>
  <si>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</si>
  <si>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</si>
  <si>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</si>
  <si>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</si>
  <si>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</si>
  <si>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</si>
  <si>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</si>
  <si>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</si>
  <si>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</si>
  <si>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</si>
  <si>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</si>
  <si>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</si>
  <si>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</si>
  <si>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</si>
  <si>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</si>
  <si>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</si>
  <si>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</si>
  <si>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</si>
  <si>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</si>
  <si>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</si>
  <si>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</si>
  <si>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</si>
  <si>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</si>
  <si>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</si>
  <si>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</si>
  <si>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</si>
  <si>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</si>
  <si>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</si>
  <si>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</si>
  <si>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</si>
  <si>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</si>
  <si>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</si>
  <si>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</si>
  <si>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</si>
  <si>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</si>
  <si>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</si>
  <si>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</si>
  <si>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</si>
  <si>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</si>
  <si>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</si>
  <si>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</si>
  <si>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</si>
  <si>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</si>
  <si>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</si>
  <si>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</si>
  <si>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</si>
  <si>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</si>
  <si>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</si>
  <si>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</si>
  <si>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</si>
  <si>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</si>
  <si>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</si>
  <si>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</si>
  <si>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</si>
  <si>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</si>
  <si>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</si>
  <si>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</si>
  <si>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</si>
  <si>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</si>
  <si>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</si>
  <si>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</si>
  <si>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</si>
  <si>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</si>
  <si>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</si>
  <si>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</si>
  <si>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</si>
  <si>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</si>
  <si>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</si>
  <si>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</si>
  <si>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</si>
  <si>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</si>
  <si>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</si>
  <si>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</si>
  <si>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</si>
  <si>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</si>
  <si>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</si>
  <si>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</si>
  <si>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</si>
  <si>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</si>
  <si>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</si>
  <si>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</si>
  <si>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</si>
  <si>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</si>
  <si>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</si>
  <si>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</si>
  <si>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</si>
  <si>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</si>
  <si>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</si>
  <si>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</si>
  <si>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</si>
  <si>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</si>
  <si>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</si>
  <si>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</si>
  <si>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</si>
  <si>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</si>
  <si>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</si>
  <si>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</si>
  <si>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</si>
  <si>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</si>
  <si>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</si>
  <si>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</si>
  <si>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</si>
  <si>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</si>
  <si>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</si>
  <si>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</si>
  <si>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</si>
  <si>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</si>
  <si>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</si>
  <si>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</si>
  <si>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</si>
  <si>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</si>
  <si>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</si>
  <si>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</si>
  <si>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</si>
  <si>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</si>
  <si>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</si>
  <si>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</si>
  <si>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</si>
  <si>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</si>
  <si>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</si>
  <si>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</si>
  <si>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</si>
  <si>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</si>
  <si>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</si>
  <si>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</si>
  <si>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</si>
  <si>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</si>
  <si>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</si>
  <si>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</si>
  <si>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</si>
  <si>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</si>
  <si>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</si>
  <si>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</si>
  <si>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</si>
  <si>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</si>
  <si>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</si>
  <si>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</si>
  <si>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</si>
  <si>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</si>
  <si>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</si>
  <si>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</si>
  <si>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</si>
  <si>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</si>
  <si>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</si>
  <si>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</si>
  <si>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</si>
  <si>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</si>
  <si>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</si>
  <si>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</si>
  <si>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</si>
  <si>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</si>
  <si>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</si>
  <si>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</si>
  <si>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</si>
  <si>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</si>
  <si>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</si>
  <si>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</si>
  <si>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</si>
  <si>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</si>
  <si>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</si>
  <si>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</si>
  <si>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</si>
  <si>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</si>
  <si>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</si>
  <si>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</si>
  <si>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</si>
  <si>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</si>
  <si>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</si>
  <si>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</si>
  <si>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</si>
  <si>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</si>
  <si>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</si>
  <si>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</si>
  <si>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</si>
  <si>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</si>
  <si>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</si>
  <si>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</si>
  <si>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</si>
  <si>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</si>
  <si>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</si>
  <si>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</si>
  <si>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</si>
  <si>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</si>
  <si>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</si>
  <si>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</si>
  <si>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</si>
  <si>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</si>
  <si>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</si>
  <si>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</si>
  <si>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</si>
  <si>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</si>
  <si>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</si>
  <si>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</si>
  <si>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</si>
  <si>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</si>
  <si>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</si>
  <si>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</si>
  <si>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</si>
  <si>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</si>
  <si>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</si>
  <si>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</si>
  <si>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</si>
  <si>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</si>
  <si>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</si>
  <si>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</si>
  <si>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</si>
  <si>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</si>
  <si>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</si>
  <si>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</si>
  <si>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</si>
  <si>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</si>
  <si>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</si>
  <si>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</si>
  <si>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</si>
  <si>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</si>
  <si>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</si>
  <si>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</si>
  <si>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</si>
  <si>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</si>
  <si>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</si>
  <si>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</si>
  <si>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</si>
  <si>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</si>
  <si>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</si>
  <si>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</si>
  <si>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</si>
  <si>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</si>
  <si>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</si>
  <si>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</si>
  <si>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</si>
  <si>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</si>
  <si>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</si>
  <si>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</si>
  <si>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</si>
  <si>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</si>
  <si>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</si>
  <si>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</si>
  <si>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</si>
  <si>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</si>
  <si>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</si>
  <si>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</si>
  <si>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</si>
  <si>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</si>
  <si>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</si>
  <si>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</si>
  <si>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</si>
  <si>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</si>
  <si>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</si>
  <si>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</si>
  <si>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</si>
  <si>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</si>
  <si>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</si>
  <si>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</si>
  <si>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</si>
  <si>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</si>
  <si>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</si>
  <si>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</si>
  <si>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</si>
  <si>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</si>
  <si>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</si>
  <si>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</si>
  <si>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</si>
  <si>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</si>
  <si>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</si>
  <si>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</si>
  <si>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</si>
  <si>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</si>
  <si>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</si>
  <si>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</si>
  <si>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</si>
  <si>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</si>
  <si>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</si>
  <si>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</si>
  <si>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</si>
  <si>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</si>
  <si>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</si>
  <si>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</si>
  <si>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</si>
  <si>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</si>
  <si>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</si>
  <si>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</si>
  <si>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</si>
  <si>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</si>
  <si>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</si>
  <si>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</si>
  <si>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</si>
  <si>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</si>
  <si>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</si>
  <si>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</si>
  <si>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</si>
  <si>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</si>
  <si>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</si>
  <si>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</si>
  <si>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</si>
  <si>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</si>
  <si>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</si>
  <si>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</si>
  <si>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</si>
  <si>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</si>
  <si>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</si>
  <si>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</si>
  <si>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</si>
  <si>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</si>
  <si>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</si>
  <si>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</si>
  <si>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</si>
  <si>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</si>
  <si>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</si>
  <si>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</si>
  <si>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</si>
  <si>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</si>
  <si>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</si>
  <si>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</si>
  <si>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</si>
  <si>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</si>
  <si>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</si>
  <si>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</si>
  <si>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</si>
  <si>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</si>
  <si>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</si>
  <si>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</si>
  <si>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</si>
  <si>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</si>
  <si>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</si>
  <si>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</si>
  <si>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</si>
  <si>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</si>
  <si>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</si>
  <si>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</si>
  <si>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</si>
  <si>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</si>
  <si>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</si>
  <si>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</si>
  <si>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</si>
  <si>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</si>
  <si>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</si>
  <si>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</si>
  <si>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</si>
  <si>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</si>
  <si>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</si>
  <si>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</si>
  <si>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</si>
  <si>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</si>
  <si>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</si>
  <si>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</si>
  <si>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</si>
  <si>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</si>
  <si>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</si>
  <si>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</si>
  <si>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</si>
  <si>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</si>
  <si>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</si>
  <si>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</si>
  <si>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</si>
  <si>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</si>
  <si>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</si>
  <si>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</si>
  <si>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</si>
  <si>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</si>
  <si>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</si>
  <si>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</si>
  <si>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</si>
  <si>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</si>
  <si>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</si>
  <si>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</si>
  <si>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</si>
  <si>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</si>
  <si>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</si>
  <si>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</si>
  <si>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</si>
  <si>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</si>
  <si>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</si>
  <si>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</si>
  <si>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</si>
  <si>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</si>
  <si>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</si>
  <si>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</si>
  <si>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</si>
  <si>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</si>
  <si>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</si>
  <si>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</si>
  <si>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</si>
  <si>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</si>
  <si>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</si>
  <si>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</si>
  <si>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</si>
  <si>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</si>
  <si>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</si>
  <si>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</si>
  <si>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</si>
  <si>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</si>
  <si>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</si>
  <si>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</si>
  <si>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</si>
  <si>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</si>
  <si>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</si>
  <si>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</si>
  <si>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</si>
  <si>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</si>
  <si>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</si>
  <si>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</si>
  <si>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</si>
  <si>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</si>
  <si>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</si>
  <si>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</si>
  <si>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</si>
  <si>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</si>
  <si>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</si>
  <si>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</si>
  <si>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</si>
  <si>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</si>
  <si>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</si>
  <si>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</si>
  <si>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</si>
  <si>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</si>
  <si>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</si>
  <si>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</si>
  <si>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</si>
  <si>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</si>
  <si>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</si>
  <si>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</si>
  <si>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</si>
  <si>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</si>
  <si>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</si>
  <si>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</si>
  <si>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</si>
  <si>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</si>
  <si>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</si>
  <si>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</si>
  <si>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</si>
  <si>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</si>
  <si>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</si>
  <si>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</si>
  <si>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</si>
  <si>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</si>
  <si>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</si>
  <si>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</si>
  <si>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</si>
  <si>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</si>
  <si>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</si>
  <si>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</si>
  <si>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</si>
  <si>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</si>
  <si>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</si>
  <si>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</si>
  <si>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</si>
  <si>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</si>
  <si>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</si>
  <si>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</si>
  <si>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</si>
  <si>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</si>
  <si>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</si>
  <si>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</si>
  <si>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</si>
  <si>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</si>
  <si>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</si>
  <si>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</si>
  <si>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</si>
  <si>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</si>
  <si>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</si>
  <si>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</si>
  <si>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</si>
  <si>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</si>
  <si>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</si>
  <si>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</si>
  <si>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</si>
  <si>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</si>
  <si>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</si>
  <si>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</si>
  <si>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</si>
  <si>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</si>
  <si>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</si>
  <si>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</si>
  <si>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</si>
  <si>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</si>
  <si>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</si>
  <si>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</si>
  <si>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</si>
  <si>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</si>
  <si>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</si>
  <si>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</si>
  <si>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</si>
  <si>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</si>
  <si>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</si>
  <si>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</si>
  <si>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</si>
  <si>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</si>
  <si>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</si>
  <si>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</si>
  <si>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</si>
  <si>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</si>
  <si>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</si>
  <si>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</si>
  <si>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</si>
  <si>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</si>
  <si>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</si>
  <si>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</si>
  <si>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</si>
  <si>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</si>
  <si>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</si>
  <si>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</si>
  <si>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</si>
  <si>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</si>
  <si>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</si>
  <si>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</si>
  <si>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</si>
  <si>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</si>
  <si>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</si>
  <si>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</si>
  <si>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</si>
  <si>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</si>
  <si>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</si>
  <si>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</si>
  <si>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</si>
  <si>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</si>
  <si>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</si>
  <si>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</si>
  <si>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</si>
  <si>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</si>
  <si>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</si>
  <si>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</si>
  <si>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</si>
  <si>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</si>
  <si>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</si>
  <si>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</si>
  <si>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</si>
  <si>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</si>
  <si>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</si>
  <si>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</si>
  <si>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</si>
  <si>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</si>
  <si>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</si>
  <si>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</si>
  <si>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</si>
  <si>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</si>
  <si>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</si>
  <si>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</si>
  <si>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</si>
  <si>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</si>
  <si>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</si>
  <si>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</si>
  <si>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</si>
  <si>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</si>
  <si>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</si>
  <si>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</si>
  <si>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</si>
  <si>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</si>
  <si>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</si>
  <si>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</si>
  <si>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</si>
  <si>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</si>
  <si>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</si>
  <si>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</si>
  <si>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</si>
  <si>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</si>
  <si>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</si>
  <si>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</si>
  <si>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</si>
  <si>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</si>
  <si>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</si>
  <si>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</si>
  <si>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</si>
  <si>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</si>
  <si>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</si>
  <si>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</si>
  <si>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</si>
  <si>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</si>
  <si>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</si>
  <si>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</si>
  <si>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</si>
  <si>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</si>
  <si>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</si>
  <si>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</si>
  <si>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</si>
  <si>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</si>
  <si>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</si>
  <si>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</si>
  <si>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</si>
  <si>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</si>
  <si>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</si>
  <si>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</si>
  <si>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</si>
  <si>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</si>
  <si>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</si>
  <si>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</si>
  <si>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</si>
  <si>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</si>
  <si>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</si>
  <si>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</si>
  <si>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</si>
  <si>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</si>
  <si>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</si>
  <si>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</si>
  <si>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</si>
  <si>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</si>
  <si>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</si>
  <si>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</si>
  <si>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</si>
  <si>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</si>
  <si>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</si>
  <si>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</si>
  <si>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</si>
  <si>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</si>
  <si>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</si>
  <si>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</si>
  <si>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</si>
  <si>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</si>
  <si>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</si>
  <si>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</si>
  <si>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</si>
  <si>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</si>
  <si>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</si>
  <si>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</si>
  <si>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</si>
  <si>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</si>
  <si>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</si>
  <si>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</si>
  <si>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</si>
  <si>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</si>
  <si>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</si>
  <si>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</si>
  <si>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</si>
  <si>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</si>
  <si>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</si>
  <si>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</si>
  <si>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</si>
  <si>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</si>
  <si>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</si>
  <si>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</si>
  <si>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</si>
  <si>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</si>
  <si>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</si>
  <si>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</si>
  <si>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</si>
  <si>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</si>
  <si>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</si>
  <si>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</si>
  <si>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</si>
  <si>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</si>
  <si>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</si>
  <si>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</si>
  <si>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</si>
  <si>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</si>
  <si>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</si>
  <si>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</si>
  <si>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</si>
  <si>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</si>
  <si>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</si>
  <si>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</si>
  <si>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</si>
  <si>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</si>
  <si>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</si>
  <si>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</si>
  <si>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</si>
  <si>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</si>
  <si>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</si>
  <si>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</si>
  <si>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</si>
  <si>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</si>
  <si>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</si>
  <si>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</si>
  <si>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</si>
  <si>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</si>
  <si>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</si>
  <si>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</si>
  <si>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</si>
  <si>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</si>
  <si>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</si>
  <si>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</si>
  <si>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</si>
  <si>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</si>
  <si>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</si>
  <si>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</si>
  <si>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</si>
  <si>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</si>
  <si>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</si>
  <si>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</si>
  <si>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</si>
  <si>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</si>
  <si>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</si>
  <si>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</si>
  <si>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</si>
  <si>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</si>
  <si>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</si>
  <si>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</si>
  <si>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</si>
  <si>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</si>
  <si>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</si>
  <si>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</si>
  <si>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</si>
  <si>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</si>
  <si>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</si>
  <si>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</si>
  <si>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</si>
  <si>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</si>
  <si>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</si>
  <si>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</si>
  <si>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</si>
  <si>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</si>
  <si>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</si>
  <si>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</si>
  <si>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</si>
  <si>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</si>
  <si>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</si>
  <si>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</si>
  <si>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</si>
  <si>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</si>
  <si>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</si>
  <si>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</si>
  <si>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</si>
  <si>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</si>
  <si>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</si>
  <si>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</si>
  <si>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</si>
  <si>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</si>
  <si>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</si>
  <si>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</si>
  <si>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</si>
  <si>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</si>
  <si>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</si>
  <si>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</si>
  <si>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</si>
  <si>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</si>
  <si>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</si>
  <si>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</si>
  <si>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</si>
  <si>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</si>
  <si>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</si>
  <si>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</si>
  <si>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</si>
  <si>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</si>
  <si>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</si>
  <si>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</si>
  <si>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</si>
  <si>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</si>
  <si>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</si>
  <si>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</si>
  <si>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</si>
  <si>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</si>
  <si>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</si>
  <si>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</si>
  <si>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</si>
  <si>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</si>
  <si>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</si>
  <si>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</si>
  <si>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</si>
  <si>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</si>
  <si>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</si>
  <si>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</si>
  <si>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</si>
  <si>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</si>
  <si>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</si>
  <si>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</si>
  <si>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</si>
  <si>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</si>
  <si>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</si>
  <si>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</si>
  <si>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</si>
  <si>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</si>
  <si>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</si>
  <si>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</si>
  <si>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</si>
  <si>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</si>
  <si>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</si>
  <si>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</si>
  <si>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</si>
  <si>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</si>
  <si>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</si>
  <si>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</si>
  <si>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</si>
  <si>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</si>
  <si>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</si>
  <si>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</si>
  <si>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</si>
  <si>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</si>
  <si>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</si>
  <si>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</si>
  <si>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</si>
  <si>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</si>
  <si>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</si>
  <si>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</si>
  <si>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</si>
  <si>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</si>
  <si>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</si>
  <si>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</si>
  <si>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</si>
  <si>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</si>
  <si>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</si>
  <si>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</si>
  <si>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</si>
  <si>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</si>
  <si>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</si>
  <si>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</si>
  <si>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</si>
  <si>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</si>
  <si>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</si>
  <si>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</si>
  <si>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</si>
  <si>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</si>
  <si>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</si>
  <si>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</si>
  <si>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</si>
  <si>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</si>
  <si>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</si>
  <si>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</si>
  <si>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</si>
  <si>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</si>
  <si>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</si>
  <si>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</si>
  <si>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</si>
  <si>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</si>
  <si>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</si>
  <si>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</si>
  <si>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</si>
  <si>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</si>
  <si>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</si>
  <si>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</si>
  <si>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</si>
  <si>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</si>
  <si>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</si>
  <si>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</si>
  <si>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</si>
  <si>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</si>
  <si>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</si>
  <si>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</si>
  <si>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</si>
  <si>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</si>
  <si>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</si>
  <si>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</si>
  <si>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</si>
  <si>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</si>
  <si>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</si>
  <si>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</si>
  <si>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</si>
  <si>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</si>
  <si>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</si>
  <si>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</si>
  <si>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</si>
  <si>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</si>
  <si>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</si>
  <si>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</si>
  <si>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</si>
  <si>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</si>
  <si>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</si>
  <si>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</si>
  <si>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</si>
  <si>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</si>
  <si>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</si>
  <si>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</si>
  <si>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</si>
  <si>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</si>
  <si>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</si>
  <si>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</si>
  <si>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</si>
  <si>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</si>
  <si>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</si>
  <si>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</si>
  <si>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</si>
  <si>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</si>
  <si>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</si>
  <si>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</si>
  <si>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</si>
  <si>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</si>
  <si>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</si>
  <si>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</si>
  <si>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</si>
  <si>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</si>
  <si>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</si>
  <si>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</si>
  <si>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</si>
  <si>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</si>
  <si>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</si>
  <si>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</si>
  <si>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</si>
  <si>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</si>
  <si>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</si>
  <si>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</si>
  <si>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</si>
  <si>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</si>
  <si>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</si>
  <si>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</si>
  <si>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</si>
  <si>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</si>
  <si>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</si>
  <si>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</si>
  <si>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</si>
  <si>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</si>
  <si>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</si>
  <si>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</si>
  <si>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</si>
  <si>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</si>
  <si>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</si>
  <si>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</si>
  <si>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</si>
  <si>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</si>
  <si>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</si>
  <si>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</si>
  <si>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</si>
  <si>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</si>
  <si>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</si>
  <si>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</si>
  <si>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</si>
  <si>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</si>
  <si>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</si>
  <si>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</si>
  <si>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</si>
  <si>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</si>
  <si>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</si>
  <si>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</si>
  <si>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</si>
  <si>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</si>
  <si>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</si>
  <si>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</si>
  <si>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</si>
  <si>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</si>
  <si>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</si>
  <si>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</si>
  <si>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</si>
  <si>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</si>
  <si>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</si>
  <si>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</si>
  <si>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</si>
  <si>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</si>
  <si>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</si>
  <si>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</si>
  <si>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</si>
  <si>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</si>
  <si>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</si>
  <si>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</si>
  <si>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</si>
  <si>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</si>
  <si>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</si>
  <si>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</si>
  <si>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</si>
  <si>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</si>
  <si>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</si>
  <si>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</si>
  <si>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</si>
  <si>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</si>
  <si>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</si>
  <si>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是</t>
    <phoneticPr fontId="24" type="noConversion"/>
  </si>
  <si>
    <t>否</t>
    <phoneticPr fontId="24" type="noConversion"/>
  </si>
  <si>
    <t>项目模式</t>
  </si>
  <si>
    <t>收益法</t>
  </si>
  <si>
    <t>成本法</t>
  </si>
  <si>
    <t>假设开发法</t>
  </si>
  <si>
    <t>三期在建</t>
    <phoneticPr fontId="134" type="noConversion"/>
  </si>
  <si>
    <t>总价</t>
  </si>
  <si>
    <t>成本比率</t>
  </si>
  <si>
    <t>情况3</t>
  </si>
  <si>
    <t>自行开发建设</t>
  </si>
  <si>
    <t>非个人房产</t>
  </si>
  <si>
    <t>出让金+开发费</t>
  </si>
  <si>
    <t>地下车库</t>
    <phoneticPr fontId="8" type="noConversion"/>
  </si>
  <si>
    <t>合计</t>
    <phoneticPr fontId="134" type="noConversion"/>
  </si>
  <si>
    <t>序号</t>
    <phoneticPr fontId="134" type="noConversion"/>
  </si>
  <si>
    <t>预测绘报告房号</t>
    <phoneticPr fontId="134" type="noConversion"/>
  </si>
  <si>
    <t>规划建筑面积</t>
    <phoneticPr fontId="134" type="noConversion"/>
  </si>
  <si>
    <t>用途</t>
    <phoneticPr fontId="134" type="noConversion"/>
  </si>
  <si>
    <t>机械车库</t>
    <phoneticPr fontId="134" type="noConversion"/>
  </si>
  <si>
    <t>普通车库</t>
    <phoneticPr fontId="134" type="noConversion"/>
  </si>
  <si>
    <t>住宅用房</t>
    <phoneticPr fontId="134" type="noConversion"/>
  </si>
  <si>
    <t>小计</t>
    <phoneticPr fontId="134" type="noConversion"/>
  </si>
  <si>
    <t>小计</t>
    <phoneticPr fontId="134" type="noConversion"/>
  </si>
  <si>
    <t>合计</t>
    <phoneticPr fontId="134" type="noConversion"/>
  </si>
  <si>
    <t>——</t>
    <phoneticPr fontId="134" type="noConversion"/>
  </si>
  <si>
    <t>——</t>
    <phoneticPr fontId="134" type="noConversion"/>
  </si>
  <si>
    <t>总户数</t>
    <phoneticPr fontId="134" type="noConversion"/>
  </si>
  <si>
    <t>总车位数</t>
    <phoneticPr fontId="134" type="noConversion"/>
  </si>
  <si>
    <t>三期在建</t>
    <phoneticPr fontId="134" type="noConversion"/>
  </si>
  <si>
    <t>二期现房</t>
    <phoneticPr fontId="134" type="noConversion"/>
  </si>
  <si>
    <t>车位配比</t>
    <phoneticPr fontId="134" type="noConversion"/>
  </si>
  <si>
    <t>三期普通车位数</t>
    <phoneticPr fontId="134" type="noConversion"/>
  </si>
  <si>
    <t>三期机械车位数</t>
    <phoneticPr fontId="134" type="noConversion"/>
  </si>
  <si>
    <t>土地分摊报告数据测算</t>
    <phoneticPr fontId="134" type="noConversion"/>
  </si>
  <si>
    <t>全部面积</t>
    <phoneticPr fontId="134" type="noConversion"/>
  </si>
  <si>
    <t>减掉已售面积</t>
    <phoneticPr fontId="134" type="noConversion"/>
  </si>
  <si>
    <t>全部分摊土地面积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</si>
</sst>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family val="3"/>
      <charset val="134"/>
    </font>
    <font>
      <sz val="11"/>
      <name val="等线"/>
      <family val="3"/>
      <charset val="134"/>
    </font>
    <font>
      <sz val="10"/>
      <name val="华文细黑"/>
      <family val="3"/>
      <charset val="134"/>
    </font>
    <font>
      <sz val="12"/>
      <color theme="1"/>
      <name val="宋体"/>
      <family val="2"/>
      <scheme val="minor"/>
    </font>
    <font>
      <sz val="10"/>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5" fillId="0" borderId="0"/>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69" fillId="0" borderId="0" xfId="50" applyFont="1" applyAlignment="1">
      <alignment horizontal="left" vertical="center"/>
    </xf>
    <xf numFmtId="0" fontId="274" fillId="7" borderId="1" xfId="50" applyNumberFormat="1" applyFont="1" applyFill="1" applyBorder="1" applyAlignment="1">
      <alignment horizontal="left" vertical="center" wrapText="1"/>
    </xf>
    <xf numFmtId="0" fontId="276" fillId="7" borderId="1" xfId="50" applyNumberFormat="1" applyFont="1" applyFill="1" applyBorder="1" applyAlignment="1">
      <alignment horizontal="left" vertical="center"/>
    </xf>
    <xf numFmtId="2" fontId="276" fillId="7" borderId="1" xfId="50" applyNumberFormat="1" applyFont="1" applyFill="1" applyBorder="1" applyAlignment="1">
      <alignment horizontal="left" vertical="center"/>
    </xf>
    <xf numFmtId="0" fontId="269" fillId="0" borderId="1" xfId="0" applyFont="1" applyFill="1" applyBorder="1" applyAlignment="1">
      <alignment horizontal="left" vertical="center"/>
    </xf>
    <xf numFmtId="58" fontId="276"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51" fillId="9" borderId="6" xfId="0" applyNumberFormat="1" applyFont="1" applyFill="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horizontal="left" vertical="center"/>
      <protection locked="0"/>
    </xf>
    <xf numFmtId="181" fontId="44" fillId="7" borderId="1" xfId="0" applyNumberFormat="1" applyFont="1" applyFill="1" applyBorder="1" applyAlignment="1" applyProtection="1">
      <alignment vertical="center"/>
      <protection locked="0"/>
    </xf>
    <xf numFmtId="0" fontId="269" fillId="9" borderId="0" xfId="50" applyFont="1" applyFill="1" applyAlignment="1">
      <alignment horizontal="left" vertical="center"/>
    </xf>
    <xf numFmtId="10" fontId="47" fillId="0" borderId="1" xfId="0" applyNumberFormat="1" applyFont="1" applyBorder="1" applyProtection="1">
      <alignment vertical="center"/>
      <protection locked="0"/>
    </xf>
    <xf numFmtId="0" fontId="123" fillId="0" borderId="23" xfId="0" applyFont="1" applyBorder="1" applyAlignment="1" applyProtection="1">
      <alignment horizontal="center" vertical="center"/>
      <protection locked="0"/>
    </xf>
    <xf numFmtId="0" fontId="276" fillId="5" borderId="1" xfId="50" applyNumberFormat="1"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5" borderId="0" xfId="50" applyFont="1" applyFill="1" applyAlignment="1">
      <alignment horizontal="left" vertical="center"/>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18" Type="http://schemas.openxmlformats.org/officeDocument/2006/relationships/image" Target="../media/image62.png"/><Relationship Id="rId3" Type="http://schemas.openxmlformats.org/officeDocument/2006/relationships/image" Target="../media/image47.png"/><Relationship Id="rId7" Type="http://schemas.openxmlformats.org/officeDocument/2006/relationships/image" Target="../media/image51.png"/><Relationship Id="rId12" Type="http://schemas.openxmlformats.org/officeDocument/2006/relationships/image" Target="../media/image56.png"/><Relationship Id="rId17" Type="http://schemas.openxmlformats.org/officeDocument/2006/relationships/image" Target="../media/image61.png"/><Relationship Id="rId2" Type="http://schemas.openxmlformats.org/officeDocument/2006/relationships/image" Target="../media/image46.png"/><Relationship Id="rId16" Type="http://schemas.openxmlformats.org/officeDocument/2006/relationships/image" Target="../media/image60.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5" Type="http://schemas.openxmlformats.org/officeDocument/2006/relationships/image" Target="../media/image59.png"/><Relationship Id="rId10" Type="http://schemas.openxmlformats.org/officeDocument/2006/relationships/image" Target="../media/image54.png"/><Relationship Id="rId19" Type="http://schemas.openxmlformats.org/officeDocument/2006/relationships/image" Target="../media/image63.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107</xdr:row>
      <xdr:rowOff>0</xdr:rowOff>
    </xdr:from>
    <xdr:to>
      <xdr:col>26</xdr:col>
      <xdr:colOff>410633</xdr:colOff>
      <xdr:row>141</xdr:row>
      <xdr:rowOff>74083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83083" y="19251083"/>
          <a:ext cx="9353550" cy="6191250"/>
        </a:xfrm>
        <a:prstGeom prst="rect">
          <a:avLst/>
        </a:prstGeom>
      </xdr:spPr>
    </xdr:pic>
    <xdr:clientData/>
  </xdr:twoCellAnchor>
  <xdr:twoCellAnchor>
    <xdr:from>
      <xdr:col>21</xdr:col>
      <xdr:colOff>31750</xdr:colOff>
      <xdr:row>116</xdr:row>
      <xdr:rowOff>31750</xdr:rowOff>
    </xdr:from>
    <xdr:to>
      <xdr:col>21</xdr:col>
      <xdr:colOff>95250</xdr:colOff>
      <xdr:row>126</xdr:row>
      <xdr:rowOff>158750</xdr:rowOff>
    </xdr:to>
    <xdr:cxnSp macro="">
      <xdr:nvCxnSpPr>
        <xdr:cNvPr id="4" name="直接连接符 3"/>
        <xdr:cNvCxnSpPr/>
      </xdr:nvCxnSpPr>
      <xdr:spPr>
        <a:xfrm>
          <a:off x="14118167" y="20902083"/>
          <a:ext cx="63500" cy="1926167"/>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666750</xdr:colOff>
      <xdr:row>116</xdr:row>
      <xdr:rowOff>0</xdr:rowOff>
    </xdr:from>
    <xdr:to>
      <xdr:col>24</xdr:col>
      <xdr:colOff>10583</xdr:colOff>
      <xdr:row>127</xdr:row>
      <xdr:rowOff>21166</xdr:rowOff>
    </xdr:to>
    <xdr:cxnSp macro="">
      <xdr:nvCxnSpPr>
        <xdr:cNvPr id="9" name="直接连接符 8"/>
        <xdr:cNvCxnSpPr/>
      </xdr:nvCxnSpPr>
      <xdr:spPr>
        <a:xfrm>
          <a:off x="15441083" y="20870333"/>
          <a:ext cx="719667" cy="200025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74084</xdr:colOff>
      <xdr:row>126</xdr:row>
      <xdr:rowOff>148168</xdr:rowOff>
    </xdr:from>
    <xdr:to>
      <xdr:col>24</xdr:col>
      <xdr:colOff>21166</xdr:colOff>
      <xdr:row>127</xdr:row>
      <xdr:rowOff>0</xdr:rowOff>
    </xdr:to>
    <xdr:cxnSp macro="">
      <xdr:nvCxnSpPr>
        <xdr:cNvPr id="12" name="直接连接符 11"/>
        <xdr:cNvCxnSpPr/>
      </xdr:nvCxnSpPr>
      <xdr:spPr>
        <a:xfrm flipH="1" flipV="1">
          <a:off x="14160501" y="22817668"/>
          <a:ext cx="2010832" cy="31749"/>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1</xdr:colOff>
      <xdr:row>116</xdr:row>
      <xdr:rowOff>10584</xdr:rowOff>
    </xdr:from>
    <xdr:to>
      <xdr:col>22</xdr:col>
      <xdr:colOff>677334</xdr:colOff>
      <xdr:row>116</xdr:row>
      <xdr:rowOff>10584</xdr:rowOff>
    </xdr:to>
    <xdr:cxnSp macro="">
      <xdr:nvCxnSpPr>
        <xdr:cNvPr id="15" name="直接连接符 14"/>
        <xdr:cNvCxnSpPr/>
      </xdr:nvCxnSpPr>
      <xdr:spPr>
        <a:xfrm flipH="1">
          <a:off x="14086418" y="20880917"/>
          <a:ext cx="1365249" cy="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估价对象为北京市房地产，为所有。根据《国有土地使用证》[]，估价对象（分摊）出让国有建设用地使用权面积为17150.68平方米，建筑面积为43061.14平方米。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估价对象为北京市房地产,属开发建设的，该项目尚在开发建设中。根据《国有土地使用证》[]，估价对象（分摊）出让国有建设用地使用权面积为17150.68平方米，规划建筑面积为43061.14平方米。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94903</v>
      </c>
    </row>
    <row r="21" spans="1:2" s="1200" customFormat="1">
      <c r="A21" s="1198" t="s">
        <v>537</v>
      </c>
      <c r="B21" s="1199">
        <f ca="1">'预评函-2'!D7</f>
        <v>22039</v>
      </c>
    </row>
    <row r="22" spans="1:2" s="1200" customFormat="1">
      <c r="A22" s="1198" t="s">
        <v>538</v>
      </c>
      <c r="B22" s="1199" t="str">
        <f ca="1">'预评函-2'!D6</f>
        <v>玖亿肆仟玖佰零叁万元整</v>
      </c>
    </row>
    <row r="23" spans="1:2" s="1200" customFormat="1">
      <c r="A23" s="1198" t="s">
        <v>589</v>
      </c>
      <c r="B23" s="1199" t="str">
        <f>'预评函-2'!B8</f>
        <v>2.估价师知悉的法定优先受偿款</v>
      </c>
    </row>
    <row r="24" spans="1:2" s="1200" customFormat="1">
      <c r="A24" s="1198" t="s">
        <v>595</v>
      </c>
      <c r="B24" s="1199">
        <f>'预评函-2'!D8</f>
        <v>643</v>
      </c>
    </row>
    <row r="25" spans="1:2" s="1200" customFormat="1">
      <c r="A25" s="1198" t="s">
        <v>539</v>
      </c>
      <c r="B25" s="1199" t="str">
        <f>'预评函-2'!D9</f>
        <v>陆佰肆拾叁万元整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643</v>
      </c>
    </row>
    <row r="29" spans="1:2" s="1200" customFormat="1">
      <c r="A29" s="1198" t="s">
        <v>593</v>
      </c>
      <c r="B29" s="1199" t="str">
        <f>'预评函-2'!B13</f>
        <v>3.房地产抵押价值</v>
      </c>
    </row>
    <row r="30" spans="1:2" s="1200" customFormat="1">
      <c r="A30" s="1198" t="s">
        <v>594</v>
      </c>
      <c r="B30" s="1199">
        <f ca="1">'预评函-2'!D13</f>
        <v>94260</v>
      </c>
    </row>
    <row r="31" spans="1:2" s="1200" customFormat="1">
      <c r="A31" s="1198" t="s">
        <v>576</v>
      </c>
      <c r="B31" s="1199">
        <f ca="1">'预评函-2'!D15</f>
        <v>21890</v>
      </c>
    </row>
    <row r="32" spans="1:2" s="1200" customFormat="1">
      <c r="A32" s="1198" t="s">
        <v>543</v>
      </c>
      <c r="B32" s="1199" t="str">
        <f ca="1">'预评函-2'!D14</f>
        <v>玖亿肆仟贰佰陆拾万元整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89276</v>
      </c>
    </row>
    <row r="39" spans="1:2" s="1200" customFormat="1">
      <c r="A39" s="1198" t="s">
        <v>545</v>
      </c>
      <c r="B39" s="1199">
        <f ca="1">'预评函-2'!D21</f>
        <v>20732</v>
      </c>
    </row>
    <row r="40" spans="1:2" s="1200" customFormat="1">
      <c r="A40" s="1198" t="s">
        <v>546</v>
      </c>
      <c r="B40" s="1199" t="str">
        <f ca="1">'预评函-2'!D20</f>
        <v>捌亿玖仟贰佰柒拾陆万元整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43061.14</v>
      </c>
    </row>
    <row r="44" spans="1:2" s="1200" customFormat="1">
      <c r="A44" s="1198" t="s">
        <v>575</v>
      </c>
      <c r="B44" s="1199" t="str">
        <f>'预评函-3'!C2</f>
        <v>(分摊)土地面积</v>
      </c>
    </row>
    <row r="45" spans="1:2" s="1200" customFormat="1">
      <c r="A45" s="1198" t="s">
        <v>547</v>
      </c>
      <c r="B45" s="1199">
        <f>'预评函-3'!C4</f>
        <v>17150.68</v>
      </c>
    </row>
    <row r="46" spans="1:2" s="1200" customFormat="1">
      <c r="A46" s="1198" t="s">
        <v>573</v>
      </c>
      <c r="B46" s="1199" t="str">
        <f>'预评函-3'!D2</f>
        <v>出让国有建设用地使用权价值</v>
      </c>
    </row>
    <row r="47" spans="1:2" s="1200" customFormat="1">
      <c r="A47" s="1198" t="s">
        <v>548</v>
      </c>
      <c r="B47" s="1199">
        <f ca="1">'预评函-3'!D4</f>
        <v>83325</v>
      </c>
    </row>
    <row r="48" spans="1:2" s="1200" customFormat="1">
      <c r="A48" s="1198" t="s">
        <v>549</v>
      </c>
      <c r="B48" s="1199">
        <f ca="1">'预评函-3'!E4</f>
        <v>19350</v>
      </c>
    </row>
    <row r="49" spans="1:2" s="1200" customFormat="1">
      <c r="A49" s="1198" t="s">
        <v>550</v>
      </c>
      <c r="B49" s="1199" t="str">
        <f ca="1">'预评函-3'!D5</f>
        <v>捌亿叁仟叁佰贰拾伍万元整</v>
      </c>
    </row>
    <row r="50" spans="1:2" s="1200" customFormat="1">
      <c r="A50" s="1198" t="s">
        <v>574</v>
      </c>
      <c r="B50" s="1199" t="str">
        <f>'预评函-3'!F2</f>
        <v>在建建筑物价值</v>
      </c>
    </row>
    <row r="51" spans="1:2" s="1200" customFormat="1">
      <c r="A51" s="1198" t="s">
        <v>551</v>
      </c>
      <c r="B51" s="1199">
        <f ca="1">'预评函-3'!F4</f>
        <v>11578</v>
      </c>
    </row>
    <row r="52" spans="1:2" s="1200" customFormat="1">
      <c r="A52" s="1198" t="s">
        <v>552</v>
      </c>
      <c r="B52" s="1199">
        <f ca="1">'预评函-3'!G4</f>
        <v>2689</v>
      </c>
    </row>
    <row r="53" spans="1:2" s="1200" customFormat="1">
      <c r="A53" s="1198" t="s">
        <v>580</v>
      </c>
      <c r="B53" s="1199" t="str">
        <f ca="1">'预评函-3'!F5</f>
        <v>壹亿壹仟伍佰柒拾捌万元整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故，本次评估估价师知悉的法定优先受偿款为人民币643万元整。</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3606</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1" t="s">
        <v>385</v>
      </c>
      <c r="C54" s="1548" t="s">
        <v>583</v>
      </c>
    </row>
    <row r="55" spans="1:4">
      <c r="A55" s="3541"/>
      <c r="B55" s="1551" t="s">
        <v>386</v>
      </c>
      <c r="C55" s="1548" t="s">
        <v>584</v>
      </c>
    </row>
    <row r="56" spans="1:4">
      <c r="A56" s="3541"/>
      <c r="B56" s="1551" t="s">
        <v>387</v>
      </c>
      <c r="C56" s="1548" t="s">
        <v>588</v>
      </c>
    </row>
    <row r="57" spans="1:4">
      <c r="A57" s="354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2" t="s">
        <v>2581</v>
      </c>
      <c r="J2" s="3542"/>
      <c r="K2" s="3542"/>
      <c r="L2" s="3542"/>
      <c r="M2" s="3542"/>
      <c r="N2" s="3542"/>
      <c r="O2" s="3542"/>
      <c r="P2" s="3542"/>
      <c r="Q2" s="3542"/>
      <c r="R2" s="3542"/>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6" sqref="F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54"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55"/>
      <c r="E9" s="2389" t="s">
        <v>587</v>
      </c>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61"/>
      <c r="C16" s="3562"/>
      <c r="D16" s="3563"/>
      <c r="E16" s="2408" t="s">
        <v>2191</v>
      </c>
      <c r="F16" s="3564"/>
      <c r="G16" s="3565"/>
      <c r="H16" s="3565"/>
      <c r="I16" s="3566"/>
      <c r="J16" s="2434"/>
      <c r="K16" s="2612"/>
      <c r="L16" s="2446"/>
      <c r="M16" s="2446"/>
      <c r="N16" s="2504"/>
      <c r="O16" s="2446"/>
      <c r="P16" s="2504"/>
      <c r="Q16" s="2434"/>
      <c r="R16" s="2434"/>
    </row>
    <row r="17" spans="1:28">
      <c r="A17" s="313" t="s">
        <v>2192</v>
      </c>
      <c r="B17" s="302" t="s">
        <v>2193</v>
      </c>
      <c r="C17" s="8">
        <f>'数据-汇总表'!E3</f>
        <v>43061.14</v>
      </c>
      <c r="D17" s="2317" t="s">
        <v>2194</v>
      </c>
      <c r="E17" s="3567" t="s">
        <v>2195</v>
      </c>
      <c r="F17" s="3568"/>
      <c r="G17" s="3568"/>
      <c r="H17" s="3568"/>
      <c r="I17" s="3569"/>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17150.68</v>
      </c>
      <c r="D18" s="1090" t="s">
        <v>2198</v>
      </c>
      <c r="E18" s="3570" t="s">
        <v>2199</v>
      </c>
      <c r="F18" s="3571"/>
      <c r="G18" s="3571"/>
      <c r="H18" s="3571"/>
      <c r="I18" s="3572"/>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57" t="s">
        <v>2203</v>
      </c>
      <c r="C20" s="3558"/>
      <c r="D20" s="3559" t="s">
        <v>2204</v>
      </c>
      <c r="E20" s="3560"/>
      <c r="F20" s="2642" t="s">
        <v>1054</v>
      </c>
      <c r="G20" s="2659"/>
      <c r="H20" s="2659"/>
      <c r="I20" s="2659"/>
      <c r="J20" s="2434"/>
      <c r="K20" s="3556"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5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5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44"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44"/>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44"/>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45"/>
      <c r="B30" s="302" t="s">
        <v>2215</v>
      </c>
      <c r="C30" s="3546"/>
      <c r="D30" s="3547"/>
      <c r="E30" s="2659"/>
      <c r="F30" s="2659"/>
      <c r="G30" s="2659"/>
      <c r="H30" s="2659"/>
      <c r="I30" s="2659"/>
      <c r="J30" s="2434"/>
      <c r="K30" s="2611"/>
      <c r="L30" s="2608"/>
      <c r="M30" s="2608"/>
      <c r="N30" s="2434"/>
      <c r="O30" s="2445"/>
      <c r="P30" s="2434"/>
      <c r="Q30" s="2434"/>
      <c r="R30" s="2434"/>
      <c r="S30" s="2434"/>
      <c r="T30" s="2434"/>
      <c r="U30" s="2434"/>
      <c r="V30" s="2434"/>
    </row>
    <row r="31" spans="1:28">
      <c r="A31" s="3548"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49"/>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49"/>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43" t="s">
        <v>2225</v>
      </c>
      <c r="T34" s="2423" t="str">
        <f>NUMBERSTRING(7-K34,1)&amp;"通"</f>
        <v>七通</v>
      </c>
      <c r="U34" s="2434"/>
      <c r="V34" s="2434"/>
    </row>
    <row r="35" spans="1:30">
      <c r="A35" s="2424"/>
      <c r="B35" s="3550" t="s">
        <v>2226</v>
      </c>
      <c r="C35" s="3550"/>
      <c r="D35" s="3550"/>
      <c r="E35" s="3550"/>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三期清单!J52</f>
        <v>17150.68</v>
      </c>
      <c r="B3" s="11">
        <f>IF(C3="否",G5-AT5,G5)</f>
        <v>43061.14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43061.14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43061.14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17150.68</v>
      </c>
      <c r="F6" s="13" t="s">
        <v>0</v>
      </c>
      <c r="G6" s="13" t="s">
        <v>1</v>
      </c>
      <c r="H6" s="17">
        <f>SUMIF(I$12:AB$12,"总值",I6:AB6)</f>
        <v>17150.68</v>
      </c>
      <c r="I6" s="13">
        <f t="shared" ref="I6:AB6" si="2">ROUND($A$3*I5/$B$3,2)</f>
        <v>13694.47</v>
      </c>
      <c r="J6" s="13">
        <f t="shared" si="2"/>
        <v>0</v>
      </c>
      <c r="K6" s="13">
        <f t="shared" si="2"/>
        <v>3456.21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17150.68</v>
      </c>
      <c r="AZ6" s="13" t="s">
        <v>2</v>
      </c>
      <c r="BA6" s="13">
        <f>ROUND($AY$6*BA5/$AZ$5,2)</f>
        <v>17150.68</v>
      </c>
      <c r="BB6" s="13">
        <f>ROUND($AY$6*BB5/$AZ$5,2)</f>
        <v>13694.47</v>
      </c>
      <c r="BC6" s="13">
        <f t="shared" ref="BC6:BH6" si="4">ROUND($AY$6*BC5/$AZ$5,2)</f>
        <v>3456.21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3384</v>
      </c>
      <c r="J9" s="808"/>
      <c r="K9" s="1600" t="s">
        <v>3386</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3385</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3383</v>
      </c>
      <c r="E13" s="13">
        <f>IF($C$3="是",ROUND($A$3*G13/$B$3,2),ROUND($A$3*(G13-AT13)/$B$3,2))</f>
        <v>17150.68</v>
      </c>
      <c r="F13" s="29"/>
      <c r="G13" s="30">
        <f>H13+AC13+AT13</f>
        <v>43061.14</v>
      </c>
      <c r="H13" s="17">
        <f>SUMIF(I$12:AB$12,"总值",I13:AB13)</f>
        <v>43061.14</v>
      </c>
      <c r="I13" s="1623">
        <f>三期清单!K35</f>
        <v>34383.439999999995</v>
      </c>
      <c r="J13" s="1623"/>
      <c r="K13" s="1623">
        <f>三期清单!N34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17150.68</v>
      </c>
      <c r="AZ13" s="13">
        <f>BA13+BL13</f>
        <v>43061.14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5" sqref="M4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2" t="s">
        <v>1129</v>
      </c>
      <c r="B2" s="3582"/>
      <c r="C2" s="3582"/>
      <c r="D2" s="795" t="s">
        <v>1105</v>
      </c>
      <c r="E2" s="1636" t="s">
        <v>1106</v>
      </c>
      <c r="F2" s="2654"/>
      <c r="G2" s="2645"/>
      <c r="H2" s="2646"/>
      <c r="I2" s="2320" t="s">
        <v>1130</v>
      </c>
      <c r="J2" s="2654"/>
      <c r="K2" s="2654"/>
      <c r="L2" s="2654"/>
      <c r="M2" s="2654"/>
      <c r="N2" s="2656"/>
      <c r="O2" s="2654"/>
      <c r="P2" s="2654"/>
    </row>
    <row r="3" spans="1:16" ht="15.75" thickBot="1">
      <c r="A3" s="3583" t="s">
        <v>1103</v>
      </c>
      <c r="B3" s="3583"/>
      <c r="C3" s="3583"/>
      <c r="D3" s="43">
        <f>'数据-基础表'!AY6</f>
        <v>17150.68</v>
      </c>
      <c r="E3" s="43">
        <f>'数据-基础表'!AZ5</f>
        <v>43061.14</v>
      </c>
      <c r="F3" s="2654"/>
      <c r="G3" s="1143"/>
      <c r="H3" s="1024" t="s">
        <v>1104</v>
      </c>
      <c r="I3" s="854">
        <f>ROUND('数据-基础表'!B3/'数据-基础表'!A3,2)</f>
        <v>2.5099999999999998</v>
      </c>
      <c r="J3" s="2654"/>
      <c r="K3" s="2654"/>
      <c r="L3" s="2654"/>
      <c r="M3" s="2654"/>
      <c r="N3" s="2656"/>
      <c r="O3" s="2654"/>
      <c r="P3" s="2654"/>
    </row>
    <row r="4" spans="1:16" ht="15">
      <c r="A4" s="3584"/>
      <c r="B4" s="3585"/>
      <c r="C4" s="3586"/>
      <c r="D4" s="1638" t="s">
        <v>1105</v>
      </c>
      <c r="E4" s="1639" t="s">
        <v>1106</v>
      </c>
      <c r="F4" s="2654"/>
      <c r="G4" s="2647" t="s">
        <v>1131</v>
      </c>
      <c r="H4" s="1024" t="s">
        <v>1111</v>
      </c>
      <c r="I4" s="854">
        <f>ROUND(SUMIF('数据-基础表'!I9:AS9,"地上",'数据-基础表'!I5:AS5)/'数据-基础表'!A3,2)</f>
        <v>2</v>
      </c>
      <c r="J4" s="2654"/>
      <c r="K4" s="2654"/>
      <c r="L4" s="2654"/>
      <c r="M4" s="2654"/>
      <c r="N4" s="2656"/>
      <c r="O4" s="2654"/>
      <c r="P4" s="2654"/>
    </row>
    <row r="5" spans="1:16">
      <c r="A5" s="44" t="s">
        <v>1107</v>
      </c>
      <c r="B5" s="3587" t="s">
        <v>1108</v>
      </c>
      <c r="C5" s="3587"/>
      <c r="D5" s="45">
        <f>ROUND($D$3*E5/$E$3,2)</f>
        <v>13694.47</v>
      </c>
      <c r="E5" s="46">
        <f>SUMIF('数据-基础表'!$11:$11,"住宅",'数据-基础表'!$5:$5)</f>
        <v>34383.439999999995</v>
      </c>
      <c r="F5" s="2654"/>
      <c r="G5" s="1143"/>
      <c r="H5" s="1024" t="s">
        <v>1104</v>
      </c>
      <c r="I5" s="854">
        <f>ROUND(E31/D31,2)</f>
        <v>2.5099999999999998</v>
      </c>
      <c r="J5" s="2654"/>
      <c r="K5" s="2654"/>
      <c r="L5" s="2654"/>
      <c r="M5" s="2654"/>
      <c r="N5" s="2654"/>
      <c r="O5" s="2654"/>
      <c r="P5" s="2654"/>
    </row>
    <row r="6" spans="1:16" ht="15" thickBot="1">
      <c r="A6" s="1641"/>
      <c r="B6" s="3587" t="s">
        <v>1109</v>
      </c>
      <c r="C6" s="3587"/>
      <c r="D6" s="45">
        <f>ROUND($D$3*E6/$E$3,2)</f>
        <v>3456.21</v>
      </c>
      <c r="E6" s="46">
        <f>E3-E5</f>
        <v>8677.7000000000044</v>
      </c>
      <c r="F6" s="2654"/>
      <c r="G6" s="2648" t="s">
        <v>1110</v>
      </c>
      <c r="H6" s="1144" t="s">
        <v>1111</v>
      </c>
      <c r="I6" s="2649">
        <f>ROUND(F31/D31,2)</f>
        <v>2</v>
      </c>
      <c r="J6" s="2654"/>
      <c r="K6" s="2654"/>
      <c r="L6" s="2654"/>
      <c r="M6" s="2654"/>
      <c r="N6" s="2654"/>
      <c r="O6" s="2654"/>
      <c r="P6" s="2654"/>
    </row>
    <row r="7" spans="1:16" ht="15.75" thickBot="1">
      <c r="A7" s="3579"/>
      <c r="B7" s="3580"/>
      <c r="C7" s="3581"/>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13694.47</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3456.21</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17150.68</v>
      </c>
      <c r="E16" s="50">
        <f>SUM(E8:E15)</f>
        <v>43061.14</v>
      </c>
      <c r="F16" s="2654"/>
      <c r="G16" s="2655"/>
      <c r="H16" s="1645" t="s">
        <v>1133</v>
      </c>
      <c r="I16" s="1646"/>
      <c r="J16" s="1137"/>
      <c r="K16" s="3576" t="s">
        <v>1133</v>
      </c>
      <c r="L16" s="3577"/>
      <c r="M16" s="3577"/>
      <c r="N16" s="3577"/>
      <c r="O16" s="3577"/>
      <c r="P16" s="3578"/>
    </row>
    <row r="17" spans="1:19" ht="15">
      <c r="A17" s="1647" t="s">
        <v>1134</v>
      </c>
      <c r="B17" s="1648" t="s">
        <v>1135</v>
      </c>
      <c r="C17" s="1649" t="s">
        <v>1136</v>
      </c>
      <c r="D17" s="1650" t="s">
        <v>1124</v>
      </c>
      <c r="E17" s="1651" t="s">
        <v>1125</v>
      </c>
      <c r="F17" s="1652"/>
      <c r="G17" s="1653"/>
      <c r="H17" s="1654" t="s">
        <v>1137</v>
      </c>
      <c r="I17" s="1655" t="s">
        <v>1122</v>
      </c>
      <c r="J17" s="1137"/>
      <c r="K17" s="3573" t="s">
        <v>1138</v>
      </c>
      <c r="L17" s="3574"/>
      <c r="M17" s="3575"/>
      <c r="N17" s="3573" t="s">
        <v>1139</v>
      </c>
      <c r="O17" s="3574"/>
      <c r="P17" s="3575"/>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3389</v>
      </c>
      <c r="D19" s="45">
        <f>ROUND($D$3*E19/$E$3,2)</f>
        <v>13694.47</v>
      </c>
      <c r="E19" s="53">
        <f t="shared" ref="E19:E26" si="1">SUM(F19:G19)</f>
        <v>34383.439999999995</v>
      </c>
      <c r="F19" s="2790">
        <f>'数据-基础表'!I13</f>
        <v>34383.439999999995</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13694.47</v>
      </c>
      <c r="S19" s="1025">
        <f t="shared" si="5"/>
        <v>34383.439999999995</v>
      </c>
    </row>
    <row r="20" spans="1:19">
      <c r="A20" s="1667"/>
      <c r="B20" s="47" t="s">
        <v>1151</v>
      </c>
      <c r="C20" s="3412" t="s">
        <v>3390</v>
      </c>
      <c r="D20" s="45">
        <f t="shared" ref="D20:D26" si="6">ROUND($D$3*E20/$E$3,2)</f>
        <v>3456.21</v>
      </c>
      <c r="E20" s="53">
        <f t="shared" si="1"/>
        <v>8677.7000000000007</v>
      </c>
      <c r="F20" s="2790"/>
      <c r="G20" s="2791">
        <f>'数据-基础表'!K13</f>
        <v>8677.7000000000007</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3456.21</v>
      </c>
      <c r="S20" s="1025">
        <f t="shared" si="5"/>
        <v>8677.7000000000007</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17150.68</v>
      </c>
      <c r="E27" s="1139">
        <f>IF(SUM(E19:E26)='数据-基础表'!BA5,SUM(E19:E26),IF(F27="地上面积有误","面积有误","地下面积有误"))</f>
        <v>43061.14</v>
      </c>
      <c r="F27" s="1138">
        <f>IF(SUM(F19:F26)=E8,SUM(F19:F26),"地上面积有误")</f>
        <v>34383.439999999995</v>
      </c>
      <c r="G27" s="1140">
        <f>SUM(G19:G26)</f>
        <v>8677.7000000000007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17150.68</v>
      </c>
      <c r="S27" s="1024">
        <f>IF(SUM(S19:S26)=$E$3,SUM(S19:S26),SUM(S19:S26)&amp;"误差"&amp;ROUND(SUM(S19:S26)-E3,2))</f>
        <v>43061.14</v>
      </c>
    </row>
    <row r="28" spans="1:19">
      <c r="A28" s="1667"/>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1156</v>
      </c>
      <c r="D31" s="675">
        <f>D27+D30</f>
        <v>17150.68</v>
      </c>
      <c r="E31" s="675">
        <f>E27+E30</f>
        <v>43061.14</v>
      </c>
      <c r="F31" s="676">
        <f>F27+F30</f>
        <v>34383.439999999995</v>
      </c>
      <c r="G31" s="677">
        <f>G27+G30</f>
        <v>8677.7000000000007</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A505"/>
  <sheetViews>
    <sheetView tabSelected="1" topLeftCell="A32" zoomScaleNormal="100" workbookViewId="0">
      <selection activeCell="H47" sqref="H47"/>
    </sheetView>
  </sheetViews>
  <sheetFormatPr defaultColWidth="9" defaultRowHeight="14.25"/>
  <cols>
    <col min="1" max="1" width="9" style="3480"/>
    <col min="2" max="2" width="11.375" style="3480" customWidth="1"/>
    <col min="3" max="3" width="9" style="3480" customWidth="1"/>
    <col min="4" max="5" width="9" style="3480"/>
    <col min="6" max="6" width="9" style="3480" customWidth="1"/>
    <col min="7" max="8" width="9" style="3480"/>
    <col min="9" max="9" width="11" style="3480" customWidth="1"/>
    <col min="10" max="12" width="9" style="3480"/>
    <col min="13" max="13" width="0" style="3480" hidden="1" customWidth="1"/>
    <col min="14" max="16384" width="9" style="3480"/>
  </cols>
  <sheetData>
    <row r="1" spans="1:22">
      <c r="A1" s="3486" t="s">
        <v>4091</v>
      </c>
      <c r="B1" s="3486" t="s">
        <v>4092</v>
      </c>
      <c r="C1" s="3486" t="s">
        <v>4093</v>
      </c>
      <c r="D1" s="3486" t="s">
        <v>4094</v>
      </c>
      <c r="E1" s="3486">
        <f ca="1">ROUND(假设开发法!C8/假设开发法!C4*三期清单!F1,0)</f>
        <v>92685</v>
      </c>
      <c r="F1" s="3486">
        <f ca="1">结果表!G19</f>
        <v>94903</v>
      </c>
      <c r="S1" s="3486" t="s">
        <v>4091</v>
      </c>
      <c r="T1" s="3486" t="s">
        <v>4092</v>
      </c>
      <c r="U1" s="3486" t="s">
        <v>4093</v>
      </c>
      <c r="V1" s="3486" t="s">
        <v>4094</v>
      </c>
    </row>
    <row r="2" spans="1:22">
      <c r="A2" s="3481">
        <v>1</v>
      </c>
      <c r="B2" s="3482" t="s">
        <v>3615</v>
      </c>
      <c r="C2" s="3482">
        <v>86.91</v>
      </c>
      <c r="D2" s="3486" t="s">
        <v>4097</v>
      </c>
      <c r="E2" s="3486">
        <f t="shared" ref="E2:E65" ca="1" si="0">ROUND(C2*$F$2/10000,0)</f>
        <v>234</v>
      </c>
      <c r="F2" s="3486">
        <f ca="1">ROUND(E1*10000/C413,0)</f>
        <v>26956</v>
      </c>
      <c r="S2" s="3486">
        <v>1</v>
      </c>
      <c r="T2" s="3486">
        <v>150</v>
      </c>
      <c r="U2" s="3486">
        <v>27.66</v>
      </c>
      <c r="V2" s="3486" t="s">
        <v>4096</v>
      </c>
    </row>
    <row r="3" spans="1:22">
      <c r="A3" s="3481">
        <v>2</v>
      </c>
      <c r="B3" s="3482" t="s">
        <v>3616</v>
      </c>
      <c r="C3" s="3482">
        <v>82.96</v>
      </c>
      <c r="D3" s="3486" t="s">
        <v>4097</v>
      </c>
      <c r="E3" s="3486">
        <f t="shared" ca="1" si="0"/>
        <v>224</v>
      </c>
      <c r="F3" s="3486"/>
      <c r="I3" s="3464" t="s">
        <v>4046</v>
      </c>
      <c r="J3" s="3464"/>
      <c r="K3" s="3464"/>
      <c r="L3" s="3464"/>
      <c r="M3" s="3464"/>
      <c r="N3" s="3464"/>
      <c r="O3" s="3464"/>
      <c r="P3" s="3464"/>
      <c r="S3" s="3486">
        <v>2</v>
      </c>
      <c r="T3" s="3486">
        <v>151</v>
      </c>
      <c r="U3" s="3486">
        <v>27.66</v>
      </c>
      <c r="V3" s="3486" t="s">
        <v>4096</v>
      </c>
    </row>
    <row r="4" spans="1:22">
      <c r="A4" s="3481">
        <v>3</v>
      </c>
      <c r="B4" s="3482" t="s">
        <v>3617</v>
      </c>
      <c r="C4" s="3482">
        <v>86.91</v>
      </c>
      <c r="D4" s="3486" t="s">
        <v>4097</v>
      </c>
      <c r="E4" s="3486">
        <f t="shared" ca="1" si="0"/>
        <v>234</v>
      </c>
      <c r="F4" s="3486"/>
      <c r="I4" s="3484" t="s">
        <v>4026</v>
      </c>
      <c r="J4" s="3484" t="s">
        <v>4027</v>
      </c>
      <c r="K4" s="3484" t="s">
        <v>2593</v>
      </c>
      <c r="L4" s="3484" t="s">
        <v>2553</v>
      </c>
      <c r="M4" s="3484" t="s">
        <v>4028</v>
      </c>
      <c r="N4" s="3484" t="s">
        <v>3388</v>
      </c>
      <c r="O4" s="3484" t="s">
        <v>4029</v>
      </c>
      <c r="P4" s="3464" t="s">
        <v>4045</v>
      </c>
      <c r="S4" s="3486">
        <v>3</v>
      </c>
      <c r="T4" s="3486">
        <v>152</v>
      </c>
      <c r="U4" s="3486">
        <v>27.66</v>
      </c>
      <c r="V4" s="3486" t="s">
        <v>4096</v>
      </c>
    </row>
    <row r="5" spans="1:22">
      <c r="A5" s="3481">
        <v>4</v>
      </c>
      <c r="B5" s="3482" t="s">
        <v>3618</v>
      </c>
      <c r="C5" s="3482">
        <v>82.96</v>
      </c>
      <c r="D5" s="3486" t="s">
        <v>4097</v>
      </c>
      <c r="E5" s="3486">
        <f t="shared" ca="1" si="0"/>
        <v>224</v>
      </c>
      <c r="F5" s="3486"/>
      <c r="I5" s="3484" t="s">
        <v>4030</v>
      </c>
      <c r="J5" s="3484" t="s">
        <v>4031</v>
      </c>
      <c r="K5" s="3484">
        <f>L5+M5+N5+O5</f>
        <v>4178.6900000000005</v>
      </c>
      <c r="L5" s="3484">
        <v>3464.88</v>
      </c>
      <c r="M5" s="3484"/>
      <c r="N5" s="3484"/>
      <c r="O5" s="3484">
        <v>713.81</v>
      </c>
      <c r="P5" s="3464">
        <v>10</v>
      </c>
      <c r="S5" s="3486">
        <v>4</v>
      </c>
      <c r="T5" s="3486">
        <v>153</v>
      </c>
      <c r="U5" s="3486">
        <v>20.57</v>
      </c>
      <c r="V5" s="3486" t="s">
        <v>4096</v>
      </c>
    </row>
    <row r="6" spans="1:22">
      <c r="A6" s="3481">
        <v>5</v>
      </c>
      <c r="B6" s="3482" t="s">
        <v>3619</v>
      </c>
      <c r="C6" s="3482">
        <v>86.91</v>
      </c>
      <c r="D6" s="3486" t="s">
        <v>4097</v>
      </c>
      <c r="E6" s="3486">
        <f t="shared" ca="1" si="0"/>
        <v>234</v>
      </c>
      <c r="F6" s="3486"/>
      <c r="I6" s="3484" t="s">
        <v>4032</v>
      </c>
      <c r="J6" s="3484" t="s">
        <v>4031</v>
      </c>
      <c r="K6" s="3484">
        <f t="shared" ref="K6:K13" si="1">L6+M6+N6+O6</f>
        <v>4577.1499999999996</v>
      </c>
      <c r="L6" s="3484">
        <v>3887.6</v>
      </c>
      <c r="M6" s="3484"/>
      <c r="N6" s="3484"/>
      <c r="O6" s="3484">
        <v>689.55</v>
      </c>
      <c r="P6" s="3464">
        <v>11</v>
      </c>
      <c r="S6" s="3486">
        <v>5</v>
      </c>
      <c r="T6" s="3486">
        <v>154</v>
      </c>
      <c r="U6" s="3486">
        <v>26.62</v>
      </c>
      <c r="V6" s="3486" t="s">
        <v>4096</v>
      </c>
    </row>
    <row r="7" spans="1:22">
      <c r="A7" s="3481">
        <v>6</v>
      </c>
      <c r="B7" s="3482" t="s">
        <v>3620</v>
      </c>
      <c r="C7" s="3482">
        <v>82.96</v>
      </c>
      <c r="D7" s="3486" t="s">
        <v>4097</v>
      </c>
      <c r="E7" s="3486">
        <f t="shared" ca="1" si="0"/>
        <v>224</v>
      </c>
      <c r="F7" s="3486"/>
      <c r="I7" s="3484" t="s">
        <v>4033</v>
      </c>
      <c r="J7" s="3484" t="s">
        <v>4031</v>
      </c>
      <c r="K7" s="3484">
        <f t="shared" si="1"/>
        <v>4000.51</v>
      </c>
      <c r="L7" s="3484">
        <v>3309.76</v>
      </c>
      <c r="M7" s="3484"/>
      <c r="N7" s="3484"/>
      <c r="O7" s="3484">
        <v>690.75</v>
      </c>
      <c r="P7" s="3464">
        <v>10</v>
      </c>
      <c r="S7" s="3486">
        <v>6</v>
      </c>
      <c r="T7" s="3486">
        <v>155</v>
      </c>
      <c r="U7" s="3486">
        <v>26.62</v>
      </c>
      <c r="V7" s="3486" t="s">
        <v>4096</v>
      </c>
    </row>
    <row r="8" spans="1:22">
      <c r="A8" s="3481">
        <v>7</v>
      </c>
      <c r="B8" s="3482" t="s">
        <v>3621</v>
      </c>
      <c r="C8" s="3482">
        <v>86.91</v>
      </c>
      <c r="D8" s="3486" t="s">
        <v>4097</v>
      </c>
      <c r="E8" s="3486">
        <f t="shared" ca="1" si="0"/>
        <v>234</v>
      </c>
      <c r="F8" s="3486"/>
      <c r="I8" s="3484" t="s">
        <v>4034</v>
      </c>
      <c r="J8" s="3484" t="s">
        <v>4031</v>
      </c>
      <c r="K8" s="3484">
        <f t="shared" si="1"/>
        <v>5069.83</v>
      </c>
      <c r="L8" s="3484">
        <v>4257.97</v>
      </c>
      <c r="M8" s="3484"/>
      <c r="N8" s="3484"/>
      <c r="O8" s="3484">
        <v>811.86</v>
      </c>
      <c r="P8" s="3464">
        <v>11</v>
      </c>
      <c r="S8" s="3486">
        <v>7</v>
      </c>
      <c r="T8" s="3486">
        <v>156</v>
      </c>
      <c r="U8" s="3486">
        <v>26.62</v>
      </c>
      <c r="V8" s="3486" t="s">
        <v>4096</v>
      </c>
    </row>
    <row r="9" spans="1:22">
      <c r="A9" s="3481">
        <v>8</v>
      </c>
      <c r="B9" s="3482" t="s">
        <v>3622</v>
      </c>
      <c r="C9" s="3482">
        <v>82.96</v>
      </c>
      <c r="D9" s="3486" t="s">
        <v>4097</v>
      </c>
      <c r="E9" s="3486">
        <f t="shared" ca="1" si="0"/>
        <v>224</v>
      </c>
      <c r="F9" s="3486"/>
      <c r="I9" s="3484" t="s">
        <v>4035</v>
      </c>
      <c r="J9" s="3484" t="s">
        <v>4031</v>
      </c>
      <c r="K9" s="3484">
        <f t="shared" si="1"/>
        <v>4023.61</v>
      </c>
      <c r="L9" s="3484">
        <v>3348.96</v>
      </c>
      <c r="M9" s="3484"/>
      <c r="N9" s="3484"/>
      <c r="O9" s="3484">
        <v>674.65</v>
      </c>
      <c r="P9" s="3464">
        <v>10</v>
      </c>
      <c r="S9" s="3486">
        <v>8</v>
      </c>
      <c r="T9" s="3486">
        <v>157</v>
      </c>
      <c r="U9" s="3486">
        <v>26.62</v>
      </c>
      <c r="V9" s="3486" t="s">
        <v>4096</v>
      </c>
    </row>
    <row r="10" spans="1:22">
      <c r="A10" s="3481">
        <v>9</v>
      </c>
      <c r="B10" s="3482" t="s">
        <v>3623</v>
      </c>
      <c r="C10" s="3482">
        <v>86.91</v>
      </c>
      <c r="D10" s="3486" t="s">
        <v>4097</v>
      </c>
      <c r="E10" s="3486">
        <f t="shared" ca="1" si="0"/>
        <v>234</v>
      </c>
      <c r="F10" s="3486"/>
      <c r="I10" s="3484" t="s">
        <v>4036</v>
      </c>
      <c r="J10" s="3484" t="s">
        <v>4031</v>
      </c>
      <c r="K10" s="3484">
        <f t="shared" si="1"/>
        <v>8599.619999999999</v>
      </c>
      <c r="L10" s="3484">
        <v>7263.7</v>
      </c>
      <c r="M10" s="3484"/>
      <c r="N10" s="3484"/>
      <c r="O10" s="3484">
        <v>1335.92</v>
      </c>
      <c r="P10" s="3464">
        <v>11</v>
      </c>
      <c r="S10" s="3486">
        <v>9</v>
      </c>
      <c r="T10" s="3486">
        <v>158</v>
      </c>
      <c r="U10" s="3486">
        <v>26.62</v>
      </c>
      <c r="V10" s="3486" t="s">
        <v>4096</v>
      </c>
    </row>
    <row r="11" spans="1:22">
      <c r="A11" s="3481">
        <v>10</v>
      </c>
      <c r="B11" s="3482" t="s">
        <v>3624</v>
      </c>
      <c r="C11" s="3482">
        <v>82.96</v>
      </c>
      <c r="D11" s="3486" t="s">
        <v>4097</v>
      </c>
      <c r="E11" s="3486">
        <f t="shared" ca="1" si="0"/>
        <v>224</v>
      </c>
      <c r="F11" s="3486"/>
      <c r="I11" s="3484" t="s">
        <v>4037</v>
      </c>
      <c r="J11" s="3484" t="s">
        <v>4031</v>
      </c>
      <c r="K11" s="3484">
        <f t="shared" si="1"/>
        <v>4663.45</v>
      </c>
      <c r="L11" s="3484">
        <v>3547.68</v>
      </c>
      <c r="M11" s="3484"/>
      <c r="N11" s="3484"/>
      <c r="O11" s="3484">
        <v>1115.77</v>
      </c>
      <c r="P11" s="3464">
        <v>6</v>
      </c>
      <c r="S11" s="3486">
        <v>10</v>
      </c>
      <c r="T11" s="3486">
        <v>159</v>
      </c>
      <c r="U11" s="3486">
        <v>26.62</v>
      </c>
      <c r="V11" s="3486" t="s">
        <v>4096</v>
      </c>
    </row>
    <row r="12" spans="1:22">
      <c r="A12" s="3481">
        <v>11</v>
      </c>
      <c r="B12" s="3482" t="s">
        <v>3625</v>
      </c>
      <c r="C12" s="3482">
        <v>86.91</v>
      </c>
      <c r="D12" s="3486" t="s">
        <v>4097</v>
      </c>
      <c r="E12" s="3486">
        <f t="shared" ca="1" si="0"/>
        <v>234</v>
      </c>
      <c r="F12" s="3486"/>
      <c r="I12" s="3484" t="s">
        <v>4038</v>
      </c>
      <c r="J12" s="3484" t="s">
        <v>4031</v>
      </c>
      <c r="K12" s="3484">
        <f t="shared" si="1"/>
        <v>7144.18</v>
      </c>
      <c r="L12" s="3484">
        <v>5530.83</v>
      </c>
      <c r="M12" s="3484"/>
      <c r="N12" s="3484"/>
      <c r="O12" s="3484">
        <v>1613.35</v>
      </c>
      <c r="P12" s="3464">
        <v>6</v>
      </c>
      <c r="S12" s="3486">
        <v>11</v>
      </c>
      <c r="T12" s="3486">
        <v>160</v>
      </c>
      <c r="U12" s="3486">
        <v>26.62</v>
      </c>
      <c r="V12" s="3486" t="s">
        <v>4096</v>
      </c>
    </row>
    <row r="13" spans="1:22">
      <c r="A13" s="3481">
        <v>12</v>
      </c>
      <c r="B13" s="3482" t="s">
        <v>3626</v>
      </c>
      <c r="C13" s="3482">
        <v>82.96</v>
      </c>
      <c r="D13" s="3486" t="s">
        <v>4097</v>
      </c>
      <c r="E13" s="3486">
        <f t="shared" ca="1" si="0"/>
        <v>224</v>
      </c>
      <c r="F13" s="3486"/>
      <c r="I13" s="3484" t="s">
        <v>4039</v>
      </c>
      <c r="J13" s="3484" t="s">
        <v>4040</v>
      </c>
      <c r="K13" s="3484">
        <f t="shared" si="1"/>
        <v>8280</v>
      </c>
      <c r="L13" s="3484"/>
      <c r="M13" s="3484"/>
      <c r="N13" s="3484">
        <v>8280</v>
      </c>
      <c r="O13" s="3484"/>
      <c r="P13" s="3464"/>
      <c r="S13" s="3486">
        <v>12</v>
      </c>
      <c r="T13" s="3486">
        <v>161</v>
      </c>
      <c r="U13" s="3486">
        <v>26.62</v>
      </c>
      <c r="V13" s="3486" t="s">
        <v>4096</v>
      </c>
    </row>
    <row r="14" spans="1:22">
      <c r="A14" s="3481">
        <v>13</v>
      </c>
      <c r="B14" s="3482" t="s">
        <v>3627</v>
      </c>
      <c r="C14" s="3482">
        <v>86.91</v>
      </c>
      <c r="D14" s="3486" t="s">
        <v>4097</v>
      </c>
      <c r="E14" s="3486">
        <f t="shared" ca="1" si="0"/>
        <v>234</v>
      </c>
      <c r="F14" s="3486"/>
      <c r="I14" s="3588" t="s">
        <v>4041</v>
      </c>
      <c r="J14" s="3589"/>
      <c r="K14" s="3484">
        <f>SUM(K5:K13)</f>
        <v>50537.04</v>
      </c>
      <c r="L14" s="3484">
        <f>SUM(L5:L13)</f>
        <v>34611.379999999997</v>
      </c>
      <c r="M14" s="3484">
        <f t="shared" ref="M14" si="2">SUM(M5:M13)</f>
        <v>0</v>
      </c>
      <c r="N14" s="3484">
        <f>SUM(N5:N13)</f>
        <v>8280</v>
      </c>
      <c r="O14" s="3484">
        <f>SUM(O5:O13)</f>
        <v>7645.66</v>
      </c>
      <c r="P14" s="3464"/>
      <c r="S14" s="3486">
        <v>13</v>
      </c>
      <c r="T14" s="3486">
        <v>162</v>
      </c>
      <c r="U14" s="3486">
        <v>26.62</v>
      </c>
      <c r="V14" s="3486" t="s">
        <v>4096</v>
      </c>
    </row>
    <row r="15" spans="1:22">
      <c r="A15" s="3481">
        <v>14</v>
      </c>
      <c r="B15" s="3482" t="s">
        <v>3628</v>
      </c>
      <c r="C15" s="3482">
        <v>82.96</v>
      </c>
      <c r="D15" s="3486" t="s">
        <v>4097</v>
      </c>
      <c r="E15" s="3486">
        <f t="shared" ca="1" si="0"/>
        <v>224</v>
      </c>
      <c r="F15" s="3486"/>
      <c r="I15" s="3464"/>
      <c r="J15" s="3464"/>
      <c r="K15" s="3464"/>
      <c r="L15" s="3464">
        <f>L14-C413</f>
        <v>227.94000000000233</v>
      </c>
      <c r="M15" s="3464"/>
      <c r="N15" s="3464"/>
      <c r="O15" s="3464"/>
      <c r="P15" s="3464"/>
      <c r="S15" s="3486">
        <v>14</v>
      </c>
      <c r="T15" s="3486">
        <v>163</v>
      </c>
      <c r="U15" s="3486">
        <v>26.62</v>
      </c>
      <c r="V15" s="3486" t="s">
        <v>4096</v>
      </c>
    </row>
    <row r="16" spans="1:22">
      <c r="A16" s="3481">
        <v>15</v>
      </c>
      <c r="B16" s="3482" t="s">
        <v>3629</v>
      </c>
      <c r="C16" s="3482">
        <v>86.91</v>
      </c>
      <c r="D16" s="3486" t="s">
        <v>4097</v>
      </c>
      <c r="E16" s="3486">
        <f t="shared" ca="1" si="0"/>
        <v>234</v>
      </c>
      <c r="F16" s="3486"/>
      <c r="S16" s="3486">
        <v>15</v>
      </c>
      <c r="T16" s="3486">
        <v>164</v>
      </c>
      <c r="U16" s="3486">
        <v>26.62</v>
      </c>
      <c r="V16" s="3486" t="s">
        <v>4096</v>
      </c>
    </row>
    <row r="17" spans="1:22">
      <c r="A17" s="3481">
        <v>16</v>
      </c>
      <c r="B17" s="3482" t="s">
        <v>3630</v>
      </c>
      <c r="C17" s="3482">
        <v>82.96</v>
      </c>
      <c r="D17" s="3486" t="s">
        <v>4097</v>
      </c>
      <c r="E17" s="3486">
        <f t="shared" ca="1" si="0"/>
        <v>224</v>
      </c>
      <c r="F17" s="3486"/>
      <c r="S17" s="3486">
        <v>16</v>
      </c>
      <c r="T17" s="3486">
        <v>165</v>
      </c>
      <c r="U17" s="3486">
        <v>26.62</v>
      </c>
      <c r="V17" s="3486" t="s">
        <v>4096</v>
      </c>
    </row>
    <row r="18" spans="1:22">
      <c r="A18" s="3481">
        <v>17</v>
      </c>
      <c r="B18" s="3482" t="s">
        <v>3631</v>
      </c>
      <c r="C18" s="3482">
        <v>86.91</v>
      </c>
      <c r="D18" s="3486" t="s">
        <v>4097</v>
      </c>
      <c r="E18" s="3486">
        <f t="shared" ca="1" si="0"/>
        <v>234</v>
      </c>
      <c r="F18" s="3486"/>
      <c r="I18" s="3480" t="s">
        <v>4042</v>
      </c>
      <c r="J18" s="3480">
        <v>44357.279999999999</v>
      </c>
      <c r="S18" s="3486">
        <v>17</v>
      </c>
      <c r="T18" s="3486">
        <v>166</v>
      </c>
      <c r="U18" s="3486">
        <v>26.62</v>
      </c>
      <c r="V18" s="3486" t="s">
        <v>4096</v>
      </c>
    </row>
    <row r="19" spans="1:22">
      <c r="A19" s="3481">
        <v>18</v>
      </c>
      <c r="B19" s="3482" t="s">
        <v>3632</v>
      </c>
      <c r="C19" s="3482">
        <v>82.96</v>
      </c>
      <c r="D19" s="3486" t="s">
        <v>4097</v>
      </c>
      <c r="E19" s="3486">
        <f t="shared" ca="1" si="0"/>
        <v>224</v>
      </c>
      <c r="F19" s="3486"/>
      <c r="I19" s="3480" t="s">
        <v>4051</v>
      </c>
      <c r="J19" s="3480">
        <f>J34</f>
        <v>51043.539999999994</v>
      </c>
      <c r="S19" s="3486">
        <v>18</v>
      </c>
      <c r="T19" s="3486">
        <v>167</v>
      </c>
      <c r="U19" s="3486">
        <v>26.62</v>
      </c>
      <c r="V19" s="3486" t="s">
        <v>4096</v>
      </c>
    </row>
    <row r="20" spans="1:22">
      <c r="A20" s="3481">
        <v>19</v>
      </c>
      <c r="B20" s="3482" t="s">
        <v>3633</v>
      </c>
      <c r="C20" s="3500">
        <v>86.91</v>
      </c>
      <c r="D20" s="3486" t="s">
        <v>4097</v>
      </c>
      <c r="E20" s="3486">
        <f t="shared" ca="1" si="0"/>
        <v>234</v>
      </c>
      <c r="F20" s="3486"/>
      <c r="I20" s="3480" t="s">
        <v>4043</v>
      </c>
      <c r="J20" s="3480">
        <v>129917.92</v>
      </c>
      <c r="S20" s="3486">
        <v>19</v>
      </c>
      <c r="T20" s="3486">
        <v>168</v>
      </c>
      <c r="U20" s="3486">
        <v>26.62</v>
      </c>
      <c r="V20" s="3486" t="s">
        <v>4096</v>
      </c>
    </row>
    <row r="21" spans="1:22">
      <c r="A21" s="3481">
        <v>20</v>
      </c>
      <c r="B21" s="3482" t="s">
        <v>3634</v>
      </c>
      <c r="C21" s="3500">
        <v>82.96</v>
      </c>
      <c r="D21" s="3486" t="s">
        <v>4097</v>
      </c>
      <c r="E21" s="3486">
        <f t="shared" ca="1" si="0"/>
        <v>224</v>
      </c>
      <c r="F21" s="3486"/>
      <c r="I21" s="3480" t="s">
        <v>4044</v>
      </c>
      <c r="J21" s="3480">
        <f>ROUND((J19-K36)/J20*J18,2)</f>
        <v>17349.990000000002</v>
      </c>
      <c r="S21" s="3486">
        <v>20</v>
      </c>
      <c r="T21" s="3486">
        <v>169</v>
      </c>
      <c r="U21" s="3486">
        <v>26.62</v>
      </c>
      <c r="V21" s="3486" t="s">
        <v>4096</v>
      </c>
    </row>
    <row r="22" spans="1:22">
      <c r="A22" s="3481">
        <v>21</v>
      </c>
      <c r="B22" s="3482" t="s">
        <v>3635</v>
      </c>
      <c r="C22" s="3482">
        <v>89.64</v>
      </c>
      <c r="D22" s="3486" t="s">
        <v>4097</v>
      </c>
      <c r="E22" s="3486">
        <f t="shared" ca="1" si="0"/>
        <v>242</v>
      </c>
      <c r="F22" s="3486"/>
      <c r="S22" s="3486">
        <v>21</v>
      </c>
      <c r="T22" s="3486">
        <v>170</v>
      </c>
      <c r="U22" s="3486">
        <v>26.62</v>
      </c>
      <c r="V22" s="3486" t="s">
        <v>4096</v>
      </c>
    </row>
    <row r="23" spans="1:22">
      <c r="A23" s="3481">
        <v>22</v>
      </c>
      <c r="B23" s="3482" t="s">
        <v>3636</v>
      </c>
      <c r="C23" s="3482">
        <v>86.98</v>
      </c>
      <c r="D23" s="3486" t="s">
        <v>4097</v>
      </c>
      <c r="E23" s="3486">
        <f t="shared" ca="1" si="0"/>
        <v>234</v>
      </c>
      <c r="F23" s="3486"/>
      <c r="I23" s="3480" t="s">
        <v>4054</v>
      </c>
      <c r="S23" s="3486">
        <v>22</v>
      </c>
      <c r="T23" s="3486">
        <v>171</v>
      </c>
      <c r="U23" s="3486">
        <v>26.62</v>
      </c>
      <c r="V23" s="3486" t="s">
        <v>4096</v>
      </c>
    </row>
    <row r="24" spans="1:22">
      <c r="A24" s="3481">
        <v>23</v>
      </c>
      <c r="B24" s="3482" t="s">
        <v>3637</v>
      </c>
      <c r="C24" s="3482">
        <v>89.64</v>
      </c>
      <c r="D24" s="3486" t="s">
        <v>4097</v>
      </c>
      <c r="E24" s="3486">
        <f t="shared" ca="1" si="0"/>
        <v>242</v>
      </c>
      <c r="F24" s="3486"/>
      <c r="I24" s="3484" t="s">
        <v>4026</v>
      </c>
      <c r="J24" s="3484" t="s">
        <v>4041</v>
      </c>
      <c r="K24" s="3484" t="s">
        <v>4047</v>
      </c>
      <c r="L24" s="3484" t="s">
        <v>4050</v>
      </c>
      <c r="M24" s="3484" t="s">
        <v>4048</v>
      </c>
      <c r="N24" s="3484" t="s">
        <v>4049</v>
      </c>
      <c r="O24" s="3487" t="s">
        <v>4045</v>
      </c>
      <c r="P24" s="3480" t="s">
        <v>4053</v>
      </c>
      <c r="S24" s="3486">
        <v>23</v>
      </c>
      <c r="T24" s="3486">
        <v>172</v>
      </c>
      <c r="U24" s="3486">
        <v>26.62</v>
      </c>
      <c r="V24" s="3486" t="s">
        <v>4096</v>
      </c>
    </row>
    <row r="25" spans="1:22">
      <c r="A25" s="3481">
        <v>24</v>
      </c>
      <c r="B25" s="3482" t="s">
        <v>3638</v>
      </c>
      <c r="C25" s="3482">
        <v>86.98</v>
      </c>
      <c r="D25" s="3486" t="s">
        <v>4097</v>
      </c>
      <c r="E25" s="3486">
        <f t="shared" ca="1" si="0"/>
        <v>234</v>
      </c>
      <c r="F25" s="3486"/>
      <c r="I25" s="3484" t="s">
        <v>4030</v>
      </c>
      <c r="J25" s="3484">
        <f>K25+L25+M25+N25</f>
        <v>4151.8900000000003</v>
      </c>
      <c r="K25" s="3484">
        <v>3464.9</v>
      </c>
      <c r="L25" s="3484"/>
      <c r="M25" s="3484">
        <v>686.99</v>
      </c>
      <c r="N25" s="3486"/>
      <c r="O25" s="3487">
        <v>10</v>
      </c>
      <c r="P25" s="3480">
        <f>9/10*0.5</f>
        <v>0.45</v>
      </c>
      <c r="S25" s="3486">
        <v>24</v>
      </c>
      <c r="T25" s="3486">
        <v>173</v>
      </c>
      <c r="U25" s="3486">
        <v>26.62</v>
      </c>
      <c r="V25" s="3486" t="s">
        <v>4096</v>
      </c>
    </row>
    <row r="26" spans="1:22">
      <c r="A26" s="3481">
        <v>25</v>
      </c>
      <c r="B26" s="3482" t="s">
        <v>3639</v>
      </c>
      <c r="C26" s="3482">
        <v>89.64</v>
      </c>
      <c r="D26" s="3486" t="s">
        <v>4097</v>
      </c>
      <c r="E26" s="3486">
        <f t="shared" ca="1" si="0"/>
        <v>242</v>
      </c>
      <c r="F26" s="3486"/>
      <c r="I26" s="3484" t="s">
        <v>4032</v>
      </c>
      <c r="J26" s="3484">
        <f t="shared" ref="J26:J33" si="3">K26+L26+M26+N26</f>
        <v>4590.21</v>
      </c>
      <c r="K26" s="3484">
        <v>3887.62</v>
      </c>
      <c r="L26" s="3484"/>
      <c r="M26" s="3484">
        <v>702.59</v>
      </c>
      <c r="N26" s="3486"/>
      <c r="O26" s="3487">
        <v>11</v>
      </c>
      <c r="P26" s="3480">
        <f>ROUND(10/11*0.5,2)</f>
        <v>0.45</v>
      </c>
      <c r="S26" s="3486">
        <v>25</v>
      </c>
      <c r="T26" s="3486">
        <v>174</v>
      </c>
      <c r="U26" s="3486">
        <v>26.62</v>
      </c>
      <c r="V26" s="3486" t="s">
        <v>4096</v>
      </c>
    </row>
    <row r="27" spans="1:22">
      <c r="A27" s="3481">
        <v>26</v>
      </c>
      <c r="B27" s="3482" t="s">
        <v>3640</v>
      </c>
      <c r="C27" s="3482">
        <v>86.98</v>
      </c>
      <c r="D27" s="3486" t="s">
        <v>4097</v>
      </c>
      <c r="E27" s="3486">
        <f t="shared" ca="1" si="0"/>
        <v>234</v>
      </c>
      <c r="F27" s="3486"/>
      <c r="I27" s="3484" t="s">
        <v>4033</v>
      </c>
      <c r="J27" s="3484">
        <f t="shared" si="3"/>
        <v>3975.9700000000003</v>
      </c>
      <c r="K27" s="3484">
        <v>3309.8</v>
      </c>
      <c r="L27" s="3484"/>
      <c r="M27" s="3484">
        <v>666.17</v>
      </c>
      <c r="N27" s="3486"/>
      <c r="O27" s="3487">
        <v>10</v>
      </c>
      <c r="P27" s="3480">
        <v>0.5</v>
      </c>
      <c r="S27" s="3486">
        <v>26</v>
      </c>
      <c r="T27" s="3486">
        <v>175</v>
      </c>
      <c r="U27" s="3486">
        <v>26.62</v>
      </c>
      <c r="V27" s="3486" t="s">
        <v>4096</v>
      </c>
    </row>
    <row r="28" spans="1:22">
      <c r="A28" s="3481">
        <v>27</v>
      </c>
      <c r="B28" s="3482" t="s">
        <v>3641</v>
      </c>
      <c r="C28" s="3482">
        <v>89.64</v>
      </c>
      <c r="D28" s="3486" t="s">
        <v>4097</v>
      </c>
      <c r="E28" s="3486">
        <f t="shared" ca="1" si="0"/>
        <v>242</v>
      </c>
      <c r="F28" s="3486"/>
      <c r="I28" s="3484" t="s">
        <v>4034</v>
      </c>
      <c r="J28" s="3484">
        <f t="shared" si="3"/>
        <v>5074.95</v>
      </c>
      <c r="K28" s="3484">
        <v>4257.88</v>
      </c>
      <c r="L28" s="3484"/>
      <c r="M28" s="3484">
        <v>817.07</v>
      </c>
      <c r="N28" s="3486"/>
      <c r="O28" s="3487">
        <v>11</v>
      </c>
      <c r="P28" s="3480">
        <v>0.5</v>
      </c>
      <c r="S28" s="3486">
        <v>27</v>
      </c>
      <c r="T28" s="3486">
        <v>176</v>
      </c>
      <c r="U28" s="3486">
        <v>26.62</v>
      </c>
      <c r="V28" s="3486" t="s">
        <v>4096</v>
      </c>
    </row>
    <row r="29" spans="1:22">
      <c r="A29" s="3481">
        <v>28</v>
      </c>
      <c r="B29" s="3482" t="s">
        <v>3642</v>
      </c>
      <c r="C29" s="3482">
        <v>86.98</v>
      </c>
      <c r="D29" s="3486" t="s">
        <v>4097</v>
      </c>
      <c r="E29" s="3486">
        <f t="shared" ca="1" si="0"/>
        <v>234</v>
      </c>
      <c r="F29" s="3486"/>
      <c r="I29" s="3484" t="s">
        <v>4035</v>
      </c>
      <c r="J29" s="3484">
        <f t="shared" si="3"/>
        <v>4027.59</v>
      </c>
      <c r="K29" s="3484">
        <v>3348.9</v>
      </c>
      <c r="L29" s="3484"/>
      <c r="M29" s="3484">
        <v>678.69</v>
      </c>
      <c r="N29" s="3486"/>
      <c r="O29" s="3487">
        <v>10</v>
      </c>
      <c r="P29" s="3480">
        <v>0.5</v>
      </c>
      <c r="S29" s="3486">
        <v>28</v>
      </c>
      <c r="T29" s="3486">
        <v>177</v>
      </c>
      <c r="U29" s="3486">
        <v>26.62</v>
      </c>
      <c r="V29" s="3486" t="s">
        <v>4096</v>
      </c>
    </row>
    <row r="30" spans="1:22">
      <c r="A30" s="3481">
        <v>29</v>
      </c>
      <c r="B30" s="3482" t="s">
        <v>3643</v>
      </c>
      <c r="C30" s="3482">
        <v>89.64</v>
      </c>
      <c r="D30" s="3486" t="s">
        <v>4097</v>
      </c>
      <c r="E30" s="3486">
        <f t="shared" ca="1" si="0"/>
        <v>242</v>
      </c>
      <c r="F30" s="3486"/>
      <c r="I30" s="3484" t="s">
        <v>4036</v>
      </c>
      <c r="J30" s="3484">
        <f t="shared" si="3"/>
        <v>8672.1299999999992</v>
      </c>
      <c r="K30" s="3484">
        <v>7263.64</v>
      </c>
      <c r="L30" s="3484"/>
      <c r="M30" s="3484">
        <f>8672.13-K30</f>
        <v>1408.4899999999989</v>
      </c>
      <c r="N30" s="3486"/>
      <c r="O30" s="3487">
        <v>11</v>
      </c>
      <c r="P30" s="3480">
        <v>0.5</v>
      </c>
      <c r="S30" s="3486">
        <v>29</v>
      </c>
      <c r="T30" s="3486">
        <v>178</v>
      </c>
      <c r="U30" s="3486">
        <v>26.62</v>
      </c>
      <c r="V30" s="3486" t="s">
        <v>4096</v>
      </c>
    </row>
    <row r="31" spans="1:22">
      <c r="A31" s="3481">
        <v>30</v>
      </c>
      <c r="B31" s="3482" t="s">
        <v>3644</v>
      </c>
      <c r="C31" s="3482">
        <v>86.98</v>
      </c>
      <c r="D31" s="3486" t="s">
        <v>4097</v>
      </c>
      <c r="E31" s="3486">
        <f t="shared" ca="1" si="0"/>
        <v>234</v>
      </c>
      <c r="F31" s="3486"/>
      <c r="I31" s="3484" t="s">
        <v>4037</v>
      </c>
      <c r="J31" s="3484">
        <f t="shared" si="3"/>
        <v>4687.3500000000004</v>
      </c>
      <c r="K31" s="3484">
        <v>3547.34</v>
      </c>
      <c r="L31" s="3484"/>
      <c r="M31" s="3484">
        <v>1140.01</v>
      </c>
      <c r="N31" s="3486"/>
      <c r="O31" s="3487">
        <v>6</v>
      </c>
      <c r="P31" s="3480">
        <v>0.5</v>
      </c>
      <c r="S31" s="3486">
        <v>30</v>
      </c>
      <c r="T31" s="3486">
        <v>179</v>
      </c>
      <c r="U31" s="3486">
        <v>26.62</v>
      </c>
      <c r="V31" s="3486" t="s">
        <v>4096</v>
      </c>
    </row>
    <row r="32" spans="1:22">
      <c r="A32" s="3481">
        <v>31</v>
      </c>
      <c r="B32" s="3482" t="s">
        <v>3645</v>
      </c>
      <c r="C32" s="3482">
        <v>89.64</v>
      </c>
      <c r="D32" s="3486" t="s">
        <v>4097</v>
      </c>
      <c r="E32" s="3486">
        <f t="shared" ca="1" si="0"/>
        <v>242</v>
      </c>
      <c r="F32" s="3486"/>
      <c r="I32" s="3484" t="s">
        <v>4038</v>
      </c>
      <c r="J32" s="3484">
        <f t="shared" si="3"/>
        <v>7185.75</v>
      </c>
      <c r="K32" s="3484">
        <v>5530.56</v>
      </c>
      <c r="L32" s="3484"/>
      <c r="M32" s="3484">
        <f>7185.75-K32</f>
        <v>1655.1899999999996</v>
      </c>
      <c r="N32" s="3486"/>
      <c r="O32" s="3487">
        <v>6</v>
      </c>
      <c r="P32" s="3480">
        <v>0.5</v>
      </c>
      <c r="S32" s="3486">
        <v>31</v>
      </c>
      <c r="T32" s="3486">
        <v>180</v>
      </c>
      <c r="U32" s="3486">
        <v>26.62</v>
      </c>
      <c r="V32" s="3486" t="s">
        <v>4096</v>
      </c>
    </row>
    <row r="33" spans="1:27">
      <c r="A33" s="3481">
        <v>32</v>
      </c>
      <c r="B33" s="3482" t="s">
        <v>3646</v>
      </c>
      <c r="C33" s="3482">
        <v>86.98</v>
      </c>
      <c r="D33" s="3486" t="s">
        <v>4097</v>
      </c>
      <c r="E33" s="3486">
        <f t="shared" ca="1" si="0"/>
        <v>234</v>
      </c>
      <c r="F33" s="3486"/>
      <c r="I33" s="3484" t="s">
        <v>4039</v>
      </c>
      <c r="J33" s="3484">
        <f t="shared" si="3"/>
        <v>8677.7000000000007</v>
      </c>
      <c r="K33" s="3484"/>
      <c r="L33" s="3484"/>
      <c r="M33" s="3484"/>
      <c r="N33" s="3486">
        <v>8677.7000000000007</v>
      </c>
      <c r="O33" s="3486"/>
      <c r="P33" s="3497">
        <v>0.5</v>
      </c>
      <c r="S33" s="3486">
        <v>32</v>
      </c>
      <c r="T33" s="3486">
        <v>181</v>
      </c>
      <c r="U33" s="3486">
        <v>26.62</v>
      </c>
      <c r="V33" s="3486" t="s">
        <v>4096</v>
      </c>
    </row>
    <row r="34" spans="1:27">
      <c r="A34" s="3481">
        <v>33</v>
      </c>
      <c r="B34" s="3482" t="s">
        <v>3647</v>
      </c>
      <c r="C34" s="3482">
        <v>89.64</v>
      </c>
      <c r="D34" s="3486" t="s">
        <v>4097</v>
      </c>
      <c r="E34" s="3486">
        <f t="shared" ca="1" si="0"/>
        <v>242</v>
      </c>
      <c r="F34" s="3486"/>
      <c r="I34" s="3486" t="s">
        <v>2593</v>
      </c>
      <c r="J34" s="3486">
        <f>SUM(J25:J33)</f>
        <v>51043.539999999994</v>
      </c>
      <c r="K34" s="3486">
        <f t="shared" ref="K34:N34" si="4">SUM(K25:K33)</f>
        <v>34610.639999999999</v>
      </c>
      <c r="L34" s="3486">
        <f t="shared" si="4"/>
        <v>0</v>
      </c>
      <c r="M34" s="3486">
        <f t="shared" si="4"/>
        <v>7755.1999999999989</v>
      </c>
      <c r="N34" s="3486">
        <f t="shared" si="4"/>
        <v>8677.7000000000007</v>
      </c>
      <c r="O34" s="3486"/>
      <c r="P34" s="3497">
        <f>ROUND((J25*P25+J26*P26+(J27+J28+J29+J30+J31+J32)*0.5+J33*P33)/J34,2)</f>
        <v>0.49</v>
      </c>
      <c r="S34" s="3486">
        <v>33</v>
      </c>
      <c r="T34" s="3486">
        <v>182</v>
      </c>
      <c r="U34" s="3486">
        <v>26.62</v>
      </c>
      <c r="V34" s="3486" t="s">
        <v>4096</v>
      </c>
    </row>
    <row r="35" spans="1:27">
      <c r="A35" s="3481">
        <v>34</v>
      </c>
      <c r="B35" s="3482" t="s">
        <v>3648</v>
      </c>
      <c r="C35" s="3482">
        <v>86.98</v>
      </c>
      <c r="D35" s="3486" t="s">
        <v>4097</v>
      </c>
      <c r="E35" s="3486">
        <f t="shared" ca="1" si="0"/>
        <v>234</v>
      </c>
      <c r="F35" s="3486"/>
      <c r="K35" s="3480">
        <f>C413</f>
        <v>34383.439999999995</v>
      </c>
      <c r="S35" s="3486">
        <v>34</v>
      </c>
      <c r="T35" s="3486">
        <v>183</v>
      </c>
      <c r="U35" s="3486">
        <v>26.62</v>
      </c>
      <c r="V35" s="3486" t="s">
        <v>4096</v>
      </c>
    </row>
    <row r="36" spans="1:27">
      <c r="A36" s="3481">
        <v>35</v>
      </c>
      <c r="B36" s="3482" t="s">
        <v>3649</v>
      </c>
      <c r="C36" s="3482">
        <v>89.64</v>
      </c>
      <c r="D36" s="3486" t="s">
        <v>4097</v>
      </c>
      <c r="E36" s="3486">
        <f t="shared" ca="1" si="0"/>
        <v>242</v>
      </c>
      <c r="F36" s="3486"/>
      <c r="K36" s="3480">
        <f>K34-K35</f>
        <v>227.20000000000437</v>
      </c>
      <c r="S36" s="3486">
        <v>35</v>
      </c>
      <c r="T36" s="3486">
        <v>184</v>
      </c>
      <c r="U36" s="3486">
        <v>26.62</v>
      </c>
      <c r="V36" s="3486" t="s">
        <v>4096</v>
      </c>
    </row>
    <row r="37" spans="1:27">
      <c r="A37" s="3481">
        <v>36</v>
      </c>
      <c r="B37" s="3482" t="s">
        <v>3650</v>
      </c>
      <c r="C37" s="3482">
        <v>86.98</v>
      </c>
      <c r="D37" s="3486" t="s">
        <v>4097</v>
      </c>
      <c r="E37" s="3486">
        <f t="shared" ca="1" si="0"/>
        <v>234</v>
      </c>
      <c r="F37" s="3486"/>
      <c r="S37" s="3486">
        <v>36</v>
      </c>
      <c r="T37" s="3486">
        <v>185</v>
      </c>
      <c r="U37" s="3486">
        <v>26.62</v>
      </c>
      <c r="V37" s="3486" t="s">
        <v>4096</v>
      </c>
    </row>
    <row r="38" spans="1:27">
      <c r="A38" s="3481">
        <v>37</v>
      </c>
      <c r="B38" s="3482" t="s">
        <v>3651</v>
      </c>
      <c r="C38" s="3482">
        <v>89.64</v>
      </c>
      <c r="D38" s="3486" t="s">
        <v>4097</v>
      </c>
      <c r="E38" s="3486">
        <f t="shared" ca="1" si="0"/>
        <v>242</v>
      </c>
      <c r="F38" s="3486"/>
      <c r="I38" s="3480" t="s">
        <v>4055</v>
      </c>
      <c r="S38" s="3486">
        <v>37</v>
      </c>
      <c r="T38" s="3486">
        <v>186</v>
      </c>
      <c r="U38" s="3486">
        <v>26.62</v>
      </c>
      <c r="V38" s="3486" t="s">
        <v>4096</v>
      </c>
    </row>
    <row r="39" spans="1:27">
      <c r="A39" s="3481">
        <v>38</v>
      </c>
      <c r="B39" s="3482" t="s">
        <v>3652</v>
      </c>
      <c r="C39" s="3482">
        <v>86.98</v>
      </c>
      <c r="D39" s="3486" t="s">
        <v>4097</v>
      </c>
      <c r="E39" s="3486">
        <f t="shared" ca="1" si="0"/>
        <v>234</v>
      </c>
      <c r="F39" s="3486"/>
      <c r="J39" s="3480" t="s">
        <v>4060</v>
      </c>
      <c r="K39" s="3480" t="s">
        <v>4061</v>
      </c>
      <c r="S39" s="3486">
        <v>38</v>
      </c>
      <c r="T39" s="3486">
        <v>187</v>
      </c>
      <c r="U39" s="3486">
        <v>26.62</v>
      </c>
      <c r="V39" s="3486" t="s">
        <v>4096</v>
      </c>
    </row>
    <row r="40" spans="1:27">
      <c r="A40" s="3481">
        <v>39</v>
      </c>
      <c r="B40" s="3485" t="s">
        <v>3653</v>
      </c>
      <c r="C40" s="3500">
        <v>89.64</v>
      </c>
      <c r="D40" s="3486" t="s">
        <v>4097</v>
      </c>
      <c r="E40" s="3486">
        <f t="shared" ca="1" si="0"/>
        <v>242</v>
      </c>
      <c r="F40" s="3486"/>
      <c r="I40" s="3480" t="s">
        <v>4057</v>
      </c>
      <c r="J40" s="3480">
        <v>52</v>
      </c>
      <c r="K40" s="3480">
        <v>1415.43</v>
      </c>
      <c r="S40" s="3486">
        <v>39</v>
      </c>
      <c r="T40" s="3486">
        <v>188</v>
      </c>
      <c r="U40" s="3486">
        <v>26.62</v>
      </c>
      <c r="V40" s="3486" t="s">
        <v>4096</v>
      </c>
    </row>
    <row r="41" spans="1:27">
      <c r="A41" s="3481">
        <v>40</v>
      </c>
      <c r="B41" s="3482" t="s">
        <v>3654</v>
      </c>
      <c r="C41" s="3500">
        <v>86.98</v>
      </c>
      <c r="D41" s="3486" t="s">
        <v>4097</v>
      </c>
      <c r="E41" s="3486">
        <f t="shared" ca="1" si="0"/>
        <v>234</v>
      </c>
      <c r="F41" s="3486"/>
      <c r="I41" s="3480" t="s">
        <v>4059</v>
      </c>
      <c r="J41" s="3480">
        <v>38</v>
      </c>
      <c r="K41" s="3480">
        <v>7262.27</v>
      </c>
      <c r="S41" s="3486">
        <v>40</v>
      </c>
      <c r="T41" s="3486">
        <v>189</v>
      </c>
      <c r="U41" s="3486">
        <v>26.62</v>
      </c>
      <c r="V41" s="3486" t="s">
        <v>4096</v>
      </c>
    </row>
    <row r="42" spans="1:27">
      <c r="A42" s="3481">
        <v>41</v>
      </c>
      <c r="B42" s="3482" t="s">
        <v>3655</v>
      </c>
      <c r="C42" s="3482">
        <v>87.02</v>
      </c>
      <c r="D42" s="3486" t="s">
        <v>4097</v>
      </c>
      <c r="E42" s="3486">
        <f t="shared" ca="1" si="0"/>
        <v>235</v>
      </c>
      <c r="F42" s="3486"/>
      <c r="K42" s="3480">
        <f>K40+K41</f>
        <v>8677.7000000000007</v>
      </c>
      <c r="S42" s="3486">
        <v>41</v>
      </c>
      <c r="T42" s="3486">
        <v>190</v>
      </c>
      <c r="U42" s="3486">
        <v>26.62</v>
      </c>
      <c r="V42" s="3486" t="s">
        <v>4096</v>
      </c>
    </row>
    <row r="43" spans="1:27">
      <c r="A43" s="3481">
        <v>42</v>
      </c>
      <c r="B43" s="3482" t="s">
        <v>3656</v>
      </c>
      <c r="C43" s="3482">
        <v>89.69</v>
      </c>
      <c r="D43" s="3486" t="s">
        <v>4097</v>
      </c>
      <c r="E43" s="3486">
        <f t="shared" ca="1" si="0"/>
        <v>242</v>
      </c>
      <c r="F43" s="3486"/>
      <c r="S43" s="3486">
        <v>42</v>
      </c>
      <c r="T43" s="3486">
        <v>191</v>
      </c>
      <c r="U43" s="3486">
        <v>26.62</v>
      </c>
      <c r="V43" s="3486" t="s">
        <v>4096</v>
      </c>
    </row>
    <row r="44" spans="1:27">
      <c r="A44" s="3481">
        <v>43</v>
      </c>
      <c r="B44" s="3482" t="s">
        <v>3657</v>
      </c>
      <c r="C44" s="3482">
        <v>87.02</v>
      </c>
      <c r="D44" s="3486" t="s">
        <v>4097</v>
      </c>
      <c r="E44" s="3486">
        <f t="shared" ca="1" si="0"/>
        <v>235</v>
      </c>
      <c r="F44" s="3486"/>
      <c r="S44" s="3486">
        <v>43</v>
      </c>
      <c r="T44" s="3486">
        <v>192</v>
      </c>
      <c r="U44" s="3486">
        <v>26.62</v>
      </c>
      <c r="V44" s="3486" t="s">
        <v>4096</v>
      </c>
    </row>
    <row r="45" spans="1:27">
      <c r="A45" s="3481">
        <v>44</v>
      </c>
      <c r="B45" s="3482" t="s">
        <v>3658</v>
      </c>
      <c r="C45" s="3482">
        <v>89.69</v>
      </c>
      <c r="D45" s="3486" t="s">
        <v>4097</v>
      </c>
      <c r="E45" s="3486">
        <f t="shared" ca="1" si="0"/>
        <v>242</v>
      </c>
      <c r="F45" s="3486"/>
      <c r="S45" s="3486">
        <v>44</v>
      </c>
      <c r="T45" s="3486">
        <v>193</v>
      </c>
      <c r="U45" s="3486">
        <v>26.62</v>
      </c>
      <c r="V45" s="3486" t="s">
        <v>4096</v>
      </c>
    </row>
    <row r="46" spans="1:27">
      <c r="A46" s="3481">
        <v>45</v>
      </c>
      <c r="B46" s="3482" t="s">
        <v>3659</v>
      </c>
      <c r="C46" s="3482">
        <v>87.02</v>
      </c>
      <c r="D46" s="3486" t="s">
        <v>4097</v>
      </c>
      <c r="E46" s="3486">
        <f t="shared" ca="1" si="0"/>
        <v>235</v>
      </c>
      <c r="F46" s="3486"/>
      <c r="S46" s="3486">
        <v>45</v>
      </c>
      <c r="T46" s="3486">
        <v>194</v>
      </c>
      <c r="U46" s="3486">
        <v>26.62</v>
      </c>
      <c r="V46" s="3486" t="s">
        <v>4096</v>
      </c>
      <c r="Z46" s="3480" t="s">
        <v>4074</v>
      </c>
    </row>
    <row r="47" spans="1:27">
      <c r="A47" s="3481">
        <v>46</v>
      </c>
      <c r="B47" s="3482" t="s">
        <v>3660</v>
      </c>
      <c r="C47" s="3482">
        <v>89.69</v>
      </c>
      <c r="D47" s="3486" t="s">
        <v>4097</v>
      </c>
      <c r="E47" s="3486">
        <f t="shared" ca="1" si="0"/>
        <v>242</v>
      </c>
      <c r="F47" s="3486"/>
      <c r="S47" s="3486">
        <v>46</v>
      </c>
      <c r="T47" s="3486">
        <v>195</v>
      </c>
      <c r="U47" s="3486">
        <v>26.62</v>
      </c>
      <c r="V47" s="3486" t="s">
        <v>4096</v>
      </c>
      <c r="Y47" s="3480" t="s">
        <v>4056</v>
      </c>
      <c r="Z47" s="3480">
        <v>1415.4299999999994</v>
      </c>
      <c r="AA47" s="3480">
        <f>ROUND(Z47/J40,2)</f>
        <v>27.22</v>
      </c>
    </row>
    <row r="48" spans="1:27">
      <c r="A48" s="3481">
        <v>47</v>
      </c>
      <c r="B48" s="3482" t="s">
        <v>3661</v>
      </c>
      <c r="C48" s="3482">
        <v>87.02</v>
      </c>
      <c r="D48" s="3486" t="s">
        <v>4097</v>
      </c>
      <c r="E48" s="3486">
        <f t="shared" ca="1" si="0"/>
        <v>235</v>
      </c>
      <c r="F48" s="3486"/>
      <c r="S48" s="3486">
        <v>47</v>
      </c>
      <c r="T48" s="3486">
        <v>196</v>
      </c>
      <c r="U48" s="3486">
        <v>26.62</v>
      </c>
      <c r="V48" s="3486" t="s">
        <v>4096</v>
      </c>
      <c r="Y48" s="3480" t="s">
        <v>4058</v>
      </c>
      <c r="Z48" s="3480">
        <v>7262.27</v>
      </c>
    </row>
    <row r="49" spans="1:27">
      <c r="A49" s="3481">
        <v>48</v>
      </c>
      <c r="B49" s="3482" t="s">
        <v>3662</v>
      </c>
      <c r="C49" s="3482">
        <v>89.69</v>
      </c>
      <c r="D49" s="3486" t="s">
        <v>4097</v>
      </c>
      <c r="E49" s="3486">
        <f t="shared" ca="1" si="0"/>
        <v>242</v>
      </c>
      <c r="F49" s="3486"/>
      <c r="I49" s="3846" t="s">
        <v>4110</v>
      </c>
      <c r="S49" s="3486">
        <v>48</v>
      </c>
      <c r="T49" s="3486">
        <v>197</v>
      </c>
      <c r="U49" s="3486">
        <v>26.62</v>
      </c>
      <c r="V49" s="3486" t="s">
        <v>4096</v>
      </c>
    </row>
    <row r="50" spans="1:27">
      <c r="A50" s="3481">
        <v>49</v>
      </c>
      <c r="B50" s="3482" t="s">
        <v>3663</v>
      </c>
      <c r="C50" s="3482">
        <v>87.02</v>
      </c>
      <c r="D50" s="3486" t="s">
        <v>4097</v>
      </c>
      <c r="E50" s="3486">
        <f t="shared" ca="1" si="0"/>
        <v>235</v>
      </c>
      <c r="F50" s="3486"/>
      <c r="I50" s="3480">
        <f>ROUND(H409/50459.78*17228.25,2)</f>
        <v>77.569999999999993</v>
      </c>
      <c r="K50" s="3480">
        <v>17171.439999999999</v>
      </c>
      <c r="S50" s="3486">
        <v>49</v>
      </c>
      <c r="T50" s="3486">
        <v>198</v>
      </c>
      <c r="U50" s="3486">
        <v>27.66</v>
      </c>
      <c r="V50" s="3486" t="s">
        <v>4096</v>
      </c>
    </row>
    <row r="51" spans="1:27">
      <c r="A51" s="3481">
        <v>50</v>
      </c>
      <c r="B51" s="3482" t="s">
        <v>3664</v>
      </c>
      <c r="C51" s="3482">
        <v>89.69</v>
      </c>
      <c r="D51" s="3486" t="s">
        <v>4097</v>
      </c>
      <c r="E51" s="3486">
        <f t="shared" ca="1" si="0"/>
        <v>242</v>
      </c>
      <c r="F51" s="3486"/>
      <c r="G51" s="3480" t="s">
        <v>4113</v>
      </c>
      <c r="H51" s="3480" t="s">
        <v>4112</v>
      </c>
      <c r="I51" s="3480" t="s">
        <v>4111</v>
      </c>
      <c r="S51" s="3486">
        <v>50</v>
      </c>
      <c r="T51" s="3486">
        <v>199</v>
      </c>
      <c r="U51" s="3486">
        <v>27.66</v>
      </c>
      <c r="V51" s="3486" t="s">
        <v>4096</v>
      </c>
    </row>
    <row r="52" spans="1:27">
      <c r="A52" s="3481">
        <v>51</v>
      </c>
      <c r="B52" s="3482" t="s">
        <v>3665</v>
      </c>
      <c r="C52" s="3482">
        <v>87.02</v>
      </c>
      <c r="D52" s="3486" t="s">
        <v>4097</v>
      </c>
      <c r="E52" s="3486">
        <f t="shared" ca="1" si="0"/>
        <v>235</v>
      </c>
      <c r="F52" s="3486"/>
      <c r="G52" s="3480">
        <v>17228.25</v>
      </c>
      <c r="H52" s="3480">
        <f>50459.78-H409</f>
        <v>50232.579999999994</v>
      </c>
      <c r="I52" s="3480">
        <v>50459.78</v>
      </c>
      <c r="J52" s="3480">
        <f>ROUND(H52/I52*17228.25,2)</f>
        <v>17150.68</v>
      </c>
      <c r="S52" s="3486">
        <v>51</v>
      </c>
      <c r="T52" s="3486">
        <v>200</v>
      </c>
      <c r="U52" s="3486">
        <v>42.64</v>
      </c>
      <c r="V52" s="3486" t="s">
        <v>4096</v>
      </c>
    </row>
    <row r="53" spans="1:27">
      <c r="A53" s="3481">
        <v>52</v>
      </c>
      <c r="B53" s="3482" t="s">
        <v>3666</v>
      </c>
      <c r="C53" s="3482">
        <v>89.69</v>
      </c>
      <c r="D53" s="3486" t="s">
        <v>4097</v>
      </c>
      <c r="E53" s="3486">
        <f t="shared" ca="1" si="0"/>
        <v>242</v>
      </c>
      <c r="F53" s="3486"/>
      <c r="S53" s="3486">
        <v>52</v>
      </c>
      <c r="T53" s="3486">
        <v>201</v>
      </c>
      <c r="U53" s="3486">
        <v>42.64</v>
      </c>
      <c r="V53" s="3486" t="s">
        <v>4096</v>
      </c>
    </row>
    <row r="54" spans="1:27">
      <c r="A54" s="3481">
        <v>53</v>
      </c>
      <c r="B54" s="3482" t="s">
        <v>3667</v>
      </c>
      <c r="C54" s="3482">
        <v>87.02</v>
      </c>
      <c r="D54" s="3486" t="s">
        <v>4097</v>
      </c>
      <c r="E54" s="3486">
        <f t="shared" ca="1" si="0"/>
        <v>235</v>
      </c>
      <c r="F54" s="3486"/>
      <c r="S54" s="3486">
        <v>53</v>
      </c>
      <c r="T54" s="3486">
        <v>219</v>
      </c>
      <c r="U54" s="3486">
        <v>258.33999999999997</v>
      </c>
      <c r="V54" s="3486" t="s">
        <v>4062</v>
      </c>
      <c r="W54" s="3480">
        <f>U54/$AA$47</f>
        <v>9.4908155767817775</v>
      </c>
      <c r="X54" s="3480">
        <v>9</v>
      </c>
      <c r="Y54" s="3480">
        <f>X54*2-1</f>
        <v>17</v>
      </c>
      <c r="Z54" s="3480">
        <v>7</v>
      </c>
      <c r="AA54" s="3480">
        <f>Z54*2-1</f>
        <v>13</v>
      </c>
    </row>
    <row r="55" spans="1:27">
      <c r="A55" s="3481">
        <v>54</v>
      </c>
      <c r="B55" s="3482" t="s">
        <v>3668</v>
      </c>
      <c r="C55" s="3482">
        <v>89.69</v>
      </c>
      <c r="D55" s="3486" t="s">
        <v>4097</v>
      </c>
      <c r="E55" s="3486">
        <f t="shared" ca="1" si="0"/>
        <v>242</v>
      </c>
      <c r="F55" s="3486"/>
      <c r="S55" s="3486">
        <v>54</v>
      </c>
      <c r="T55" s="3486">
        <v>220</v>
      </c>
      <c r="U55" s="3486">
        <v>258.33999999999997</v>
      </c>
      <c r="V55" s="3486" t="s">
        <v>4062</v>
      </c>
      <c r="W55" s="3480">
        <f t="shared" ref="W55:W91" si="5">U55/$AA$47</f>
        <v>9.4908155767817775</v>
      </c>
      <c r="X55" s="3480">
        <v>9</v>
      </c>
      <c r="Y55" s="3480">
        <f t="shared" ref="Y55:Y91" si="6">X55*2-1</f>
        <v>17</v>
      </c>
      <c r="Z55" s="3480">
        <v>7</v>
      </c>
      <c r="AA55" s="3480">
        <f t="shared" ref="AA55:AA91" si="7">Z55*2-1</f>
        <v>13</v>
      </c>
    </row>
    <row r="56" spans="1:27">
      <c r="A56" s="3481">
        <v>55</v>
      </c>
      <c r="B56" s="3482" t="s">
        <v>3669</v>
      </c>
      <c r="C56" s="3482">
        <v>87.02</v>
      </c>
      <c r="D56" s="3486" t="s">
        <v>4097</v>
      </c>
      <c r="E56" s="3486">
        <f t="shared" ca="1" si="0"/>
        <v>235</v>
      </c>
      <c r="F56" s="3486"/>
      <c r="S56" s="3486">
        <v>55</v>
      </c>
      <c r="T56" s="3486">
        <v>221</v>
      </c>
      <c r="U56" s="3486">
        <v>258.33999999999997</v>
      </c>
      <c r="V56" s="3486" t="s">
        <v>4062</v>
      </c>
      <c r="W56" s="3480">
        <f t="shared" si="5"/>
        <v>9.4908155767817775</v>
      </c>
      <c r="X56" s="3480">
        <v>9</v>
      </c>
      <c r="Y56" s="3480">
        <f t="shared" si="6"/>
        <v>17</v>
      </c>
      <c r="Z56" s="3480">
        <v>7</v>
      </c>
      <c r="AA56" s="3480">
        <f t="shared" si="7"/>
        <v>13</v>
      </c>
    </row>
    <row r="57" spans="1:27">
      <c r="A57" s="3481">
        <v>56</v>
      </c>
      <c r="B57" s="3482" t="s">
        <v>3670</v>
      </c>
      <c r="C57" s="3482">
        <v>89.69</v>
      </c>
      <c r="D57" s="3486" t="s">
        <v>4097</v>
      </c>
      <c r="E57" s="3486">
        <f t="shared" ca="1" si="0"/>
        <v>242</v>
      </c>
      <c r="F57" s="3486"/>
      <c r="S57" s="3486">
        <v>56</v>
      </c>
      <c r="T57" s="3486">
        <v>222</v>
      </c>
      <c r="U57" s="3486">
        <v>258.33999999999997</v>
      </c>
      <c r="V57" s="3486" t="s">
        <v>4062</v>
      </c>
      <c r="W57" s="3480">
        <f t="shared" si="5"/>
        <v>9.4908155767817775</v>
      </c>
      <c r="X57" s="3480">
        <v>9</v>
      </c>
      <c r="Y57" s="3480">
        <f t="shared" si="6"/>
        <v>17</v>
      </c>
      <c r="Z57" s="3480">
        <v>7</v>
      </c>
      <c r="AA57" s="3480">
        <f t="shared" si="7"/>
        <v>13</v>
      </c>
    </row>
    <row r="58" spans="1:27">
      <c r="A58" s="3481">
        <v>57</v>
      </c>
      <c r="B58" s="3482" t="s">
        <v>3671</v>
      </c>
      <c r="C58" s="3482">
        <v>87.02</v>
      </c>
      <c r="D58" s="3486" t="s">
        <v>4097</v>
      </c>
      <c r="E58" s="3486">
        <f t="shared" ca="1" si="0"/>
        <v>235</v>
      </c>
      <c r="F58" s="3486"/>
      <c r="S58" s="3486">
        <v>57</v>
      </c>
      <c r="T58" s="3486">
        <v>223</v>
      </c>
      <c r="U58" s="3486">
        <v>258.33999999999997</v>
      </c>
      <c r="V58" s="3486" t="s">
        <v>4062</v>
      </c>
      <c r="W58" s="3480">
        <f t="shared" si="5"/>
        <v>9.4908155767817775</v>
      </c>
      <c r="X58" s="3480">
        <v>9</v>
      </c>
      <c r="Y58" s="3480">
        <f t="shared" si="6"/>
        <v>17</v>
      </c>
      <c r="Z58" s="3480">
        <v>7</v>
      </c>
      <c r="AA58" s="3480">
        <f t="shared" si="7"/>
        <v>13</v>
      </c>
    </row>
    <row r="59" spans="1:27">
      <c r="A59" s="3481">
        <v>58</v>
      </c>
      <c r="B59" s="3482" t="s">
        <v>3672</v>
      </c>
      <c r="C59" s="3482">
        <v>89.69</v>
      </c>
      <c r="D59" s="3486" t="s">
        <v>4097</v>
      </c>
      <c r="E59" s="3486">
        <f t="shared" ca="1" si="0"/>
        <v>242</v>
      </c>
      <c r="F59" s="3486"/>
      <c r="S59" s="3486">
        <v>58</v>
      </c>
      <c r="T59" s="3486">
        <v>224</v>
      </c>
      <c r="U59" s="3486">
        <v>114.82</v>
      </c>
      <c r="V59" s="3486" t="s">
        <v>4062</v>
      </c>
      <c r="W59" s="3480">
        <f t="shared" si="5"/>
        <v>4.2182218956649518</v>
      </c>
      <c r="X59" s="3480">
        <v>4</v>
      </c>
      <c r="Y59" s="3480">
        <f t="shared" si="6"/>
        <v>7</v>
      </c>
      <c r="Z59" s="3480">
        <v>3</v>
      </c>
      <c r="AA59" s="3480">
        <f t="shared" si="7"/>
        <v>5</v>
      </c>
    </row>
    <row r="60" spans="1:27">
      <c r="A60" s="3481">
        <v>59</v>
      </c>
      <c r="B60" s="3482" t="s">
        <v>3673</v>
      </c>
      <c r="C60" s="3482">
        <v>87.02</v>
      </c>
      <c r="D60" s="3486" t="s">
        <v>4097</v>
      </c>
      <c r="E60" s="3486">
        <f t="shared" ca="1" si="0"/>
        <v>235</v>
      </c>
      <c r="F60" s="3486"/>
      <c r="S60" s="3486">
        <v>59</v>
      </c>
      <c r="T60" s="3486">
        <v>225</v>
      </c>
      <c r="U60" s="3486">
        <v>114.82</v>
      </c>
      <c r="V60" s="3486" t="s">
        <v>4062</v>
      </c>
      <c r="W60" s="3480">
        <f t="shared" si="5"/>
        <v>4.2182218956649518</v>
      </c>
      <c r="X60" s="3480">
        <v>4</v>
      </c>
      <c r="Y60" s="3480">
        <f t="shared" si="6"/>
        <v>7</v>
      </c>
      <c r="Z60" s="3480">
        <v>3</v>
      </c>
      <c r="AA60" s="3480">
        <f t="shared" si="7"/>
        <v>5</v>
      </c>
    </row>
    <row r="61" spans="1:27">
      <c r="A61" s="3481">
        <v>60</v>
      </c>
      <c r="B61" s="3482" t="s">
        <v>3674</v>
      </c>
      <c r="C61" s="3482">
        <v>89.69</v>
      </c>
      <c r="D61" s="3486" t="s">
        <v>4097</v>
      </c>
      <c r="E61" s="3486">
        <f t="shared" ca="1" si="0"/>
        <v>242</v>
      </c>
      <c r="F61" s="3486"/>
      <c r="S61" s="3486">
        <v>60</v>
      </c>
      <c r="T61" s="3486">
        <v>226</v>
      </c>
      <c r="U61" s="3486">
        <v>172.23</v>
      </c>
      <c r="V61" s="3486" t="s">
        <v>4062</v>
      </c>
      <c r="W61" s="3480">
        <f t="shared" si="5"/>
        <v>6.3273328434974285</v>
      </c>
      <c r="X61" s="3480">
        <v>6</v>
      </c>
      <c r="Y61" s="3480">
        <f t="shared" si="6"/>
        <v>11</v>
      </c>
      <c r="Z61" s="3480">
        <v>5</v>
      </c>
      <c r="AA61" s="3480">
        <f t="shared" si="7"/>
        <v>9</v>
      </c>
    </row>
    <row r="62" spans="1:27">
      <c r="A62" s="3481">
        <v>61</v>
      </c>
      <c r="B62" s="3482" t="s">
        <v>3675</v>
      </c>
      <c r="C62" s="3500">
        <v>87.02</v>
      </c>
      <c r="D62" s="3486" t="s">
        <v>4097</v>
      </c>
      <c r="E62" s="3486">
        <f t="shared" ca="1" si="0"/>
        <v>235</v>
      </c>
      <c r="F62" s="3486"/>
      <c r="S62" s="3486">
        <v>61</v>
      </c>
      <c r="T62" s="3486">
        <v>227</v>
      </c>
      <c r="U62" s="3486">
        <v>172.23</v>
      </c>
      <c r="V62" s="3486" t="s">
        <v>4062</v>
      </c>
      <c r="W62" s="3480">
        <f t="shared" si="5"/>
        <v>6.3273328434974285</v>
      </c>
      <c r="X62" s="3480">
        <v>6</v>
      </c>
      <c r="Y62" s="3480">
        <f t="shared" si="6"/>
        <v>11</v>
      </c>
      <c r="Z62" s="3480">
        <v>5</v>
      </c>
      <c r="AA62" s="3480">
        <f t="shared" si="7"/>
        <v>9</v>
      </c>
    </row>
    <row r="63" spans="1:27">
      <c r="A63" s="3481">
        <v>62</v>
      </c>
      <c r="B63" s="3482" t="s">
        <v>3676</v>
      </c>
      <c r="C63" s="3500">
        <v>89.69</v>
      </c>
      <c r="D63" s="3486" t="s">
        <v>4097</v>
      </c>
      <c r="E63" s="3486">
        <f t="shared" ca="1" si="0"/>
        <v>242</v>
      </c>
      <c r="F63" s="3486"/>
      <c r="H63" s="3480">
        <f>C20+C21+C40+C41+C62+C63+C84+C85</f>
        <v>699.91000000000008</v>
      </c>
      <c r="S63" s="3486">
        <v>62</v>
      </c>
      <c r="T63" s="3486">
        <v>228</v>
      </c>
      <c r="U63" s="3486">
        <v>172.23</v>
      </c>
      <c r="V63" s="3486" t="s">
        <v>4062</v>
      </c>
      <c r="W63" s="3480">
        <f t="shared" si="5"/>
        <v>6.3273328434974285</v>
      </c>
      <c r="X63" s="3480">
        <v>6</v>
      </c>
      <c r="Y63" s="3480">
        <f t="shared" si="6"/>
        <v>11</v>
      </c>
      <c r="Z63" s="3480">
        <v>5</v>
      </c>
      <c r="AA63" s="3480">
        <f t="shared" si="7"/>
        <v>9</v>
      </c>
    </row>
    <row r="64" spans="1:27">
      <c r="A64" s="3481">
        <v>63</v>
      </c>
      <c r="B64" s="3482" t="s">
        <v>3677</v>
      </c>
      <c r="C64" s="3482">
        <v>89.69</v>
      </c>
      <c r="D64" s="3486" t="s">
        <v>4097</v>
      </c>
      <c r="E64" s="3486">
        <f t="shared" ca="1" si="0"/>
        <v>242</v>
      </c>
      <c r="F64" s="3486"/>
      <c r="H64" s="3480">
        <f>'数据-基础表'!B3-三期清单!H63</f>
        <v>42361.229999999996</v>
      </c>
      <c r="S64" s="3486">
        <v>63</v>
      </c>
      <c r="T64" s="3486">
        <v>229</v>
      </c>
      <c r="U64" s="3486">
        <v>86.11</v>
      </c>
      <c r="V64" s="3486" t="s">
        <v>4062</v>
      </c>
      <c r="W64" s="3480">
        <f t="shared" si="5"/>
        <v>3.1634827332843498</v>
      </c>
      <c r="X64" s="3480">
        <v>3</v>
      </c>
      <c r="Y64" s="3480">
        <f t="shared" si="6"/>
        <v>5</v>
      </c>
      <c r="Z64" s="3480">
        <v>2</v>
      </c>
      <c r="AA64" s="3480">
        <f t="shared" si="7"/>
        <v>3</v>
      </c>
    </row>
    <row r="65" spans="1:27">
      <c r="A65" s="3481">
        <v>64</v>
      </c>
      <c r="B65" s="3482" t="s">
        <v>3678</v>
      </c>
      <c r="C65" s="3482">
        <v>87.02</v>
      </c>
      <c r="D65" s="3486" t="s">
        <v>4097</v>
      </c>
      <c r="E65" s="3486">
        <f t="shared" ca="1" si="0"/>
        <v>235</v>
      </c>
      <c r="F65" s="3486"/>
      <c r="S65" s="3486">
        <v>64</v>
      </c>
      <c r="T65" s="3486">
        <v>230</v>
      </c>
      <c r="U65" s="3486">
        <v>57.41</v>
      </c>
      <c r="V65" s="3486" t="s">
        <v>4062</v>
      </c>
      <c r="W65" s="3480">
        <f t="shared" si="5"/>
        <v>2.1091109478324759</v>
      </c>
      <c r="X65" s="3480">
        <v>2</v>
      </c>
      <c r="Y65" s="3480">
        <f t="shared" si="6"/>
        <v>3</v>
      </c>
      <c r="Z65" s="3480">
        <v>1</v>
      </c>
      <c r="AA65" s="3480">
        <f t="shared" si="7"/>
        <v>1</v>
      </c>
    </row>
    <row r="66" spans="1:27">
      <c r="A66" s="3481">
        <v>65</v>
      </c>
      <c r="B66" s="3482" t="s">
        <v>3679</v>
      </c>
      <c r="C66" s="3482">
        <v>89.69</v>
      </c>
      <c r="D66" s="3486" t="s">
        <v>4097</v>
      </c>
      <c r="E66" s="3486">
        <f t="shared" ref="E66:E129" ca="1" si="8">ROUND(C66*$F$2/10000,0)</f>
        <v>242</v>
      </c>
      <c r="F66" s="3486"/>
      <c r="S66" s="3486">
        <v>65</v>
      </c>
      <c r="T66" s="3486">
        <v>231</v>
      </c>
      <c r="U66" s="3486">
        <v>258.33999999999997</v>
      </c>
      <c r="V66" s="3486" t="s">
        <v>4062</v>
      </c>
      <c r="W66" s="3480">
        <f t="shared" si="5"/>
        <v>9.4908155767817775</v>
      </c>
      <c r="X66" s="3480">
        <v>9</v>
      </c>
      <c r="Y66" s="3480">
        <f t="shared" si="6"/>
        <v>17</v>
      </c>
      <c r="Z66" s="3480">
        <v>7</v>
      </c>
      <c r="AA66" s="3480">
        <f t="shared" si="7"/>
        <v>13</v>
      </c>
    </row>
    <row r="67" spans="1:27">
      <c r="A67" s="3481">
        <v>66</v>
      </c>
      <c r="B67" s="3482" t="s">
        <v>3680</v>
      </c>
      <c r="C67" s="3482">
        <v>87.02</v>
      </c>
      <c r="D67" s="3486" t="s">
        <v>4097</v>
      </c>
      <c r="E67" s="3486">
        <f t="shared" ca="1" si="8"/>
        <v>235</v>
      </c>
      <c r="F67" s="3486"/>
      <c r="S67" s="3486">
        <v>66</v>
      </c>
      <c r="T67" s="3486">
        <v>232</v>
      </c>
      <c r="U67" s="3486">
        <v>344.45</v>
      </c>
      <c r="V67" s="3486" t="s">
        <v>4062</v>
      </c>
      <c r="W67" s="3480">
        <f t="shared" si="5"/>
        <v>12.654298310066128</v>
      </c>
      <c r="X67" s="3480">
        <v>12</v>
      </c>
      <c r="Y67" s="3480">
        <f t="shared" si="6"/>
        <v>23</v>
      </c>
      <c r="Z67" s="3480">
        <v>10</v>
      </c>
      <c r="AA67" s="3480">
        <f t="shared" si="7"/>
        <v>19</v>
      </c>
    </row>
    <row r="68" spans="1:27">
      <c r="A68" s="3481">
        <v>67</v>
      </c>
      <c r="B68" s="3482" t="s">
        <v>3681</v>
      </c>
      <c r="C68" s="3482">
        <v>89.69</v>
      </c>
      <c r="D68" s="3486" t="s">
        <v>4097</v>
      </c>
      <c r="E68" s="3486">
        <f t="shared" ca="1" si="8"/>
        <v>242</v>
      </c>
      <c r="F68" s="3486"/>
      <c r="S68" s="3486">
        <v>67</v>
      </c>
      <c r="T68" s="3486">
        <v>233</v>
      </c>
      <c r="U68" s="3486">
        <v>114.82</v>
      </c>
      <c r="V68" s="3486" t="s">
        <v>4062</v>
      </c>
      <c r="W68" s="3480">
        <f t="shared" si="5"/>
        <v>4.2182218956649518</v>
      </c>
      <c r="X68" s="3480">
        <v>4</v>
      </c>
      <c r="Y68" s="3480">
        <f t="shared" si="6"/>
        <v>7</v>
      </c>
      <c r="Z68" s="3480">
        <v>3</v>
      </c>
      <c r="AA68" s="3480">
        <f t="shared" si="7"/>
        <v>5</v>
      </c>
    </row>
    <row r="69" spans="1:27">
      <c r="A69" s="3481">
        <v>68</v>
      </c>
      <c r="B69" s="3482" t="s">
        <v>3682</v>
      </c>
      <c r="C69" s="3482">
        <v>87.02</v>
      </c>
      <c r="D69" s="3486" t="s">
        <v>4097</v>
      </c>
      <c r="E69" s="3486">
        <f t="shared" ca="1" si="8"/>
        <v>235</v>
      </c>
      <c r="F69" s="3486"/>
      <c r="S69" s="3486">
        <v>68</v>
      </c>
      <c r="T69" s="3486">
        <v>234</v>
      </c>
      <c r="U69" s="3486">
        <v>172.23</v>
      </c>
      <c r="V69" s="3486" t="s">
        <v>4062</v>
      </c>
      <c r="W69" s="3480">
        <f t="shared" si="5"/>
        <v>6.3273328434974285</v>
      </c>
      <c r="X69" s="3480">
        <v>6</v>
      </c>
      <c r="Y69" s="3480">
        <f t="shared" si="6"/>
        <v>11</v>
      </c>
      <c r="Z69" s="3480">
        <v>5</v>
      </c>
      <c r="AA69" s="3480">
        <f t="shared" si="7"/>
        <v>9</v>
      </c>
    </row>
    <row r="70" spans="1:27">
      <c r="A70" s="3481">
        <v>69</v>
      </c>
      <c r="B70" s="3482" t="s">
        <v>3683</v>
      </c>
      <c r="C70" s="3482">
        <v>89.69</v>
      </c>
      <c r="D70" s="3486" t="s">
        <v>4097</v>
      </c>
      <c r="E70" s="3486">
        <f t="shared" ca="1" si="8"/>
        <v>242</v>
      </c>
      <c r="F70" s="3486"/>
      <c r="S70" s="3486">
        <v>69</v>
      </c>
      <c r="T70" s="3486">
        <v>235</v>
      </c>
      <c r="U70" s="3486">
        <v>172.23</v>
      </c>
      <c r="V70" s="3486" t="s">
        <v>4062</v>
      </c>
      <c r="W70" s="3480">
        <f t="shared" si="5"/>
        <v>6.3273328434974285</v>
      </c>
      <c r="X70" s="3480">
        <v>6</v>
      </c>
      <c r="Y70" s="3480">
        <f t="shared" si="6"/>
        <v>11</v>
      </c>
      <c r="Z70" s="3480">
        <v>5</v>
      </c>
      <c r="AA70" s="3480">
        <f t="shared" si="7"/>
        <v>9</v>
      </c>
    </row>
    <row r="71" spans="1:27">
      <c r="A71" s="3481">
        <v>70</v>
      </c>
      <c r="B71" s="3482" t="s">
        <v>3684</v>
      </c>
      <c r="C71" s="3482">
        <v>87.02</v>
      </c>
      <c r="D71" s="3486" t="s">
        <v>4097</v>
      </c>
      <c r="E71" s="3486">
        <f t="shared" ca="1" si="8"/>
        <v>235</v>
      </c>
      <c r="F71" s="3486"/>
      <c r="S71" s="3486">
        <v>70</v>
      </c>
      <c r="T71" s="3486">
        <v>236</v>
      </c>
      <c r="U71" s="3486">
        <v>172.23</v>
      </c>
      <c r="V71" s="3486" t="s">
        <v>4062</v>
      </c>
      <c r="W71" s="3480">
        <f t="shared" si="5"/>
        <v>6.3273328434974285</v>
      </c>
      <c r="X71" s="3480">
        <v>6</v>
      </c>
      <c r="Y71" s="3480">
        <f t="shared" si="6"/>
        <v>11</v>
      </c>
      <c r="Z71" s="3480">
        <v>5</v>
      </c>
      <c r="AA71" s="3480">
        <f t="shared" si="7"/>
        <v>9</v>
      </c>
    </row>
    <row r="72" spans="1:27">
      <c r="A72" s="3481">
        <v>71</v>
      </c>
      <c r="B72" s="3482" t="s">
        <v>3685</v>
      </c>
      <c r="C72" s="3482">
        <v>89.69</v>
      </c>
      <c r="D72" s="3486" t="s">
        <v>4097</v>
      </c>
      <c r="E72" s="3486">
        <f t="shared" ca="1" si="8"/>
        <v>242</v>
      </c>
      <c r="F72" s="3486"/>
      <c r="S72" s="3486">
        <v>71</v>
      </c>
      <c r="T72" s="3486">
        <v>237</v>
      </c>
      <c r="U72" s="3486">
        <v>114.82</v>
      </c>
      <c r="V72" s="3486" t="s">
        <v>4062</v>
      </c>
      <c r="W72" s="3480">
        <f t="shared" si="5"/>
        <v>4.2182218956649518</v>
      </c>
      <c r="X72" s="3480">
        <v>4</v>
      </c>
      <c r="Y72" s="3480">
        <f t="shared" si="6"/>
        <v>7</v>
      </c>
      <c r="Z72" s="3480">
        <v>3</v>
      </c>
      <c r="AA72" s="3480">
        <f t="shared" si="7"/>
        <v>5</v>
      </c>
    </row>
    <row r="73" spans="1:27">
      <c r="A73" s="3481">
        <v>72</v>
      </c>
      <c r="B73" s="3482" t="s">
        <v>3686</v>
      </c>
      <c r="C73" s="3482">
        <v>87.02</v>
      </c>
      <c r="D73" s="3486" t="s">
        <v>4097</v>
      </c>
      <c r="E73" s="3486">
        <f t="shared" ca="1" si="8"/>
        <v>235</v>
      </c>
      <c r="F73" s="3486"/>
      <c r="S73" s="3486">
        <v>72</v>
      </c>
      <c r="T73" s="3486">
        <v>238</v>
      </c>
      <c r="U73" s="3486">
        <v>114.82</v>
      </c>
      <c r="V73" s="3486" t="s">
        <v>4062</v>
      </c>
      <c r="W73" s="3480">
        <f t="shared" si="5"/>
        <v>4.2182218956649518</v>
      </c>
      <c r="X73" s="3480">
        <v>4</v>
      </c>
      <c r="Y73" s="3480">
        <f t="shared" si="6"/>
        <v>7</v>
      </c>
      <c r="Z73" s="3480">
        <v>3</v>
      </c>
      <c r="AA73" s="3480">
        <f t="shared" si="7"/>
        <v>5</v>
      </c>
    </row>
    <row r="74" spans="1:27">
      <c r="A74" s="3481">
        <v>73</v>
      </c>
      <c r="B74" s="3482" t="s">
        <v>3687</v>
      </c>
      <c r="C74" s="3482">
        <v>89.69</v>
      </c>
      <c r="D74" s="3486" t="s">
        <v>4097</v>
      </c>
      <c r="E74" s="3486">
        <f t="shared" ca="1" si="8"/>
        <v>242</v>
      </c>
      <c r="F74" s="3486"/>
      <c r="S74" s="3486">
        <v>73</v>
      </c>
      <c r="T74" s="3486">
        <v>239</v>
      </c>
      <c r="U74" s="3486">
        <v>172.23</v>
      </c>
      <c r="V74" s="3486" t="s">
        <v>4062</v>
      </c>
      <c r="W74" s="3480">
        <f t="shared" si="5"/>
        <v>6.3273328434974285</v>
      </c>
      <c r="X74" s="3480">
        <v>6</v>
      </c>
      <c r="Y74" s="3480">
        <f t="shared" si="6"/>
        <v>11</v>
      </c>
      <c r="Z74" s="3480">
        <v>5</v>
      </c>
      <c r="AA74" s="3480">
        <f t="shared" si="7"/>
        <v>9</v>
      </c>
    </row>
    <row r="75" spans="1:27">
      <c r="A75" s="3481">
        <v>74</v>
      </c>
      <c r="B75" s="3482" t="s">
        <v>3688</v>
      </c>
      <c r="C75" s="3482">
        <v>87.02</v>
      </c>
      <c r="D75" s="3486" t="s">
        <v>4097</v>
      </c>
      <c r="E75" s="3486">
        <f t="shared" ca="1" si="8"/>
        <v>235</v>
      </c>
      <c r="F75" s="3486"/>
      <c r="S75" s="3486">
        <v>74</v>
      </c>
      <c r="T75" s="3486">
        <v>240</v>
      </c>
      <c r="U75" s="3486">
        <v>172.23</v>
      </c>
      <c r="V75" s="3486" t="s">
        <v>4062</v>
      </c>
      <c r="W75" s="3480">
        <f t="shared" si="5"/>
        <v>6.3273328434974285</v>
      </c>
      <c r="X75" s="3480">
        <v>6</v>
      </c>
      <c r="Y75" s="3480">
        <f t="shared" si="6"/>
        <v>11</v>
      </c>
      <c r="Z75" s="3480">
        <v>5</v>
      </c>
      <c r="AA75" s="3480">
        <f t="shared" si="7"/>
        <v>9</v>
      </c>
    </row>
    <row r="76" spans="1:27">
      <c r="A76" s="3481">
        <v>75</v>
      </c>
      <c r="B76" s="3482" t="s">
        <v>3689</v>
      </c>
      <c r="C76" s="3482">
        <v>89.69</v>
      </c>
      <c r="D76" s="3486" t="s">
        <v>4097</v>
      </c>
      <c r="E76" s="3486">
        <f t="shared" ca="1" si="8"/>
        <v>242</v>
      </c>
      <c r="F76" s="3486"/>
      <c r="S76" s="3486">
        <v>75</v>
      </c>
      <c r="T76" s="3486">
        <v>241</v>
      </c>
      <c r="U76" s="3486">
        <v>172.23</v>
      </c>
      <c r="V76" s="3486" t="s">
        <v>4062</v>
      </c>
      <c r="W76" s="3480">
        <f t="shared" si="5"/>
        <v>6.3273328434974285</v>
      </c>
      <c r="X76" s="3480">
        <v>6</v>
      </c>
      <c r="Y76" s="3480">
        <f t="shared" si="6"/>
        <v>11</v>
      </c>
      <c r="Z76" s="3480">
        <v>5</v>
      </c>
      <c r="AA76" s="3480">
        <f t="shared" si="7"/>
        <v>9</v>
      </c>
    </row>
    <row r="77" spans="1:27">
      <c r="A77" s="3481">
        <v>76</v>
      </c>
      <c r="B77" s="3482" t="s">
        <v>3690</v>
      </c>
      <c r="C77" s="3482">
        <v>87.02</v>
      </c>
      <c r="D77" s="3486" t="s">
        <v>4097</v>
      </c>
      <c r="E77" s="3486">
        <f t="shared" ca="1" si="8"/>
        <v>235</v>
      </c>
      <c r="F77" s="3486"/>
      <c r="S77" s="3486">
        <v>76</v>
      </c>
      <c r="T77" s="3486">
        <v>242</v>
      </c>
      <c r="U77" s="3486">
        <v>258.33999999999997</v>
      </c>
      <c r="V77" s="3486" t="s">
        <v>4062</v>
      </c>
      <c r="W77" s="3480">
        <f t="shared" si="5"/>
        <v>9.4908155767817775</v>
      </c>
      <c r="X77" s="3480">
        <v>9</v>
      </c>
      <c r="Y77" s="3480">
        <f t="shared" si="6"/>
        <v>17</v>
      </c>
      <c r="Z77" s="3480">
        <v>7</v>
      </c>
      <c r="AA77" s="3480">
        <f t="shared" si="7"/>
        <v>13</v>
      </c>
    </row>
    <row r="78" spans="1:27">
      <c r="A78" s="3481">
        <v>77</v>
      </c>
      <c r="B78" s="3482" t="s">
        <v>3691</v>
      </c>
      <c r="C78" s="3482">
        <v>89.69</v>
      </c>
      <c r="D78" s="3486" t="s">
        <v>4097</v>
      </c>
      <c r="E78" s="3486">
        <f t="shared" ca="1" si="8"/>
        <v>242</v>
      </c>
      <c r="F78" s="3486"/>
      <c r="S78" s="3486">
        <v>77</v>
      </c>
      <c r="T78" s="3486">
        <v>243</v>
      </c>
      <c r="U78" s="3486">
        <v>258.33999999999997</v>
      </c>
      <c r="V78" s="3486" t="s">
        <v>4095</v>
      </c>
      <c r="W78" s="3480">
        <f t="shared" si="5"/>
        <v>9.4908155767817775</v>
      </c>
      <c r="X78" s="3480">
        <v>9</v>
      </c>
      <c r="Y78" s="3480">
        <f t="shared" si="6"/>
        <v>17</v>
      </c>
      <c r="Z78" s="3480">
        <v>7</v>
      </c>
      <c r="AA78" s="3480">
        <f t="shared" si="7"/>
        <v>13</v>
      </c>
    </row>
    <row r="79" spans="1:27">
      <c r="A79" s="3481">
        <v>78</v>
      </c>
      <c r="B79" s="3482" t="s">
        <v>3692</v>
      </c>
      <c r="C79" s="3482">
        <v>87.02</v>
      </c>
      <c r="D79" s="3486" t="s">
        <v>4097</v>
      </c>
      <c r="E79" s="3486">
        <f t="shared" ca="1" si="8"/>
        <v>235</v>
      </c>
      <c r="F79" s="3486"/>
      <c r="S79" s="3486">
        <v>78</v>
      </c>
      <c r="T79" s="3486">
        <v>244</v>
      </c>
      <c r="U79" s="3486">
        <v>258.33999999999997</v>
      </c>
      <c r="V79" s="3486" t="s">
        <v>4062</v>
      </c>
      <c r="W79" s="3480">
        <f t="shared" si="5"/>
        <v>9.4908155767817775</v>
      </c>
      <c r="X79" s="3480">
        <v>9</v>
      </c>
      <c r="Y79" s="3480">
        <f t="shared" si="6"/>
        <v>17</v>
      </c>
      <c r="Z79" s="3480">
        <v>7</v>
      </c>
      <c r="AA79" s="3480">
        <f t="shared" si="7"/>
        <v>13</v>
      </c>
    </row>
    <row r="80" spans="1:27">
      <c r="A80" s="3481">
        <v>79</v>
      </c>
      <c r="B80" s="3482" t="s">
        <v>3693</v>
      </c>
      <c r="C80" s="3482">
        <v>89.69</v>
      </c>
      <c r="D80" s="3486" t="s">
        <v>4097</v>
      </c>
      <c r="E80" s="3486">
        <f t="shared" ca="1" si="8"/>
        <v>242</v>
      </c>
      <c r="F80" s="3486"/>
      <c r="S80" s="3486">
        <v>79</v>
      </c>
      <c r="T80" s="3486">
        <v>245</v>
      </c>
      <c r="U80" s="3486">
        <v>172.23</v>
      </c>
      <c r="V80" s="3486" t="s">
        <v>4062</v>
      </c>
      <c r="W80" s="3480">
        <f t="shared" si="5"/>
        <v>6.3273328434974285</v>
      </c>
      <c r="X80" s="3480">
        <v>6</v>
      </c>
      <c r="Y80" s="3480">
        <f t="shared" si="6"/>
        <v>11</v>
      </c>
      <c r="Z80" s="3480">
        <v>5</v>
      </c>
      <c r="AA80" s="3480">
        <f t="shared" si="7"/>
        <v>9</v>
      </c>
    </row>
    <row r="81" spans="1:27">
      <c r="A81" s="3481">
        <v>80</v>
      </c>
      <c r="B81" s="3482" t="s">
        <v>3694</v>
      </c>
      <c r="C81" s="3482">
        <v>87.02</v>
      </c>
      <c r="D81" s="3486" t="s">
        <v>4097</v>
      </c>
      <c r="E81" s="3486">
        <f t="shared" ca="1" si="8"/>
        <v>235</v>
      </c>
      <c r="F81" s="3486"/>
      <c r="S81" s="3486">
        <v>80</v>
      </c>
      <c r="T81" s="3486">
        <v>246</v>
      </c>
      <c r="U81" s="3486">
        <v>258.33999999999997</v>
      </c>
      <c r="V81" s="3486" t="s">
        <v>4062</v>
      </c>
      <c r="W81" s="3480">
        <f t="shared" si="5"/>
        <v>9.4908155767817775</v>
      </c>
      <c r="X81" s="3480">
        <v>9</v>
      </c>
      <c r="Y81" s="3480">
        <f t="shared" si="6"/>
        <v>17</v>
      </c>
      <c r="Z81" s="3480">
        <v>7</v>
      </c>
      <c r="AA81" s="3480">
        <f t="shared" si="7"/>
        <v>13</v>
      </c>
    </row>
    <row r="82" spans="1:27">
      <c r="A82" s="3481">
        <v>81</v>
      </c>
      <c r="B82" s="3482" t="s">
        <v>3695</v>
      </c>
      <c r="C82" s="3482">
        <v>89.69</v>
      </c>
      <c r="D82" s="3486" t="s">
        <v>4097</v>
      </c>
      <c r="E82" s="3486">
        <f t="shared" ca="1" si="8"/>
        <v>242</v>
      </c>
      <c r="F82" s="3486"/>
      <c r="S82" s="3486">
        <v>81</v>
      </c>
      <c r="T82" s="3486">
        <v>247</v>
      </c>
      <c r="U82" s="3486">
        <v>258.33999999999997</v>
      </c>
      <c r="V82" s="3486" t="s">
        <v>4062</v>
      </c>
      <c r="W82" s="3480">
        <f t="shared" si="5"/>
        <v>9.4908155767817775</v>
      </c>
      <c r="X82" s="3480">
        <v>9</v>
      </c>
      <c r="Y82" s="3480">
        <f t="shared" si="6"/>
        <v>17</v>
      </c>
      <c r="Z82" s="3480">
        <v>7</v>
      </c>
      <c r="AA82" s="3480">
        <f t="shared" si="7"/>
        <v>13</v>
      </c>
    </row>
    <row r="83" spans="1:27">
      <c r="A83" s="3481">
        <v>82</v>
      </c>
      <c r="B83" s="3482" t="s">
        <v>3696</v>
      </c>
      <c r="C83" s="3482">
        <v>87.02</v>
      </c>
      <c r="D83" s="3486" t="s">
        <v>4097</v>
      </c>
      <c r="E83" s="3486">
        <f t="shared" ca="1" si="8"/>
        <v>235</v>
      </c>
      <c r="F83" s="3486"/>
      <c r="S83" s="3486">
        <v>82</v>
      </c>
      <c r="T83" s="3486">
        <v>248</v>
      </c>
      <c r="U83" s="3486">
        <v>258.33999999999997</v>
      </c>
      <c r="V83" s="3486" t="s">
        <v>4062</v>
      </c>
      <c r="W83" s="3480">
        <f t="shared" si="5"/>
        <v>9.4908155767817775</v>
      </c>
      <c r="X83" s="3480">
        <v>9</v>
      </c>
      <c r="Y83" s="3480">
        <f t="shared" si="6"/>
        <v>17</v>
      </c>
      <c r="Z83" s="3480">
        <v>7</v>
      </c>
      <c r="AA83" s="3480">
        <f t="shared" si="7"/>
        <v>13</v>
      </c>
    </row>
    <row r="84" spans="1:27">
      <c r="A84" s="3481">
        <v>83</v>
      </c>
      <c r="B84" s="3482" t="s">
        <v>3697</v>
      </c>
      <c r="C84" s="3500">
        <v>89.69</v>
      </c>
      <c r="D84" s="3486" t="s">
        <v>4097</v>
      </c>
      <c r="E84" s="3486">
        <f t="shared" ca="1" si="8"/>
        <v>242</v>
      </c>
      <c r="F84" s="3486"/>
      <c r="S84" s="3486">
        <v>83</v>
      </c>
      <c r="T84" s="3486">
        <v>249</v>
      </c>
      <c r="U84" s="3486">
        <v>57.41</v>
      </c>
      <c r="V84" s="3486" t="s">
        <v>4062</v>
      </c>
      <c r="W84" s="3480">
        <f t="shared" si="5"/>
        <v>2.1091109478324759</v>
      </c>
      <c r="X84" s="3480">
        <v>2</v>
      </c>
      <c r="Y84" s="3480">
        <f t="shared" si="6"/>
        <v>3</v>
      </c>
      <c r="Z84" s="3480">
        <v>1</v>
      </c>
      <c r="AA84" s="3480">
        <f t="shared" si="7"/>
        <v>1</v>
      </c>
    </row>
    <row r="85" spans="1:27">
      <c r="A85" s="3481">
        <v>84</v>
      </c>
      <c r="B85" s="3482" t="s">
        <v>3698</v>
      </c>
      <c r="C85" s="3500">
        <v>87.02</v>
      </c>
      <c r="D85" s="3486" t="s">
        <v>4097</v>
      </c>
      <c r="E85" s="3486">
        <f t="shared" ca="1" si="8"/>
        <v>235</v>
      </c>
      <c r="F85" s="3486"/>
      <c r="S85" s="3486">
        <v>84</v>
      </c>
      <c r="T85" s="3486">
        <v>250</v>
      </c>
      <c r="U85" s="3486">
        <v>57.41</v>
      </c>
      <c r="V85" s="3486" t="s">
        <v>4062</v>
      </c>
      <c r="W85" s="3480">
        <f t="shared" si="5"/>
        <v>2.1091109478324759</v>
      </c>
      <c r="X85" s="3480">
        <v>2</v>
      </c>
      <c r="Y85" s="3480">
        <f t="shared" si="6"/>
        <v>3</v>
      </c>
      <c r="Z85" s="3480">
        <v>1</v>
      </c>
      <c r="AA85" s="3480">
        <f t="shared" si="7"/>
        <v>1</v>
      </c>
    </row>
    <row r="86" spans="1:27">
      <c r="A86" s="3481">
        <v>85</v>
      </c>
      <c r="B86" s="3482" t="s">
        <v>3699</v>
      </c>
      <c r="C86" s="3482">
        <v>82.93</v>
      </c>
      <c r="D86" s="3486" t="s">
        <v>4097</v>
      </c>
      <c r="E86" s="3486">
        <f t="shared" ca="1" si="8"/>
        <v>224</v>
      </c>
      <c r="F86" s="3486"/>
      <c r="S86" s="3486">
        <v>85</v>
      </c>
      <c r="T86" s="3486">
        <v>251</v>
      </c>
      <c r="U86" s="3486">
        <v>258.33999999999997</v>
      </c>
      <c r="V86" s="3486" t="s">
        <v>4062</v>
      </c>
      <c r="W86" s="3480">
        <f t="shared" si="5"/>
        <v>9.4908155767817775</v>
      </c>
      <c r="X86" s="3480">
        <v>9</v>
      </c>
      <c r="Y86" s="3480">
        <f t="shared" si="6"/>
        <v>17</v>
      </c>
      <c r="Z86" s="3480">
        <v>7</v>
      </c>
      <c r="AA86" s="3480">
        <f t="shared" si="7"/>
        <v>13</v>
      </c>
    </row>
    <row r="87" spans="1:27">
      <c r="A87" s="3481">
        <v>86</v>
      </c>
      <c r="B87" s="3482" t="s">
        <v>3700</v>
      </c>
      <c r="C87" s="3482">
        <v>82.56</v>
      </c>
      <c r="D87" s="3486" t="s">
        <v>4097</v>
      </c>
      <c r="E87" s="3486">
        <f t="shared" ca="1" si="8"/>
        <v>223</v>
      </c>
      <c r="F87" s="3486"/>
      <c r="S87" s="3486">
        <v>86</v>
      </c>
      <c r="T87" s="3486">
        <v>252</v>
      </c>
      <c r="U87" s="3486">
        <v>258.33999999999997</v>
      </c>
      <c r="V87" s="3486" t="s">
        <v>4062</v>
      </c>
      <c r="W87" s="3480">
        <f t="shared" si="5"/>
        <v>9.4908155767817775</v>
      </c>
      <c r="X87" s="3480">
        <v>9</v>
      </c>
      <c r="Y87" s="3480">
        <f t="shared" si="6"/>
        <v>17</v>
      </c>
      <c r="Z87" s="3480">
        <v>7</v>
      </c>
      <c r="AA87" s="3480">
        <f t="shared" si="7"/>
        <v>13</v>
      </c>
    </row>
    <row r="88" spans="1:27">
      <c r="A88" s="3481">
        <v>87</v>
      </c>
      <c r="B88" s="3482" t="s">
        <v>3701</v>
      </c>
      <c r="C88" s="3482">
        <v>82.93</v>
      </c>
      <c r="D88" s="3486" t="s">
        <v>4097</v>
      </c>
      <c r="E88" s="3486">
        <f t="shared" ca="1" si="8"/>
        <v>224</v>
      </c>
      <c r="F88" s="3486"/>
      <c r="S88" s="3486">
        <v>87</v>
      </c>
      <c r="T88" s="3486">
        <v>253</v>
      </c>
      <c r="U88" s="3486">
        <v>258.33999999999997</v>
      </c>
      <c r="V88" s="3486" t="s">
        <v>4062</v>
      </c>
      <c r="W88" s="3480">
        <f t="shared" si="5"/>
        <v>9.4908155767817775</v>
      </c>
      <c r="X88" s="3480">
        <v>9</v>
      </c>
      <c r="Y88" s="3480">
        <f t="shared" si="6"/>
        <v>17</v>
      </c>
      <c r="Z88" s="3480">
        <v>7</v>
      </c>
      <c r="AA88" s="3480">
        <f t="shared" si="7"/>
        <v>13</v>
      </c>
    </row>
    <row r="89" spans="1:27">
      <c r="A89" s="3481">
        <v>88</v>
      </c>
      <c r="B89" s="3482" t="s">
        <v>3702</v>
      </c>
      <c r="C89" s="3482">
        <v>82.56</v>
      </c>
      <c r="D89" s="3486" t="s">
        <v>4097</v>
      </c>
      <c r="E89" s="3486">
        <f t="shared" ca="1" si="8"/>
        <v>223</v>
      </c>
      <c r="F89" s="3486"/>
      <c r="S89" s="3486">
        <v>88</v>
      </c>
      <c r="T89" s="3486">
        <v>254</v>
      </c>
      <c r="U89" s="3486">
        <v>258.33999999999997</v>
      </c>
      <c r="V89" s="3486" t="s">
        <v>4062</v>
      </c>
      <c r="W89" s="3480">
        <f t="shared" si="5"/>
        <v>9.4908155767817775</v>
      </c>
      <c r="X89" s="3480">
        <v>9</v>
      </c>
      <c r="Y89" s="3480">
        <f t="shared" si="6"/>
        <v>17</v>
      </c>
      <c r="Z89" s="3480">
        <v>7</v>
      </c>
      <c r="AA89" s="3480">
        <f t="shared" si="7"/>
        <v>13</v>
      </c>
    </row>
    <row r="90" spans="1:27">
      <c r="A90" s="3481">
        <v>89</v>
      </c>
      <c r="B90" s="3482" t="s">
        <v>3703</v>
      </c>
      <c r="C90" s="3482">
        <v>82.93</v>
      </c>
      <c r="D90" s="3486" t="s">
        <v>4097</v>
      </c>
      <c r="E90" s="3486">
        <f t="shared" ca="1" si="8"/>
        <v>224</v>
      </c>
      <c r="F90" s="3486"/>
      <c r="S90" s="3486">
        <v>89</v>
      </c>
      <c r="T90" s="3486">
        <v>265</v>
      </c>
      <c r="U90" s="3486">
        <v>57.41</v>
      </c>
      <c r="V90" s="3486" t="s">
        <v>4062</v>
      </c>
      <c r="W90" s="3480">
        <f t="shared" si="5"/>
        <v>2.1091109478324759</v>
      </c>
      <c r="X90" s="3480">
        <v>2</v>
      </c>
      <c r="Y90" s="3480">
        <f t="shared" si="6"/>
        <v>3</v>
      </c>
      <c r="Z90" s="3480">
        <v>1</v>
      </c>
      <c r="AA90" s="3480">
        <f t="shared" si="7"/>
        <v>1</v>
      </c>
    </row>
    <row r="91" spans="1:27">
      <c r="A91" s="3481">
        <v>90</v>
      </c>
      <c r="B91" s="3482" t="s">
        <v>3704</v>
      </c>
      <c r="C91" s="3482">
        <v>82.56</v>
      </c>
      <c r="D91" s="3486" t="s">
        <v>4097</v>
      </c>
      <c r="E91" s="3486">
        <f t="shared" ca="1" si="8"/>
        <v>223</v>
      </c>
      <c r="F91" s="3486"/>
      <c r="S91" s="3486">
        <v>90</v>
      </c>
      <c r="T91" s="3486">
        <v>266</v>
      </c>
      <c r="U91" s="3486">
        <v>172.23</v>
      </c>
      <c r="V91" s="3486" t="s">
        <v>4062</v>
      </c>
      <c r="W91" s="3480">
        <f t="shared" si="5"/>
        <v>6.3273328434974285</v>
      </c>
      <c r="X91" s="3480">
        <v>6</v>
      </c>
      <c r="Y91" s="3480">
        <f t="shared" si="6"/>
        <v>11</v>
      </c>
      <c r="Z91" s="3480">
        <v>5</v>
      </c>
      <c r="AA91" s="3480">
        <f t="shared" si="7"/>
        <v>9</v>
      </c>
    </row>
    <row r="92" spans="1:27">
      <c r="A92" s="3481">
        <v>91</v>
      </c>
      <c r="B92" s="3482" t="s">
        <v>3705</v>
      </c>
      <c r="C92" s="3482">
        <v>82.93</v>
      </c>
      <c r="D92" s="3486" t="s">
        <v>4097</v>
      </c>
      <c r="E92" s="3486">
        <f t="shared" ca="1" si="8"/>
        <v>224</v>
      </c>
      <c r="F92" s="3486"/>
      <c r="S92" s="3486" t="s">
        <v>4090</v>
      </c>
      <c r="T92" s="3486"/>
      <c r="U92" s="3486">
        <v>8677.6999999999971</v>
      </c>
      <c r="V92" s="3486"/>
      <c r="Y92" s="3480">
        <f>SUM(Y54:Y91)</f>
        <v>468</v>
      </c>
      <c r="AA92" s="3480">
        <f>SUM(AA54:AA91)</f>
        <v>358</v>
      </c>
    </row>
    <row r="93" spans="1:27">
      <c r="A93" s="3481">
        <v>92</v>
      </c>
      <c r="B93" s="3482" t="s">
        <v>3706</v>
      </c>
      <c r="C93" s="3482">
        <v>82.56</v>
      </c>
      <c r="D93" s="3486" t="s">
        <v>4097</v>
      </c>
      <c r="E93" s="3486">
        <f t="shared" ca="1" si="8"/>
        <v>223</v>
      </c>
      <c r="F93" s="3486"/>
    </row>
    <row r="94" spans="1:27">
      <c r="A94" s="3481">
        <v>93</v>
      </c>
      <c r="B94" s="3482" t="s">
        <v>3707</v>
      </c>
      <c r="C94" s="3482">
        <v>82.93</v>
      </c>
      <c r="D94" s="3486" t="s">
        <v>4097</v>
      </c>
      <c r="E94" s="3486">
        <f t="shared" ca="1" si="8"/>
        <v>224</v>
      </c>
      <c r="F94" s="3486"/>
    </row>
    <row r="95" spans="1:27">
      <c r="A95" s="3481">
        <v>94</v>
      </c>
      <c r="B95" s="3482" t="s">
        <v>3708</v>
      </c>
      <c r="C95" s="3482">
        <v>82.56</v>
      </c>
      <c r="D95" s="3486" t="s">
        <v>4097</v>
      </c>
      <c r="E95" s="3486">
        <f t="shared" ca="1" si="8"/>
        <v>223</v>
      </c>
      <c r="F95" s="3486"/>
    </row>
    <row r="96" spans="1:27">
      <c r="A96" s="3481">
        <v>95</v>
      </c>
      <c r="B96" s="3482" t="s">
        <v>3709</v>
      </c>
      <c r="C96" s="3482">
        <v>82.93</v>
      </c>
      <c r="D96" s="3486" t="s">
        <v>4097</v>
      </c>
      <c r="E96" s="3486">
        <f t="shared" ca="1" si="8"/>
        <v>224</v>
      </c>
      <c r="F96" s="3486"/>
    </row>
    <row r="97" spans="1:6">
      <c r="A97" s="3481">
        <v>96</v>
      </c>
      <c r="B97" s="3482" t="s">
        <v>3710</v>
      </c>
      <c r="C97" s="3482">
        <v>82.56</v>
      </c>
      <c r="D97" s="3486" t="s">
        <v>4097</v>
      </c>
      <c r="E97" s="3486">
        <f t="shared" ca="1" si="8"/>
        <v>223</v>
      </c>
      <c r="F97" s="3486"/>
    </row>
    <row r="98" spans="1:6">
      <c r="A98" s="3481">
        <v>97</v>
      </c>
      <c r="B98" s="3482" t="s">
        <v>3711</v>
      </c>
      <c r="C98" s="3482">
        <v>82.93</v>
      </c>
      <c r="D98" s="3486" t="s">
        <v>4097</v>
      </c>
      <c r="E98" s="3486">
        <f t="shared" ca="1" si="8"/>
        <v>224</v>
      </c>
      <c r="F98" s="3486"/>
    </row>
    <row r="99" spans="1:6">
      <c r="A99" s="3481">
        <v>98</v>
      </c>
      <c r="B99" s="3482" t="s">
        <v>3712</v>
      </c>
      <c r="C99" s="3482">
        <v>82.56</v>
      </c>
      <c r="D99" s="3486" t="s">
        <v>4097</v>
      </c>
      <c r="E99" s="3486">
        <f t="shared" ca="1" si="8"/>
        <v>223</v>
      </c>
      <c r="F99" s="3486"/>
    </row>
    <row r="100" spans="1:6">
      <c r="A100" s="3481">
        <v>99</v>
      </c>
      <c r="B100" s="3482" t="s">
        <v>3713</v>
      </c>
      <c r="C100" s="3482">
        <v>82.93</v>
      </c>
      <c r="D100" s="3486" t="s">
        <v>4097</v>
      </c>
      <c r="E100" s="3486">
        <f t="shared" ca="1" si="8"/>
        <v>224</v>
      </c>
      <c r="F100" s="3486"/>
    </row>
    <row r="101" spans="1:6">
      <c r="A101" s="3481">
        <v>100</v>
      </c>
      <c r="B101" s="3482" t="s">
        <v>3714</v>
      </c>
      <c r="C101" s="3482">
        <v>82.56</v>
      </c>
      <c r="D101" s="3486" t="s">
        <v>4097</v>
      </c>
      <c r="E101" s="3486">
        <f t="shared" ca="1" si="8"/>
        <v>223</v>
      </c>
      <c r="F101" s="3486"/>
    </row>
    <row r="102" spans="1:6">
      <c r="A102" s="3481">
        <v>101</v>
      </c>
      <c r="B102" s="3482" t="s">
        <v>3715</v>
      </c>
      <c r="C102" s="3482">
        <v>82.93</v>
      </c>
      <c r="D102" s="3486" t="s">
        <v>4097</v>
      </c>
      <c r="E102" s="3486">
        <f t="shared" ca="1" si="8"/>
        <v>224</v>
      </c>
      <c r="F102" s="3486"/>
    </row>
    <row r="103" spans="1:6">
      <c r="A103" s="3481">
        <v>102</v>
      </c>
      <c r="B103" s="3482" t="s">
        <v>3716</v>
      </c>
      <c r="C103" s="3482">
        <v>82.56</v>
      </c>
      <c r="D103" s="3486" t="s">
        <v>4097</v>
      </c>
      <c r="E103" s="3486">
        <f t="shared" ca="1" si="8"/>
        <v>223</v>
      </c>
      <c r="F103" s="3486"/>
    </row>
    <row r="104" spans="1:6">
      <c r="A104" s="3481">
        <v>103</v>
      </c>
      <c r="B104" s="3482" t="s">
        <v>3717</v>
      </c>
      <c r="C104" s="3482">
        <v>82.93</v>
      </c>
      <c r="D104" s="3486" t="s">
        <v>4097</v>
      </c>
      <c r="E104" s="3486">
        <f t="shared" ca="1" si="8"/>
        <v>224</v>
      </c>
      <c r="F104" s="3486"/>
    </row>
    <row r="105" spans="1:6">
      <c r="A105" s="3481">
        <v>104</v>
      </c>
      <c r="B105" s="3482" t="s">
        <v>3718</v>
      </c>
      <c r="C105" s="3482">
        <v>82.56</v>
      </c>
      <c r="D105" s="3486" t="s">
        <v>4097</v>
      </c>
      <c r="E105" s="3486">
        <f t="shared" ca="1" si="8"/>
        <v>223</v>
      </c>
      <c r="F105" s="3486"/>
    </row>
    <row r="106" spans="1:6">
      <c r="A106" s="3481">
        <v>105</v>
      </c>
      <c r="B106" s="3482" t="s">
        <v>3719</v>
      </c>
      <c r="C106" s="3482">
        <v>82.56</v>
      </c>
      <c r="D106" s="3486" t="s">
        <v>4097</v>
      </c>
      <c r="E106" s="3486">
        <f t="shared" ca="1" si="8"/>
        <v>223</v>
      </c>
      <c r="F106" s="3486"/>
    </row>
    <row r="107" spans="1:6">
      <c r="A107" s="3481">
        <v>106</v>
      </c>
      <c r="B107" s="3482" t="s">
        <v>3720</v>
      </c>
      <c r="C107" s="3482">
        <v>82.93</v>
      </c>
      <c r="D107" s="3486" t="s">
        <v>4097</v>
      </c>
      <c r="E107" s="3486">
        <f t="shared" ca="1" si="8"/>
        <v>224</v>
      </c>
      <c r="F107" s="3486"/>
    </row>
    <row r="108" spans="1:6">
      <c r="A108" s="3481">
        <v>107</v>
      </c>
      <c r="B108" s="3482" t="s">
        <v>3721</v>
      </c>
      <c r="C108" s="3482">
        <v>82.56</v>
      </c>
      <c r="D108" s="3486" t="s">
        <v>4097</v>
      </c>
      <c r="E108" s="3486">
        <f t="shared" ca="1" si="8"/>
        <v>223</v>
      </c>
      <c r="F108" s="3486"/>
    </row>
    <row r="109" spans="1:6">
      <c r="A109" s="3481">
        <v>108</v>
      </c>
      <c r="B109" s="3482" t="s">
        <v>3722</v>
      </c>
      <c r="C109" s="3482">
        <v>82.93</v>
      </c>
      <c r="D109" s="3486" t="s">
        <v>4097</v>
      </c>
      <c r="E109" s="3486">
        <f t="shared" ca="1" si="8"/>
        <v>224</v>
      </c>
      <c r="F109" s="3486"/>
    </row>
    <row r="110" spans="1:6">
      <c r="A110" s="3481">
        <v>109</v>
      </c>
      <c r="B110" s="3482" t="s">
        <v>3723</v>
      </c>
      <c r="C110" s="3482">
        <v>82.56</v>
      </c>
      <c r="D110" s="3486" t="s">
        <v>4097</v>
      </c>
      <c r="E110" s="3486">
        <f t="shared" ca="1" si="8"/>
        <v>223</v>
      </c>
      <c r="F110" s="3486"/>
    </row>
    <row r="111" spans="1:6">
      <c r="A111" s="3481">
        <v>110</v>
      </c>
      <c r="B111" s="3482" t="s">
        <v>3724</v>
      </c>
      <c r="C111" s="3482">
        <v>82.93</v>
      </c>
      <c r="D111" s="3486" t="s">
        <v>4097</v>
      </c>
      <c r="E111" s="3486">
        <f t="shared" ca="1" si="8"/>
        <v>224</v>
      </c>
      <c r="F111" s="3486"/>
    </row>
    <row r="112" spans="1:6">
      <c r="A112" s="3481">
        <v>111</v>
      </c>
      <c r="B112" s="3482" t="s">
        <v>3725</v>
      </c>
      <c r="C112" s="3482">
        <v>82.56</v>
      </c>
      <c r="D112" s="3486" t="s">
        <v>4097</v>
      </c>
      <c r="E112" s="3486">
        <f t="shared" ca="1" si="8"/>
        <v>223</v>
      </c>
      <c r="F112" s="3486"/>
    </row>
    <row r="113" spans="1:6">
      <c r="A113" s="3481">
        <v>112</v>
      </c>
      <c r="B113" s="3482" t="s">
        <v>3726</v>
      </c>
      <c r="C113" s="3482">
        <v>82.93</v>
      </c>
      <c r="D113" s="3486" t="s">
        <v>4097</v>
      </c>
      <c r="E113" s="3486">
        <f t="shared" ca="1" si="8"/>
        <v>224</v>
      </c>
      <c r="F113" s="3486"/>
    </row>
    <row r="114" spans="1:6">
      <c r="A114" s="3481">
        <v>113</v>
      </c>
      <c r="B114" s="3482" t="s">
        <v>3727</v>
      </c>
      <c r="C114" s="3482">
        <v>82.56</v>
      </c>
      <c r="D114" s="3486" t="s">
        <v>4097</v>
      </c>
      <c r="E114" s="3486">
        <f t="shared" ca="1" si="8"/>
        <v>223</v>
      </c>
      <c r="F114" s="3486"/>
    </row>
    <row r="115" spans="1:6">
      <c r="A115" s="3481">
        <v>114</v>
      </c>
      <c r="B115" s="3482" t="s">
        <v>3728</v>
      </c>
      <c r="C115" s="3482">
        <v>82.93</v>
      </c>
      <c r="D115" s="3486" t="s">
        <v>4097</v>
      </c>
      <c r="E115" s="3486">
        <f t="shared" ca="1" si="8"/>
        <v>224</v>
      </c>
      <c r="F115" s="3486"/>
    </row>
    <row r="116" spans="1:6">
      <c r="A116" s="3481">
        <v>115</v>
      </c>
      <c r="B116" s="3482" t="s">
        <v>3729</v>
      </c>
      <c r="C116" s="3482">
        <v>82.56</v>
      </c>
      <c r="D116" s="3486" t="s">
        <v>4097</v>
      </c>
      <c r="E116" s="3486">
        <f t="shared" ca="1" si="8"/>
        <v>223</v>
      </c>
      <c r="F116" s="3486"/>
    </row>
    <row r="117" spans="1:6">
      <c r="A117" s="3481">
        <v>116</v>
      </c>
      <c r="B117" s="3482" t="s">
        <v>3730</v>
      </c>
      <c r="C117" s="3482">
        <v>82.93</v>
      </c>
      <c r="D117" s="3486" t="s">
        <v>4097</v>
      </c>
      <c r="E117" s="3486">
        <f t="shared" ca="1" si="8"/>
        <v>224</v>
      </c>
      <c r="F117" s="3486"/>
    </row>
    <row r="118" spans="1:6">
      <c r="A118" s="3481">
        <v>117</v>
      </c>
      <c r="B118" s="3482" t="s">
        <v>3731</v>
      </c>
      <c r="C118" s="3482">
        <v>82.56</v>
      </c>
      <c r="D118" s="3486" t="s">
        <v>4097</v>
      </c>
      <c r="E118" s="3486">
        <f t="shared" ca="1" si="8"/>
        <v>223</v>
      </c>
      <c r="F118" s="3486"/>
    </row>
    <row r="119" spans="1:6">
      <c r="A119" s="3481">
        <v>118</v>
      </c>
      <c r="B119" s="3482" t="s">
        <v>3732</v>
      </c>
      <c r="C119" s="3482">
        <v>82.93</v>
      </c>
      <c r="D119" s="3486" t="s">
        <v>4097</v>
      </c>
      <c r="E119" s="3486">
        <f t="shared" ca="1" si="8"/>
        <v>224</v>
      </c>
      <c r="F119" s="3486"/>
    </row>
    <row r="120" spans="1:6">
      <c r="A120" s="3481">
        <v>119</v>
      </c>
      <c r="B120" s="3482" t="s">
        <v>3733</v>
      </c>
      <c r="C120" s="3482">
        <v>82.56</v>
      </c>
      <c r="D120" s="3486" t="s">
        <v>4097</v>
      </c>
      <c r="E120" s="3486">
        <f t="shared" ca="1" si="8"/>
        <v>223</v>
      </c>
      <c r="F120" s="3486"/>
    </row>
    <row r="121" spans="1:6">
      <c r="A121" s="3481">
        <v>120</v>
      </c>
      <c r="B121" s="3482" t="s">
        <v>3734</v>
      </c>
      <c r="C121" s="3482">
        <v>82.93</v>
      </c>
      <c r="D121" s="3486" t="s">
        <v>4097</v>
      </c>
      <c r="E121" s="3486">
        <f t="shared" ca="1" si="8"/>
        <v>224</v>
      </c>
      <c r="F121" s="3486"/>
    </row>
    <row r="122" spans="1:6">
      <c r="A122" s="3481">
        <v>121</v>
      </c>
      <c r="B122" s="3482" t="s">
        <v>3735</v>
      </c>
      <c r="C122" s="3482">
        <v>82.56</v>
      </c>
      <c r="D122" s="3486" t="s">
        <v>4097</v>
      </c>
      <c r="E122" s="3486">
        <f t="shared" ca="1" si="8"/>
        <v>223</v>
      </c>
      <c r="F122" s="3486"/>
    </row>
    <row r="123" spans="1:6">
      <c r="A123" s="3481">
        <v>122</v>
      </c>
      <c r="B123" s="3482" t="s">
        <v>3736</v>
      </c>
      <c r="C123" s="3482">
        <v>82.93</v>
      </c>
      <c r="D123" s="3486" t="s">
        <v>4097</v>
      </c>
      <c r="E123" s="3486">
        <f t="shared" ca="1" si="8"/>
        <v>224</v>
      </c>
      <c r="F123" s="3486"/>
    </row>
    <row r="124" spans="1:6">
      <c r="A124" s="3481">
        <v>123</v>
      </c>
      <c r="B124" s="3485" t="s">
        <v>3737</v>
      </c>
      <c r="C124" s="3482">
        <v>82.56</v>
      </c>
      <c r="D124" s="3486" t="s">
        <v>4097</v>
      </c>
      <c r="E124" s="3486">
        <f t="shared" ca="1" si="8"/>
        <v>223</v>
      </c>
      <c r="F124" s="3486"/>
    </row>
    <row r="125" spans="1:6">
      <c r="A125" s="3481">
        <v>124</v>
      </c>
      <c r="B125" s="3482" t="s">
        <v>3738</v>
      </c>
      <c r="C125" s="3482">
        <v>82.93</v>
      </c>
      <c r="D125" s="3486" t="s">
        <v>4097</v>
      </c>
      <c r="E125" s="3486">
        <f t="shared" ca="1" si="8"/>
        <v>224</v>
      </c>
      <c r="F125" s="3486"/>
    </row>
    <row r="126" spans="1:6">
      <c r="A126" s="3481">
        <v>125</v>
      </c>
      <c r="B126" s="3482" t="s">
        <v>3739</v>
      </c>
      <c r="C126" s="3482">
        <v>84.14</v>
      </c>
      <c r="D126" s="3486" t="s">
        <v>4097</v>
      </c>
      <c r="E126" s="3486">
        <f t="shared" ca="1" si="8"/>
        <v>227</v>
      </c>
      <c r="F126" s="3486"/>
    </row>
    <row r="127" spans="1:6">
      <c r="A127" s="3481">
        <v>126</v>
      </c>
      <c r="B127" s="3482" t="s">
        <v>3740</v>
      </c>
      <c r="C127" s="3483">
        <v>109.4</v>
      </c>
      <c r="D127" s="3486" t="s">
        <v>4097</v>
      </c>
      <c r="E127" s="3486">
        <f t="shared" ca="1" si="8"/>
        <v>295</v>
      </c>
      <c r="F127" s="3486"/>
    </row>
    <row r="128" spans="1:6">
      <c r="A128" s="3481">
        <v>127</v>
      </c>
      <c r="B128" s="3482" t="s">
        <v>3741</v>
      </c>
      <c r="C128" s="3482">
        <v>84.14</v>
      </c>
      <c r="D128" s="3486" t="s">
        <v>4097</v>
      </c>
      <c r="E128" s="3486">
        <f t="shared" ca="1" si="8"/>
        <v>227</v>
      </c>
      <c r="F128" s="3486"/>
    </row>
    <row r="129" spans="1:6">
      <c r="A129" s="3481">
        <v>128</v>
      </c>
      <c r="B129" s="3482" t="s">
        <v>3742</v>
      </c>
      <c r="C129" s="3483">
        <v>109.4</v>
      </c>
      <c r="D129" s="3486" t="s">
        <v>4097</v>
      </c>
      <c r="E129" s="3486">
        <f t="shared" ca="1" si="8"/>
        <v>295</v>
      </c>
      <c r="F129" s="3486"/>
    </row>
    <row r="130" spans="1:6">
      <c r="A130" s="3481">
        <v>129</v>
      </c>
      <c r="B130" s="3482" t="s">
        <v>3743</v>
      </c>
      <c r="C130" s="3482">
        <v>84.14</v>
      </c>
      <c r="D130" s="3486" t="s">
        <v>4097</v>
      </c>
      <c r="E130" s="3486">
        <f t="shared" ref="E130:E193" ca="1" si="9">ROUND(C130*$F$2/10000,0)</f>
        <v>227</v>
      </c>
      <c r="F130" s="3486"/>
    </row>
    <row r="131" spans="1:6">
      <c r="A131" s="3481">
        <v>130</v>
      </c>
      <c r="B131" s="3482" t="s">
        <v>3744</v>
      </c>
      <c r="C131" s="3483">
        <v>109.4</v>
      </c>
      <c r="D131" s="3486" t="s">
        <v>4097</v>
      </c>
      <c r="E131" s="3486">
        <f t="shared" ca="1" si="9"/>
        <v>295</v>
      </c>
      <c r="F131" s="3486"/>
    </row>
    <row r="132" spans="1:6">
      <c r="A132" s="3481">
        <v>131</v>
      </c>
      <c r="B132" s="3482" t="s">
        <v>3745</v>
      </c>
      <c r="C132" s="3482">
        <v>84.14</v>
      </c>
      <c r="D132" s="3486" t="s">
        <v>4097</v>
      </c>
      <c r="E132" s="3486">
        <f t="shared" ca="1" si="9"/>
        <v>227</v>
      </c>
      <c r="F132" s="3486"/>
    </row>
    <row r="133" spans="1:6">
      <c r="A133" s="3481">
        <v>132</v>
      </c>
      <c r="B133" s="3482" t="s">
        <v>3746</v>
      </c>
      <c r="C133" s="3483">
        <v>109.4</v>
      </c>
      <c r="D133" s="3486" t="s">
        <v>4097</v>
      </c>
      <c r="E133" s="3486">
        <f t="shared" ca="1" si="9"/>
        <v>295</v>
      </c>
      <c r="F133" s="3486"/>
    </row>
    <row r="134" spans="1:6">
      <c r="A134" s="3481">
        <v>133</v>
      </c>
      <c r="B134" s="3482" t="s">
        <v>3747</v>
      </c>
      <c r="C134" s="3482">
        <v>84.14</v>
      </c>
      <c r="D134" s="3486" t="s">
        <v>4097</v>
      </c>
      <c r="E134" s="3486">
        <f t="shared" ca="1" si="9"/>
        <v>227</v>
      </c>
      <c r="F134" s="3486"/>
    </row>
    <row r="135" spans="1:6">
      <c r="A135" s="3481">
        <v>134</v>
      </c>
      <c r="B135" s="3482" t="s">
        <v>3748</v>
      </c>
      <c r="C135" s="3483">
        <v>109.4</v>
      </c>
      <c r="D135" s="3486" t="s">
        <v>4097</v>
      </c>
      <c r="E135" s="3486">
        <f t="shared" ca="1" si="9"/>
        <v>295</v>
      </c>
      <c r="F135" s="3486"/>
    </row>
    <row r="136" spans="1:6">
      <c r="A136" s="3481">
        <v>135</v>
      </c>
      <c r="B136" s="3482" t="s">
        <v>3749</v>
      </c>
      <c r="C136" s="3482">
        <v>84.14</v>
      </c>
      <c r="D136" s="3486" t="s">
        <v>4097</v>
      </c>
      <c r="E136" s="3486">
        <f t="shared" ca="1" si="9"/>
        <v>227</v>
      </c>
      <c r="F136" s="3486"/>
    </row>
    <row r="137" spans="1:6">
      <c r="A137" s="3481">
        <v>136</v>
      </c>
      <c r="B137" s="3482" t="s">
        <v>3750</v>
      </c>
      <c r="C137" s="3483">
        <v>109.4</v>
      </c>
      <c r="D137" s="3486" t="s">
        <v>4097</v>
      </c>
      <c r="E137" s="3486">
        <f t="shared" ca="1" si="9"/>
        <v>295</v>
      </c>
      <c r="F137" s="3486"/>
    </row>
    <row r="138" spans="1:6">
      <c r="A138" s="3481">
        <v>137</v>
      </c>
      <c r="B138" s="3482" t="s">
        <v>3751</v>
      </c>
      <c r="C138" s="3482">
        <v>84.14</v>
      </c>
      <c r="D138" s="3486" t="s">
        <v>4097</v>
      </c>
      <c r="E138" s="3486">
        <f t="shared" ca="1" si="9"/>
        <v>227</v>
      </c>
      <c r="F138" s="3486"/>
    </row>
    <row r="139" spans="1:6">
      <c r="A139" s="3481">
        <v>138</v>
      </c>
      <c r="B139" s="3482" t="s">
        <v>3752</v>
      </c>
      <c r="C139" s="3483">
        <v>109.4</v>
      </c>
      <c r="D139" s="3486" t="s">
        <v>4097</v>
      </c>
      <c r="E139" s="3486">
        <f t="shared" ca="1" si="9"/>
        <v>295</v>
      </c>
      <c r="F139" s="3486"/>
    </row>
    <row r="140" spans="1:6">
      <c r="A140" s="3481">
        <v>139</v>
      </c>
      <c r="B140" s="3482" t="s">
        <v>3753</v>
      </c>
      <c r="C140" s="3482">
        <v>84.14</v>
      </c>
      <c r="D140" s="3486" t="s">
        <v>4097</v>
      </c>
      <c r="E140" s="3486">
        <f t="shared" ca="1" si="9"/>
        <v>227</v>
      </c>
      <c r="F140" s="3486"/>
    </row>
    <row r="141" spans="1:6">
      <c r="A141" s="3481">
        <v>140</v>
      </c>
      <c r="B141" s="3482" t="s">
        <v>3754</v>
      </c>
      <c r="C141" s="3483">
        <v>109.4</v>
      </c>
      <c r="D141" s="3486" t="s">
        <v>4097</v>
      </c>
      <c r="E141" s="3486">
        <f t="shared" ca="1" si="9"/>
        <v>295</v>
      </c>
      <c r="F141" s="3486"/>
    </row>
    <row r="142" spans="1:6">
      <c r="A142" s="3481">
        <v>141</v>
      </c>
      <c r="B142" s="3482" t="s">
        <v>3755</v>
      </c>
      <c r="C142" s="3482">
        <v>84.14</v>
      </c>
      <c r="D142" s="3486" t="s">
        <v>4097</v>
      </c>
      <c r="E142" s="3486">
        <f t="shared" ca="1" si="9"/>
        <v>227</v>
      </c>
      <c r="F142" s="3486"/>
    </row>
    <row r="143" spans="1:6">
      <c r="A143" s="3481">
        <v>142</v>
      </c>
      <c r="B143" s="3482" t="s">
        <v>3756</v>
      </c>
      <c r="C143" s="3483">
        <v>109.4</v>
      </c>
      <c r="D143" s="3486" t="s">
        <v>4097</v>
      </c>
      <c r="E143" s="3486">
        <f t="shared" ca="1" si="9"/>
        <v>295</v>
      </c>
      <c r="F143" s="3486"/>
    </row>
    <row r="144" spans="1:6">
      <c r="A144" s="3481">
        <v>143</v>
      </c>
      <c r="B144" s="3482" t="s">
        <v>3757</v>
      </c>
      <c r="C144" s="3482">
        <v>84.14</v>
      </c>
      <c r="D144" s="3486" t="s">
        <v>4097</v>
      </c>
      <c r="E144" s="3486">
        <f t="shared" ca="1" si="9"/>
        <v>227</v>
      </c>
      <c r="F144" s="3486"/>
    </row>
    <row r="145" spans="1:6">
      <c r="A145" s="3481">
        <v>144</v>
      </c>
      <c r="B145" s="3482" t="s">
        <v>3758</v>
      </c>
      <c r="C145" s="3483">
        <v>109.4</v>
      </c>
      <c r="D145" s="3486" t="s">
        <v>4097</v>
      </c>
      <c r="E145" s="3486">
        <f t="shared" ca="1" si="9"/>
        <v>295</v>
      </c>
      <c r="F145" s="3486"/>
    </row>
    <row r="146" spans="1:6">
      <c r="A146" s="3481">
        <v>145</v>
      </c>
      <c r="B146" s="3482" t="s">
        <v>3759</v>
      </c>
      <c r="C146" s="3482">
        <v>84.14</v>
      </c>
      <c r="D146" s="3486" t="s">
        <v>4097</v>
      </c>
      <c r="E146" s="3486">
        <f t="shared" ca="1" si="9"/>
        <v>227</v>
      </c>
      <c r="F146" s="3486"/>
    </row>
    <row r="147" spans="1:6">
      <c r="A147" s="3481">
        <v>146</v>
      </c>
      <c r="B147" s="3482" t="s">
        <v>3760</v>
      </c>
      <c r="C147" s="3483">
        <v>109.4</v>
      </c>
      <c r="D147" s="3486" t="s">
        <v>4097</v>
      </c>
      <c r="E147" s="3486">
        <f t="shared" ca="1" si="9"/>
        <v>295</v>
      </c>
      <c r="F147" s="3486"/>
    </row>
    <row r="148" spans="1:6">
      <c r="A148" s="3481">
        <v>147</v>
      </c>
      <c r="B148" s="3482" t="s">
        <v>3761</v>
      </c>
      <c r="C148" s="3483">
        <v>109.4</v>
      </c>
      <c r="D148" s="3486" t="s">
        <v>4097</v>
      </c>
      <c r="E148" s="3486">
        <f t="shared" ca="1" si="9"/>
        <v>295</v>
      </c>
      <c r="F148" s="3486"/>
    </row>
    <row r="149" spans="1:6">
      <c r="A149" s="3481">
        <v>148</v>
      </c>
      <c r="B149" s="3482" t="s">
        <v>3762</v>
      </c>
      <c r="C149" s="3482">
        <v>84.14</v>
      </c>
      <c r="D149" s="3486" t="s">
        <v>4097</v>
      </c>
      <c r="E149" s="3486">
        <f t="shared" ca="1" si="9"/>
        <v>227</v>
      </c>
      <c r="F149" s="3486"/>
    </row>
    <row r="150" spans="1:6">
      <c r="A150" s="3481">
        <v>149</v>
      </c>
      <c r="B150" s="3482" t="s">
        <v>3763</v>
      </c>
      <c r="C150" s="3483">
        <v>109.4</v>
      </c>
      <c r="D150" s="3486" t="s">
        <v>4097</v>
      </c>
      <c r="E150" s="3486">
        <f t="shared" ca="1" si="9"/>
        <v>295</v>
      </c>
      <c r="F150" s="3486"/>
    </row>
    <row r="151" spans="1:6">
      <c r="A151" s="3481">
        <v>150</v>
      </c>
      <c r="B151" s="3482" t="s">
        <v>3764</v>
      </c>
      <c r="C151" s="3482">
        <v>84.14</v>
      </c>
      <c r="D151" s="3486" t="s">
        <v>4097</v>
      </c>
      <c r="E151" s="3486">
        <f t="shared" ca="1" si="9"/>
        <v>227</v>
      </c>
      <c r="F151" s="3486"/>
    </row>
    <row r="152" spans="1:6">
      <c r="A152" s="3481">
        <v>151</v>
      </c>
      <c r="B152" s="3482" t="s">
        <v>3765</v>
      </c>
      <c r="C152" s="3483">
        <v>109.4</v>
      </c>
      <c r="D152" s="3486" t="s">
        <v>4097</v>
      </c>
      <c r="E152" s="3486">
        <f t="shared" ca="1" si="9"/>
        <v>295</v>
      </c>
      <c r="F152" s="3486"/>
    </row>
    <row r="153" spans="1:6">
      <c r="A153" s="3481">
        <v>152</v>
      </c>
      <c r="B153" s="3482" t="s">
        <v>3766</v>
      </c>
      <c r="C153" s="3482">
        <v>84.14</v>
      </c>
      <c r="D153" s="3486" t="s">
        <v>4097</v>
      </c>
      <c r="E153" s="3486">
        <f t="shared" ca="1" si="9"/>
        <v>227</v>
      </c>
      <c r="F153" s="3486"/>
    </row>
    <row r="154" spans="1:6">
      <c r="A154" s="3481">
        <v>153</v>
      </c>
      <c r="B154" s="3482" t="s">
        <v>3767</v>
      </c>
      <c r="C154" s="3483">
        <v>109.4</v>
      </c>
      <c r="D154" s="3486" t="s">
        <v>4097</v>
      </c>
      <c r="E154" s="3486">
        <f t="shared" ca="1" si="9"/>
        <v>295</v>
      </c>
      <c r="F154" s="3486"/>
    </row>
    <row r="155" spans="1:6">
      <c r="A155" s="3481">
        <v>154</v>
      </c>
      <c r="B155" s="3482" t="s">
        <v>3768</v>
      </c>
      <c r="C155" s="3482">
        <v>84.14</v>
      </c>
      <c r="D155" s="3486" t="s">
        <v>4097</v>
      </c>
      <c r="E155" s="3486">
        <f t="shared" ca="1" si="9"/>
        <v>227</v>
      </c>
      <c r="F155" s="3486"/>
    </row>
    <row r="156" spans="1:6">
      <c r="A156" s="3481">
        <v>155</v>
      </c>
      <c r="B156" s="3482" t="s">
        <v>3769</v>
      </c>
      <c r="C156" s="3483">
        <v>109.4</v>
      </c>
      <c r="D156" s="3486" t="s">
        <v>4097</v>
      </c>
      <c r="E156" s="3486">
        <f t="shared" ca="1" si="9"/>
        <v>295</v>
      </c>
      <c r="F156" s="3486"/>
    </row>
    <row r="157" spans="1:6">
      <c r="A157" s="3481">
        <v>156</v>
      </c>
      <c r="B157" s="3482" t="s">
        <v>3770</v>
      </c>
      <c r="C157" s="3482">
        <v>84.14</v>
      </c>
      <c r="D157" s="3486" t="s">
        <v>4097</v>
      </c>
      <c r="E157" s="3486">
        <f t="shared" ca="1" si="9"/>
        <v>227</v>
      </c>
      <c r="F157" s="3486"/>
    </row>
    <row r="158" spans="1:6">
      <c r="A158" s="3481">
        <v>157</v>
      </c>
      <c r="B158" s="3482" t="s">
        <v>3771</v>
      </c>
      <c r="C158" s="3483">
        <v>109.4</v>
      </c>
      <c r="D158" s="3486" t="s">
        <v>4097</v>
      </c>
      <c r="E158" s="3486">
        <f t="shared" ca="1" si="9"/>
        <v>295</v>
      </c>
      <c r="F158" s="3486"/>
    </row>
    <row r="159" spans="1:6">
      <c r="A159" s="3481">
        <v>158</v>
      </c>
      <c r="B159" s="3482" t="s">
        <v>3772</v>
      </c>
      <c r="C159" s="3482">
        <v>84.14</v>
      </c>
      <c r="D159" s="3486" t="s">
        <v>4097</v>
      </c>
      <c r="E159" s="3486">
        <f t="shared" ca="1" si="9"/>
        <v>227</v>
      </c>
      <c r="F159" s="3486"/>
    </row>
    <row r="160" spans="1:6">
      <c r="A160" s="3481">
        <v>159</v>
      </c>
      <c r="B160" s="3482" t="s">
        <v>3773</v>
      </c>
      <c r="C160" s="3483">
        <v>109.4</v>
      </c>
      <c r="D160" s="3486" t="s">
        <v>4097</v>
      </c>
      <c r="E160" s="3486">
        <f t="shared" ca="1" si="9"/>
        <v>295</v>
      </c>
      <c r="F160" s="3486"/>
    </row>
    <row r="161" spans="1:6">
      <c r="A161" s="3481">
        <v>160</v>
      </c>
      <c r="B161" s="3482" t="s">
        <v>3774</v>
      </c>
      <c r="C161" s="3482">
        <v>84.14</v>
      </c>
      <c r="D161" s="3486" t="s">
        <v>4097</v>
      </c>
      <c r="E161" s="3486">
        <f t="shared" ca="1" si="9"/>
        <v>227</v>
      </c>
      <c r="F161" s="3486"/>
    </row>
    <row r="162" spans="1:6">
      <c r="A162" s="3481">
        <v>161</v>
      </c>
      <c r="B162" s="3482" t="s">
        <v>3775</v>
      </c>
      <c r="C162" s="3483">
        <v>109.4</v>
      </c>
      <c r="D162" s="3486" t="s">
        <v>4097</v>
      </c>
      <c r="E162" s="3486">
        <f t="shared" ca="1" si="9"/>
        <v>295</v>
      </c>
      <c r="F162" s="3486"/>
    </row>
    <row r="163" spans="1:6">
      <c r="A163" s="3481">
        <v>162</v>
      </c>
      <c r="B163" s="3482" t="s">
        <v>3776</v>
      </c>
      <c r="C163" s="3482">
        <v>84.14</v>
      </c>
      <c r="D163" s="3486" t="s">
        <v>4097</v>
      </c>
      <c r="E163" s="3486">
        <f t="shared" ca="1" si="9"/>
        <v>227</v>
      </c>
      <c r="F163" s="3486"/>
    </row>
    <row r="164" spans="1:6">
      <c r="A164" s="3481">
        <v>163</v>
      </c>
      <c r="B164" s="3482" t="s">
        <v>3777</v>
      </c>
      <c r="C164" s="3483">
        <v>109.4</v>
      </c>
      <c r="D164" s="3486" t="s">
        <v>4097</v>
      </c>
      <c r="E164" s="3486">
        <f t="shared" ca="1" si="9"/>
        <v>295</v>
      </c>
      <c r="F164" s="3486"/>
    </row>
    <row r="165" spans="1:6">
      <c r="A165" s="3481">
        <v>164</v>
      </c>
      <c r="B165" s="3482" t="s">
        <v>3778</v>
      </c>
      <c r="C165" s="3482">
        <v>84.14</v>
      </c>
      <c r="D165" s="3486" t="s">
        <v>4097</v>
      </c>
      <c r="E165" s="3486">
        <f t="shared" ca="1" si="9"/>
        <v>227</v>
      </c>
      <c r="F165" s="3486"/>
    </row>
    <row r="166" spans="1:6">
      <c r="A166" s="3481">
        <v>165</v>
      </c>
      <c r="B166" s="3482" t="s">
        <v>3779</v>
      </c>
      <c r="C166" s="3483">
        <v>109.4</v>
      </c>
      <c r="D166" s="3486" t="s">
        <v>4097</v>
      </c>
      <c r="E166" s="3486">
        <f t="shared" ca="1" si="9"/>
        <v>295</v>
      </c>
      <c r="F166" s="3486"/>
    </row>
    <row r="167" spans="1:6">
      <c r="A167" s="3481">
        <v>166</v>
      </c>
      <c r="B167" s="3482" t="s">
        <v>3780</v>
      </c>
      <c r="C167" s="3482">
        <v>84.14</v>
      </c>
      <c r="D167" s="3486" t="s">
        <v>4097</v>
      </c>
      <c r="E167" s="3486">
        <f t="shared" ca="1" si="9"/>
        <v>227</v>
      </c>
      <c r="F167" s="3486"/>
    </row>
    <row r="168" spans="1:6">
      <c r="A168" s="3481">
        <v>167</v>
      </c>
      <c r="B168" s="3482" t="s">
        <v>3781</v>
      </c>
      <c r="C168" s="3483">
        <v>109.4</v>
      </c>
      <c r="D168" s="3486" t="s">
        <v>4097</v>
      </c>
      <c r="E168" s="3486">
        <f t="shared" ca="1" si="9"/>
        <v>295</v>
      </c>
      <c r="F168" s="3486"/>
    </row>
    <row r="169" spans="1:6">
      <c r="A169" s="3481">
        <v>168</v>
      </c>
      <c r="B169" s="3482" t="s">
        <v>3782</v>
      </c>
      <c r="C169" s="3482">
        <v>84.14</v>
      </c>
      <c r="D169" s="3486" t="s">
        <v>4097</v>
      </c>
      <c r="E169" s="3486">
        <f t="shared" ca="1" si="9"/>
        <v>227</v>
      </c>
      <c r="F169" s="3486"/>
    </row>
    <row r="170" spans="1:6">
      <c r="A170" s="3481">
        <v>169</v>
      </c>
      <c r="B170" s="3482" t="s">
        <v>3783</v>
      </c>
      <c r="C170" s="3482">
        <v>83.01</v>
      </c>
      <c r="D170" s="3486" t="s">
        <v>4097</v>
      </c>
      <c r="E170" s="3486">
        <f t="shared" ca="1" si="9"/>
        <v>224</v>
      </c>
      <c r="F170" s="3486"/>
    </row>
    <row r="171" spans="1:6">
      <c r="A171" s="3481">
        <v>170</v>
      </c>
      <c r="B171" s="3482" t="s">
        <v>3784</v>
      </c>
      <c r="C171" s="3482">
        <v>82.65</v>
      </c>
      <c r="D171" s="3486" t="s">
        <v>4097</v>
      </c>
      <c r="E171" s="3486">
        <f t="shared" ca="1" si="9"/>
        <v>223</v>
      </c>
      <c r="F171" s="3486"/>
    </row>
    <row r="172" spans="1:6">
      <c r="A172" s="3481">
        <v>171</v>
      </c>
      <c r="B172" s="3482" t="s">
        <v>3785</v>
      </c>
      <c r="C172" s="3482">
        <v>83.01</v>
      </c>
      <c r="D172" s="3486" t="s">
        <v>4097</v>
      </c>
      <c r="E172" s="3486">
        <f t="shared" ca="1" si="9"/>
        <v>224</v>
      </c>
      <c r="F172" s="3486"/>
    </row>
    <row r="173" spans="1:6">
      <c r="A173" s="3481">
        <v>172</v>
      </c>
      <c r="B173" s="3482" t="s">
        <v>3786</v>
      </c>
      <c r="C173" s="3482">
        <v>82.65</v>
      </c>
      <c r="D173" s="3486" t="s">
        <v>4097</v>
      </c>
      <c r="E173" s="3486">
        <f t="shared" ca="1" si="9"/>
        <v>223</v>
      </c>
      <c r="F173" s="3486"/>
    </row>
    <row r="174" spans="1:6">
      <c r="A174" s="3481">
        <v>173</v>
      </c>
      <c r="B174" s="3482" t="s">
        <v>3787</v>
      </c>
      <c r="C174" s="3482">
        <v>83.01</v>
      </c>
      <c r="D174" s="3486" t="s">
        <v>4097</v>
      </c>
      <c r="E174" s="3486">
        <f t="shared" ca="1" si="9"/>
        <v>224</v>
      </c>
      <c r="F174" s="3486"/>
    </row>
    <row r="175" spans="1:6">
      <c r="A175" s="3481">
        <v>174</v>
      </c>
      <c r="B175" s="3482" t="s">
        <v>3788</v>
      </c>
      <c r="C175" s="3482">
        <v>82.65</v>
      </c>
      <c r="D175" s="3486" t="s">
        <v>4097</v>
      </c>
      <c r="E175" s="3486">
        <f t="shared" ca="1" si="9"/>
        <v>223</v>
      </c>
      <c r="F175" s="3486"/>
    </row>
    <row r="176" spans="1:6">
      <c r="A176" s="3481">
        <v>175</v>
      </c>
      <c r="B176" s="3482" t="s">
        <v>3789</v>
      </c>
      <c r="C176" s="3482">
        <v>83.01</v>
      </c>
      <c r="D176" s="3486" t="s">
        <v>4097</v>
      </c>
      <c r="E176" s="3486">
        <f t="shared" ca="1" si="9"/>
        <v>224</v>
      </c>
      <c r="F176" s="3486"/>
    </row>
    <row r="177" spans="1:6">
      <c r="A177" s="3481">
        <v>176</v>
      </c>
      <c r="B177" s="3482" t="s">
        <v>3790</v>
      </c>
      <c r="C177" s="3482">
        <v>82.65</v>
      </c>
      <c r="D177" s="3486" t="s">
        <v>4097</v>
      </c>
      <c r="E177" s="3486">
        <f t="shared" ca="1" si="9"/>
        <v>223</v>
      </c>
      <c r="F177" s="3486"/>
    </row>
    <row r="178" spans="1:6">
      <c r="A178" s="3481">
        <v>177</v>
      </c>
      <c r="B178" s="3482" t="s">
        <v>3791</v>
      </c>
      <c r="C178" s="3482">
        <v>83.01</v>
      </c>
      <c r="D178" s="3486" t="s">
        <v>4097</v>
      </c>
      <c r="E178" s="3486">
        <f t="shared" ca="1" si="9"/>
        <v>224</v>
      </c>
      <c r="F178" s="3486"/>
    </row>
    <row r="179" spans="1:6">
      <c r="A179" s="3481">
        <v>178</v>
      </c>
      <c r="B179" s="3482" t="s">
        <v>3792</v>
      </c>
      <c r="C179" s="3482">
        <v>82.65</v>
      </c>
      <c r="D179" s="3486" t="s">
        <v>4097</v>
      </c>
      <c r="E179" s="3486">
        <f t="shared" ca="1" si="9"/>
        <v>223</v>
      </c>
      <c r="F179" s="3486"/>
    </row>
    <row r="180" spans="1:6">
      <c r="A180" s="3481">
        <v>179</v>
      </c>
      <c r="B180" s="3482" t="s">
        <v>3793</v>
      </c>
      <c r="C180" s="3482">
        <v>83.01</v>
      </c>
      <c r="D180" s="3486" t="s">
        <v>4097</v>
      </c>
      <c r="E180" s="3486">
        <f t="shared" ca="1" si="9"/>
        <v>224</v>
      </c>
      <c r="F180" s="3486"/>
    </row>
    <row r="181" spans="1:6">
      <c r="A181" s="3481">
        <v>180</v>
      </c>
      <c r="B181" s="3482" t="s">
        <v>3794</v>
      </c>
      <c r="C181" s="3482">
        <v>82.65</v>
      </c>
      <c r="D181" s="3486" t="s">
        <v>4097</v>
      </c>
      <c r="E181" s="3486">
        <f t="shared" ca="1" si="9"/>
        <v>223</v>
      </c>
      <c r="F181" s="3486"/>
    </row>
    <row r="182" spans="1:6">
      <c r="A182" s="3481">
        <v>181</v>
      </c>
      <c r="B182" s="3482" t="s">
        <v>3795</v>
      </c>
      <c r="C182" s="3482">
        <v>83.01</v>
      </c>
      <c r="D182" s="3486" t="s">
        <v>4097</v>
      </c>
      <c r="E182" s="3486">
        <f t="shared" ca="1" si="9"/>
        <v>224</v>
      </c>
      <c r="F182" s="3486"/>
    </row>
    <row r="183" spans="1:6">
      <c r="A183" s="3481">
        <v>182</v>
      </c>
      <c r="B183" s="3482" t="s">
        <v>3796</v>
      </c>
      <c r="C183" s="3482">
        <v>82.65</v>
      </c>
      <c r="D183" s="3486" t="s">
        <v>4097</v>
      </c>
      <c r="E183" s="3486">
        <f t="shared" ca="1" si="9"/>
        <v>223</v>
      </c>
      <c r="F183" s="3486"/>
    </row>
    <row r="184" spans="1:6">
      <c r="A184" s="3481">
        <v>183</v>
      </c>
      <c r="B184" s="3482" t="s">
        <v>3797</v>
      </c>
      <c r="C184" s="3482">
        <v>83.01</v>
      </c>
      <c r="D184" s="3486" t="s">
        <v>4097</v>
      </c>
      <c r="E184" s="3486">
        <f t="shared" ca="1" si="9"/>
        <v>224</v>
      </c>
      <c r="F184" s="3486"/>
    </row>
    <row r="185" spans="1:6">
      <c r="A185" s="3481">
        <v>184</v>
      </c>
      <c r="B185" s="3482" t="s">
        <v>3798</v>
      </c>
      <c r="C185" s="3482">
        <v>82.65</v>
      </c>
      <c r="D185" s="3486" t="s">
        <v>4097</v>
      </c>
      <c r="E185" s="3486">
        <f t="shared" ca="1" si="9"/>
        <v>223</v>
      </c>
      <c r="F185" s="3486"/>
    </row>
    <row r="186" spans="1:6">
      <c r="A186" s="3481">
        <v>185</v>
      </c>
      <c r="B186" s="3482" t="s">
        <v>3799</v>
      </c>
      <c r="C186" s="3482">
        <v>83.01</v>
      </c>
      <c r="D186" s="3486" t="s">
        <v>4097</v>
      </c>
      <c r="E186" s="3486">
        <f t="shared" ca="1" si="9"/>
        <v>224</v>
      </c>
      <c r="F186" s="3486"/>
    </row>
    <row r="187" spans="1:6">
      <c r="A187" s="3481">
        <v>186</v>
      </c>
      <c r="B187" s="3482" t="s">
        <v>3800</v>
      </c>
      <c r="C187" s="3482">
        <v>82.65</v>
      </c>
      <c r="D187" s="3486" t="s">
        <v>4097</v>
      </c>
      <c r="E187" s="3486">
        <f t="shared" ca="1" si="9"/>
        <v>223</v>
      </c>
      <c r="F187" s="3486"/>
    </row>
    <row r="188" spans="1:6">
      <c r="A188" s="3481">
        <v>187</v>
      </c>
      <c r="B188" s="3482" t="s">
        <v>3801</v>
      </c>
      <c r="C188" s="3482">
        <v>83.01</v>
      </c>
      <c r="D188" s="3486" t="s">
        <v>4097</v>
      </c>
      <c r="E188" s="3486">
        <f t="shared" ca="1" si="9"/>
        <v>224</v>
      </c>
      <c r="F188" s="3486"/>
    </row>
    <row r="189" spans="1:6">
      <c r="A189" s="3481">
        <v>188</v>
      </c>
      <c r="B189" s="3482" t="s">
        <v>3802</v>
      </c>
      <c r="C189" s="3482">
        <v>82.65</v>
      </c>
      <c r="D189" s="3486" t="s">
        <v>4097</v>
      </c>
      <c r="E189" s="3486">
        <f t="shared" ca="1" si="9"/>
        <v>223</v>
      </c>
      <c r="F189" s="3486"/>
    </row>
    <row r="190" spans="1:6">
      <c r="A190" s="3481">
        <v>189</v>
      </c>
      <c r="B190" s="3482" t="s">
        <v>3803</v>
      </c>
      <c r="C190" s="3482">
        <v>82.65</v>
      </c>
      <c r="D190" s="3486" t="s">
        <v>4097</v>
      </c>
      <c r="E190" s="3486">
        <f t="shared" ca="1" si="9"/>
        <v>223</v>
      </c>
      <c r="F190" s="3486"/>
    </row>
    <row r="191" spans="1:6">
      <c r="A191" s="3481">
        <v>190</v>
      </c>
      <c r="B191" s="3482" t="s">
        <v>3804</v>
      </c>
      <c r="C191" s="3482">
        <v>86.58</v>
      </c>
      <c r="D191" s="3486" t="s">
        <v>4097</v>
      </c>
      <c r="E191" s="3486">
        <f t="shared" ca="1" si="9"/>
        <v>233</v>
      </c>
      <c r="F191" s="3486"/>
    </row>
    <row r="192" spans="1:6">
      <c r="A192" s="3481">
        <v>191</v>
      </c>
      <c r="B192" s="3482" t="s">
        <v>3805</v>
      </c>
      <c r="C192" s="3482">
        <v>82.65</v>
      </c>
      <c r="D192" s="3486" t="s">
        <v>4097</v>
      </c>
      <c r="E192" s="3486">
        <f t="shared" ca="1" si="9"/>
        <v>223</v>
      </c>
      <c r="F192" s="3486"/>
    </row>
    <row r="193" spans="1:6">
      <c r="A193" s="3481">
        <v>192</v>
      </c>
      <c r="B193" s="3482" t="s">
        <v>3806</v>
      </c>
      <c r="C193" s="3482">
        <v>86.58</v>
      </c>
      <c r="D193" s="3486" t="s">
        <v>4097</v>
      </c>
      <c r="E193" s="3486">
        <f t="shared" ca="1" si="9"/>
        <v>233</v>
      </c>
      <c r="F193" s="3486"/>
    </row>
    <row r="194" spans="1:6">
      <c r="A194" s="3481">
        <v>193</v>
      </c>
      <c r="B194" s="3482" t="s">
        <v>3807</v>
      </c>
      <c r="C194" s="3482">
        <v>82.65</v>
      </c>
      <c r="D194" s="3486" t="s">
        <v>4097</v>
      </c>
      <c r="E194" s="3486">
        <f t="shared" ref="E194:E257" ca="1" si="10">ROUND(C194*$F$2/10000,0)</f>
        <v>223</v>
      </c>
      <c r="F194" s="3486"/>
    </row>
    <row r="195" spans="1:6">
      <c r="A195" s="3481">
        <v>194</v>
      </c>
      <c r="B195" s="3482" t="s">
        <v>3808</v>
      </c>
      <c r="C195" s="3482">
        <v>86.58</v>
      </c>
      <c r="D195" s="3486" t="s">
        <v>4097</v>
      </c>
      <c r="E195" s="3486">
        <f t="shared" ca="1" si="10"/>
        <v>233</v>
      </c>
      <c r="F195" s="3486"/>
    </row>
    <row r="196" spans="1:6">
      <c r="A196" s="3481">
        <v>195</v>
      </c>
      <c r="B196" s="3482" t="s">
        <v>3809</v>
      </c>
      <c r="C196" s="3482">
        <v>82.65</v>
      </c>
      <c r="D196" s="3486" t="s">
        <v>4097</v>
      </c>
      <c r="E196" s="3486">
        <f t="shared" ca="1" si="10"/>
        <v>223</v>
      </c>
      <c r="F196" s="3486"/>
    </row>
    <row r="197" spans="1:6">
      <c r="A197" s="3481">
        <v>196</v>
      </c>
      <c r="B197" s="3482" t="s">
        <v>3810</v>
      </c>
      <c r="C197" s="3482">
        <v>86.58</v>
      </c>
      <c r="D197" s="3486" t="s">
        <v>4097</v>
      </c>
      <c r="E197" s="3486">
        <f t="shared" ca="1" si="10"/>
        <v>233</v>
      </c>
      <c r="F197" s="3486"/>
    </row>
    <row r="198" spans="1:6">
      <c r="A198" s="3481">
        <v>197</v>
      </c>
      <c r="B198" s="3482" t="s">
        <v>3811</v>
      </c>
      <c r="C198" s="3482">
        <v>82.65</v>
      </c>
      <c r="D198" s="3486" t="s">
        <v>4097</v>
      </c>
      <c r="E198" s="3486">
        <f t="shared" ca="1" si="10"/>
        <v>223</v>
      </c>
      <c r="F198" s="3486"/>
    </row>
    <row r="199" spans="1:6">
      <c r="A199" s="3481">
        <v>198</v>
      </c>
      <c r="B199" s="3482" t="s">
        <v>3812</v>
      </c>
      <c r="C199" s="3482">
        <v>86.58</v>
      </c>
      <c r="D199" s="3486" t="s">
        <v>4097</v>
      </c>
      <c r="E199" s="3486">
        <f t="shared" ca="1" si="10"/>
        <v>233</v>
      </c>
      <c r="F199" s="3486"/>
    </row>
    <row r="200" spans="1:6">
      <c r="A200" s="3481">
        <v>199</v>
      </c>
      <c r="B200" s="3482" t="s">
        <v>3813</v>
      </c>
      <c r="C200" s="3482">
        <v>82.65</v>
      </c>
      <c r="D200" s="3486" t="s">
        <v>4097</v>
      </c>
      <c r="E200" s="3486">
        <f t="shared" ca="1" si="10"/>
        <v>223</v>
      </c>
      <c r="F200" s="3486"/>
    </row>
    <row r="201" spans="1:6">
      <c r="A201" s="3481">
        <v>200</v>
      </c>
      <c r="B201" s="3482" t="s">
        <v>3814</v>
      </c>
      <c r="C201" s="3482">
        <v>86.58</v>
      </c>
      <c r="D201" s="3486" t="s">
        <v>4097</v>
      </c>
      <c r="E201" s="3486">
        <f t="shared" ca="1" si="10"/>
        <v>233</v>
      </c>
      <c r="F201" s="3486"/>
    </row>
    <row r="202" spans="1:6">
      <c r="A202" s="3481">
        <v>201</v>
      </c>
      <c r="B202" s="3482" t="s">
        <v>3815</v>
      </c>
      <c r="C202" s="3482">
        <v>82.65</v>
      </c>
      <c r="D202" s="3486" t="s">
        <v>4097</v>
      </c>
      <c r="E202" s="3486">
        <f t="shared" ca="1" si="10"/>
        <v>223</v>
      </c>
      <c r="F202" s="3486"/>
    </row>
    <row r="203" spans="1:6">
      <c r="A203" s="3481">
        <v>202</v>
      </c>
      <c r="B203" s="3482" t="s">
        <v>3816</v>
      </c>
      <c r="C203" s="3482">
        <v>86.58</v>
      </c>
      <c r="D203" s="3486" t="s">
        <v>4097</v>
      </c>
      <c r="E203" s="3486">
        <f t="shared" ca="1" si="10"/>
        <v>233</v>
      </c>
      <c r="F203" s="3486"/>
    </row>
    <row r="204" spans="1:6">
      <c r="A204" s="3481">
        <v>203</v>
      </c>
      <c r="B204" s="3482" t="s">
        <v>3817</v>
      </c>
      <c r="C204" s="3482">
        <v>82.65</v>
      </c>
      <c r="D204" s="3486" t="s">
        <v>4097</v>
      </c>
      <c r="E204" s="3486">
        <f t="shared" ca="1" si="10"/>
        <v>223</v>
      </c>
      <c r="F204" s="3486"/>
    </row>
    <row r="205" spans="1:6">
      <c r="A205" s="3481">
        <v>204</v>
      </c>
      <c r="B205" s="3482" t="s">
        <v>3818</v>
      </c>
      <c r="C205" s="3482">
        <v>86.58</v>
      </c>
      <c r="D205" s="3486" t="s">
        <v>4097</v>
      </c>
      <c r="E205" s="3486">
        <f t="shared" ca="1" si="10"/>
        <v>233</v>
      </c>
      <c r="F205" s="3486"/>
    </row>
    <row r="206" spans="1:6">
      <c r="A206" s="3481">
        <v>205</v>
      </c>
      <c r="B206" s="3482" t="s">
        <v>3819</v>
      </c>
      <c r="C206" s="3482">
        <v>82.65</v>
      </c>
      <c r="D206" s="3486" t="s">
        <v>4097</v>
      </c>
      <c r="E206" s="3486">
        <f t="shared" ca="1" si="10"/>
        <v>223</v>
      </c>
      <c r="F206" s="3486"/>
    </row>
    <row r="207" spans="1:6">
      <c r="A207" s="3481">
        <v>206</v>
      </c>
      <c r="B207" s="3482" t="s">
        <v>3820</v>
      </c>
      <c r="C207" s="3482">
        <v>86.58</v>
      </c>
      <c r="D207" s="3486" t="s">
        <v>4097</v>
      </c>
      <c r="E207" s="3486">
        <f t="shared" ca="1" si="10"/>
        <v>233</v>
      </c>
      <c r="F207" s="3486"/>
    </row>
    <row r="208" spans="1:6">
      <c r="A208" s="3481">
        <v>207</v>
      </c>
      <c r="B208" s="3485" t="s">
        <v>3821</v>
      </c>
      <c r="C208" s="3482">
        <v>82.65</v>
      </c>
      <c r="D208" s="3486" t="s">
        <v>4097</v>
      </c>
      <c r="E208" s="3486">
        <f t="shared" ca="1" si="10"/>
        <v>223</v>
      </c>
      <c r="F208" s="3486"/>
    </row>
    <row r="209" spans="1:6">
      <c r="A209" s="3481">
        <v>208</v>
      </c>
      <c r="B209" s="3482" t="s">
        <v>3822</v>
      </c>
      <c r="C209" s="3482">
        <v>86.58</v>
      </c>
      <c r="D209" s="3486" t="s">
        <v>4097</v>
      </c>
      <c r="E209" s="3486">
        <f t="shared" ca="1" si="10"/>
        <v>233</v>
      </c>
      <c r="F209" s="3486"/>
    </row>
    <row r="210" spans="1:6">
      <c r="A210" s="3481">
        <v>209</v>
      </c>
      <c r="B210" s="3482" t="s">
        <v>3823</v>
      </c>
      <c r="C210" s="3482">
        <v>83.37</v>
      </c>
      <c r="D210" s="3486" t="s">
        <v>4097</v>
      </c>
      <c r="E210" s="3486">
        <f t="shared" ca="1" si="10"/>
        <v>225</v>
      </c>
      <c r="F210" s="3486"/>
    </row>
    <row r="211" spans="1:6">
      <c r="A211" s="3481">
        <v>210</v>
      </c>
      <c r="B211" s="3482" t="s">
        <v>3824</v>
      </c>
      <c r="C211" s="3482">
        <v>60.82</v>
      </c>
      <c r="D211" s="3486" t="s">
        <v>4097</v>
      </c>
      <c r="E211" s="3486">
        <f t="shared" ca="1" si="10"/>
        <v>164</v>
      </c>
      <c r="F211" s="3486"/>
    </row>
    <row r="212" spans="1:6">
      <c r="A212" s="3481">
        <v>211</v>
      </c>
      <c r="B212" s="3482" t="s">
        <v>3825</v>
      </c>
      <c r="C212" s="3482">
        <v>83.37</v>
      </c>
      <c r="D212" s="3486" t="s">
        <v>4097</v>
      </c>
      <c r="E212" s="3486">
        <f t="shared" ca="1" si="10"/>
        <v>225</v>
      </c>
      <c r="F212" s="3486"/>
    </row>
    <row r="213" spans="1:6">
      <c r="A213" s="3481">
        <v>212</v>
      </c>
      <c r="B213" s="3482" t="s">
        <v>3826</v>
      </c>
      <c r="C213" s="3482">
        <v>83.01</v>
      </c>
      <c r="D213" s="3486" t="s">
        <v>4097</v>
      </c>
      <c r="E213" s="3486">
        <f t="shared" ca="1" si="10"/>
        <v>224</v>
      </c>
      <c r="F213" s="3486"/>
    </row>
    <row r="214" spans="1:6">
      <c r="A214" s="3481">
        <v>213</v>
      </c>
      <c r="B214" s="3482" t="s">
        <v>3827</v>
      </c>
      <c r="C214" s="3482">
        <v>83.37</v>
      </c>
      <c r="D214" s="3486" t="s">
        <v>4097</v>
      </c>
      <c r="E214" s="3486">
        <f t="shared" ca="1" si="10"/>
        <v>225</v>
      </c>
      <c r="F214" s="3486"/>
    </row>
    <row r="215" spans="1:6">
      <c r="A215" s="3481">
        <v>214</v>
      </c>
      <c r="B215" s="3482" t="s">
        <v>3828</v>
      </c>
      <c r="C215" s="3482">
        <v>83.01</v>
      </c>
      <c r="D215" s="3486" t="s">
        <v>4097</v>
      </c>
      <c r="E215" s="3486">
        <f t="shared" ca="1" si="10"/>
        <v>224</v>
      </c>
      <c r="F215" s="3486"/>
    </row>
    <row r="216" spans="1:6">
      <c r="A216" s="3481">
        <v>215</v>
      </c>
      <c r="B216" s="3482" t="s">
        <v>3829</v>
      </c>
      <c r="C216" s="3482">
        <v>83.37</v>
      </c>
      <c r="D216" s="3486" t="s">
        <v>4097</v>
      </c>
      <c r="E216" s="3486">
        <f t="shared" ca="1" si="10"/>
        <v>225</v>
      </c>
      <c r="F216" s="3486"/>
    </row>
    <row r="217" spans="1:6">
      <c r="A217" s="3481">
        <v>216</v>
      </c>
      <c r="B217" s="3482" t="s">
        <v>3830</v>
      </c>
      <c r="C217" s="3482">
        <v>83.01</v>
      </c>
      <c r="D217" s="3486" t="s">
        <v>4097</v>
      </c>
      <c r="E217" s="3486">
        <f t="shared" ca="1" si="10"/>
        <v>224</v>
      </c>
      <c r="F217" s="3486"/>
    </row>
    <row r="218" spans="1:6">
      <c r="A218" s="3481">
        <v>217</v>
      </c>
      <c r="B218" s="3482" t="s">
        <v>3831</v>
      </c>
      <c r="C218" s="3482">
        <v>83.37</v>
      </c>
      <c r="D218" s="3486" t="s">
        <v>4097</v>
      </c>
      <c r="E218" s="3486">
        <f t="shared" ca="1" si="10"/>
        <v>225</v>
      </c>
      <c r="F218" s="3486"/>
    </row>
    <row r="219" spans="1:6">
      <c r="A219" s="3481">
        <v>218</v>
      </c>
      <c r="B219" s="3482" t="s">
        <v>3832</v>
      </c>
      <c r="C219" s="3482">
        <v>83.01</v>
      </c>
      <c r="D219" s="3486" t="s">
        <v>4097</v>
      </c>
      <c r="E219" s="3486">
        <f t="shared" ca="1" si="10"/>
        <v>224</v>
      </c>
      <c r="F219" s="3486"/>
    </row>
    <row r="220" spans="1:6">
      <c r="A220" s="3481">
        <v>219</v>
      </c>
      <c r="B220" s="3482" t="s">
        <v>3833</v>
      </c>
      <c r="C220" s="3482">
        <v>83.01</v>
      </c>
      <c r="D220" s="3486" t="s">
        <v>4097</v>
      </c>
      <c r="E220" s="3486">
        <f t="shared" ca="1" si="10"/>
        <v>224</v>
      </c>
      <c r="F220" s="3486"/>
    </row>
    <row r="221" spans="1:6">
      <c r="A221" s="3481">
        <v>220</v>
      </c>
      <c r="B221" s="3482" t="s">
        <v>3834</v>
      </c>
      <c r="C221" s="3482">
        <v>83.37</v>
      </c>
      <c r="D221" s="3486" t="s">
        <v>4097</v>
      </c>
      <c r="E221" s="3486">
        <f t="shared" ca="1" si="10"/>
        <v>225</v>
      </c>
      <c r="F221" s="3486"/>
    </row>
    <row r="222" spans="1:6">
      <c r="A222" s="3481">
        <v>221</v>
      </c>
      <c r="B222" s="3482" t="s">
        <v>3835</v>
      </c>
      <c r="C222" s="3482">
        <v>83.01</v>
      </c>
      <c r="D222" s="3486" t="s">
        <v>4097</v>
      </c>
      <c r="E222" s="3486">
        <f t="shared" ca="1" si="10"/>
        <v>224</v>
      </c>
      <c r="F222" s="3486"/>
    </row>
    <row r="223" spans="1:6">
      <c r="A223" s="3481">
        <v>222</v>
      </c>
      <c r="B223" s="3482" t="s">
        <v>3836</v>
      </c>
      <c r="C223" s="3482">
        <v>83.37</v>
      </c>
      <c r="D223" s="3486" t="s">
        <v>4097</v>
      </c>
      <c r="E223" s="3486">
        <f t="shared" ca="1" si="10"/>
        <v>225</v>
      </c>
      <c r="F223" s="3486"/>
    </row>
    <row r="224" spans="1:6">
      <c r="A224" s="3481">
        <v>223</v>
      </c>
      <c r="B224" s="3482" t="s">
        <v>3837</v>
      </c>
      <c r="C224" s="3482">
        <v>83.01</v>
      </c>
      <c r="D224" s="3486" t="s">
        <v>4097</v>
      </c>
      <c r="E224" s="3486">
        <f t="shared" ca="1" si="10"/>
        <v>224</v>
      </c>
      <c r="F224" s="3486"/>
    </row>
    <row r="225" spans="1:6">
      <c r="A225" s="3481">
        <v>224</v>
      </c>
      <c r="B225" s="3482" t="s">
        <v>3838</v>
      </c>
      <c r="C225" s="3482">
        <v>83.37</v>
      </c>
      <c r="D225" s="3486" t="s">
        <v>4097</v>
      </c>
      <c r="E225" s="3486">
        <f t="shared" ca="1" si="10"/>
        <v>225</v>
      </c>
      <c r="F225" s="3486"/>
    </row>
    <row r="226" spans="1:6">
      <c r="A226" s="3481">
        <v>225</v>
      </c>
      <c r="B226" s="3482" t="s">
        <v>3839</v>
      </c>
      <c r="C226" s="3482">
        <v>83.01</v>
      </c>
      <c r="D226" s="3486" t="s">
        <v>4097</v>
      </c>
      <c r="E226" s="3486">
        <f t="shared" ca="1" si="10"/>
        <v>224</v>
      </c>
      <c r="F226" s="3486"/>
    </row>
    <row r="227" spans="1:6">
      <c r="A227" s="3481">
        <v>226</v>
      </c>
      <c r="B227" s="3482" t="s">
        <v>3840</v>
      </c>
      <c r="C227" s="3482">
        <v>83.37</v>
      </c>
      <c r="D227" s="3486" t="s">
        <v>4097</v>
      </c>
      <c r="E227" s="3486">
        <f t="shared" ca="1" si="10"/>
        <v>225</v>
      </c>
      <c r="F227" s="3486"/>
    </row>
    <row r="228" spans="1:6">
      <c r="A228" s="3481">
        <v>227</v>
      </c>
      <c r="B228" s="3482" t="s">
        <v>3841</v>
      </c>
      <c r="C228" s="3482">
        <v>83.01</v>
      </c>
      <c r="D228" s="3486" t="s">
        <v>4097</v>
      </c>
      <c r="E228" s="3486">
        <f t="shared" ca="1" si="10"/>
        <v>224</v>
      </c>
      <c r="F228" s="3486"/>
    </row>
    <row r="229" spans="1:6">
      <c r="A229" s="3481">
        <v>228</v>
      </c>
      <c r="B229" s="3482" t="s">
        <v>3842</v>
      </c>
      <c r="C229" s="3482">
        <v>83.37</v>
      </c>
      <c r="D229" s="3486" t="s">
        <v>4097</v>
      </c>
      <c r="E229" s="3486">
        <f t="shared" ca="1" si="10"/>
        <v>225</v>
      </c>
      <c r="F229" s="3486"/>
    </row>
    <row r="230" spans="1:6">
      <c r="A230" s="3481">
        <v>229</v>
      </c>
      <c r="B230" s="3482" t="s">
        <v>3843</v>
      </c>
      <c r="C230" s="3482">
        <v>83.01</v>
      </c>
      <c r="D230" s="3486" t="s">
        <v>4097</v>
      </c>
      <c r="E230" s="3486">
        <f t="shared" ca="1" si="10"/>
        <v>224</v>
      </c>
      <c r="F230" s="3486"/>
    </row>
    <row r="231" spans="1:6">
      <c r="A231" s="3481">
        <v>230</v>
      </c>
      <c r="B231" s="3482" t="s">
        <v>3844</v>
      </c>
      <c r="C231" s="3482">
        <v>83.01</v>
      </c>
      <c r="D231" s="3486" t="s">
        <v>4097</v>
      </c>
      <c r="E231" s="3486">
        <f t="shared" ca="1" si="10"/>
        <v>224</v>
      </c>
      <c r="F231" s="3486"/>
    </row>
    <row r="232" spans="1:6">
      <c r="A232" s="3481">
        <v>231</v>
      </c>
      <c r="B232" s="3482" t="s">
        <v>3845</v>
      </c>
      <c r="C232" s="3482">
        <v>83.01</v>
      </c>
      <c r="D232" s="3486" t="s">
        <v>4097</v>
      </c>
      <c r="E232" s="3486">
        <f t="shared" ca="1" si="10"/>
        <v>224</v>
      </c>
      <c r="F232" s="3486"/>
    </row>
    <row r="233" spans="1:6">
      <c r="A233" s="3481">
        <v>232</v>
      </c>
      <c r="B233" s="3482" t="s">
        <v>3846</v>
      </c>
      <c r="C233" s="3482">
        <v>83.01</v>
      </c>
      <c r="D233" s="3486" t="s">
        <v>4097</v>
      </c>
      <c r="E233" s="3486">
        <f t="shared" ca="1" si="10"/>
        <v>224</v>
      </c>
      <c r="F233" s="3486"/>
    </row>
    <row r="234" spans="1:6">
      <c r="A234" s="3481">
        <v>233</v>
      </c>
      <c r="B234" s="3482" t="s">
        <v>3847</v>
      </c>
      <c r="C234" s="3482">
        <v>83.01</v>
      </c>
      <c r="D234" s="3486" t="s">
        <v>4097</v>
      </c>
      <c r="E234" s="3486">
        <f t="shared" ca="1" si="10"/>
        <v>224</v>
      </c>
      <c r="F234" s="3486"/>
    </row>
    <row r="235" spans="1:6">
      <c r="A235" s="3481">
        <v>234</v>
      </c>
      <c r="B235" s="3482" t="s">
        <v>3848</v>
      </c>
      <c r="C235" s="3482">
        <v>83.01</v>
      </c>
      <c r="D235" s="3486" t="s">
        <v>4097</v>
      </c>
      <c r="E235" s="3486">
        <f t="shared" ca="1" si="10"/>
        <v>224</v>
      </c>
      <c r="F235" s="3486"/>
    </row>
    <row r="236" spans="1:6">
      <c r="A236" s="3481">
        <v>235</v>
      </c>
      <c r="B236" s="3482" t="s">
        <v>3849</v>
      </c>
      <c r="C236" s="3482">
        <v>83.01</v>
      </c>
      <c r="D236" s="3486" t="s">
        <v>4097</v>
      </c>
      <c r="E236" s="3486">
        <f t="shared" ca="1" si="10"/>
        <v>224</v>
      </c>
      <c r="F236" s="3486"/>
    </row>
    <row r="237" spans="1:6">
      <c r="A237" s="3481">
        <v>236</v>
      </c>
      <c r="B237" s="3482" t="s">
        <v>3850</v>
      </c>
      <c r="C237" s="3482">
        <v>83.01</v>
      </c>
      <c r="D237" s="3486" t="s">
        <v>4097</v>
      </c>
      <c r="E237" s="3486">
        <f t="shared" ca="1" si="10"/>
        <v>224</v>
      </c>
      <c r="F237" s="3486"/>
    </row>
    <row r="238" spans="1:6">
      <c r="A238" s="3481">
        <v>237</v>
      </c>
      <c r="B238" s="3482" t="s">
        <v>3851</v>
      </c>
      <c r="C238" s="3482">
        <v>83.01</v>
      </c>
      <c r="D238" s="3486" t="s">
        <v>4097</v>
      </c>
      <c r="E238" s="3486">
        <f t="shared" ca="1" si="10"/>
        <v>224</v>
      </c>
      <c r="F238" s="3486"/>
    </row>
    <row r="239" spans="1:6">
      <c r="A239" s="3481">
        <v>238</v>
      </c>
      <c r="B239" s="3482" t="s">
        <v>3852</v>
      </c>
      <c r="C239" s="3482">
        <v>83.01</v>
      </c>
      <c r="D239" s="3486" t="s">
        <v>4097</v>
      </c>
      <c r="E239" s="3486">
        <f t="shared" ca="1" si="10"/>
        <v>224</v>
      </c>
      <c r="F239" s="3486"/>
    </row>
    <row r="240" spans="1:6">
      <c r="A240" s="3481">
        <v>239</v>
      </c>
      <c r="B240" s="3482" t="s">
        <v>3853</v>
      </c>
      <c r="C240" s="3482">
        <v>83.01</v>
      </c>
      <c r="D240" s="3486" t="s">
        <v>4097</v>
      </c>
      <c r="E240" s="3486">
        <f t="shared" ca="1" si="10"/>
        <v>224</v>
      </c>
      <c r="F240" s="3486"/>
    </row>
    <row r="241" spans="1:6">
      <c r="A241" s="3481">
        <v>240</v>
      </c>
      <c r="B241" s="3482" t="s">
        <v>3854</v>
      </c>
      <c r="C241" s="3482">
        <v>83.01</v>
      </c>
      <c r="D241" s="3486" t="s">
        <v>4097</v>
      </c>
      <c r="E241" s="3486">
        <f t="shared" ca="1" si="10"/>
        <v>224</v>
      </c>
      <c r="F241" s="3486"/>
    </row>
    <row r="242" spans="1:6">
      <c r="A242" s="3481">
        <v>241</v>
      </c>
      <c r="B242" s="3482" t="s">
        <v>3855</v>
      </c>
      <c r="C242" s="3482">
        <v>83.01</v>
      </c>
      <c r="D242" s="3486" t="s">
        <v>4097</v>
      </c>
      <c r="E242" s="3486">
        <f t="shared" ca="1" si="10"/>
        <v>224</v>
      </c>
      <c r="F242" s="3486"/>
    </row>
    <row r="243" spans="1:6">
      <c r="A243" s="3481">
        <v>242</v>
      </c>
      <c r="B243" s="3482" t="s">
        <v>3856</v>
      </c>
      <c r="C243" s="3482">
        <v>83.01</v>
      </c>
      <c r="D243" s="3486" t="s">
        <v>4097</v>
      </c>
      <c r="E243" s="3486">
        <f t="shared" ca="1" si="10"/>
        <v>224</v>
      </c>
      <c r="F243" s="3486"/>
    </row>
    <row r="244" spans="1:6">
      <c r="A244" s="3481">
        <v>243</v>
      </c>
      <c r="B244" s="3482" t="s">
        <v>3857</v>
      </c>
      <c r="C244" s="3482">
        <v>83.01</v>
      </c>
      <c r="D244" s="3486" t="s">
        <v>4097</v>
      </c>
      <c r="E244" s="3486">
        <f t="shared" ca="1" si="10"/>
        <v>224</v>
      </c>
      <c r="F244" s="3486"/>
    </row>
    <row r="245" spans="1:6">
      <c r="A245" s="3481">
        <v>244</v>
      </c>
      <c r="B245" s="3482" t="s">
        <v>3858</v>
      </c>
      <c r="C245" s="3482">
        <v>83.01</v>
      </c>
      <c r="D245" s="3486" t="s">
        <v>4097</v>
      </c>
      <c r="E245" s="3486">
        <f t="shared" ca="1" si="10"/>
        <v>224</v>
      </c>
      <c r="F245" s="3486"/>
    </row>
    <row r="246" spans="1:6">
      <c r="A246" s="3481">
        <v>245</v>
      </c>
      <c r="B246" s="3482" t="s">
        <v>3859</v>
      </c>
      <c r="C246" s="3482">
        <v>83.01</v>
      </c>
      <c r="D246" s="3486" t="s">
        <v>4097</v>
      </c>
      <c r="E246" s="3486">
        <f t="shared" ca="1" si="10"/>
        <v>224</v>
      </c>
      <c r="F246" s="3486"/>
    </row>
    <row r="247" spans="1:6">
      <c r="A247" s="3481">
        <v>246</v>
      </c>
      <c r="B247" s="3482" t="s">
        <v>3860</v>
      </c>
      <c r="C247" s="3482">
        <v>83.01</v>
      </c>
      <c r="D247" s="3486" t="s">
        <v>4097</v>
      </c>
      <c r="E247" s="3486">
        <f t="shared" ca="1" si="10"/>
        <v>224</v>
      </c>
      <c r="F247" s="3486"/>
    </row>
    <row r="248" spans="1:6">
      <c r="A248" s="3481">
        <v>247</v>
      </c>
      <c r="B248" s="3482" t="s">
        <v>3861</v>
      </c>
      <c r="C248" s="3482">
        <v>83.01</v>
      </c>
      <c r="D248" s="3486" t="s">
        <v>4097</v>
      </c>
      <c r="E248" s="3486">
        <f t="shared" ca="1" si="10"/>
        <v>224</v>
      </c>
      <c r="F248" s="3486"/>
    </row>
    <row r="249" spans="1:6">
      <c r="A249" s="3481">
        <v>248</v>
      </c>
      <c r="B249" s="3482" t="s">
        <v>3862</v>
      </c>
      <c r="C249" s="3482">
        <v>83.01</v>
      </c>
      <c r="D249" s="3486" t="s">
        <v>4097</v>
      </c>
      <c r="E249" s="3486">
        <f t="shared" ca="1" si="10"/>
        <v>224</v>
      </c>
      <c r="F249" s="3486"/>
    </row>
    <row r="250" spans="1:6">
      <c r="A250" s="3481">
        <v>249</v>
      </c>
      <c r="B250" s="3482" t="s">
        <v>3863</v>
      </c>
      <c r="C250" s="3482">
        <v>83.01</v>
      </c>
      <c r="D250" s="3486" t="s">
        <v>4097</v>
      </c>
      <c r="E250" s="3486">
        <f t="shared" ca="1" si="10"/>
        <v>224</v>
      </c>
      <c r="F250" s="3486"/>
    </row>
    <row r="251" spans="1:6">
      <c r="A251" s="3481">
        <v>250</v>
      </c>
      <c r="B251" s="3482" t="s">
        <v>3864</v>
      </c>
      <c r="C251" s="3482">
        <v>60.82</v>
      </c>
      <c r="D251" s="3486" t="s">
        <v>4097</v>
      </c>
      <c r="E251" s="3486">
        <f t="shared" ca="1" si="10"/>
        <v>164</v>
      </c>
      <c r="F251" s="3486"/>
    </row>
    <row r="252" spans="1:6">
      <c r="A252" s="3481">
        <v>251</v>
      </c>
      <c r="B252" s="3482" t="s">
        <v>3865</v>
      </c>
      <c r="C252" s="3482">
        <v>83.01</v>
      </c>
      <c r="D252" s="3486" t="s">
        <v>4097</v>
      </c>
      <c r="E252" s="3486">
        <f t="shared" ca="1" si="10"/>
        <v>224</v>
      </c>
      <c r="F252" s="3486"/>
    </row>
    <row r="253" spans="1:6">
      <c r="A253" s="3481">
        <v>252</v>
      </c>
      <c r="B253" s="3482" t="s">
        <v>3866</v>
      </c>
      <c r="C253" s="3482">
        <v>83.01</v>
      </c>
      <c r="D253" s="3486" t="s">
        <v>4097</v>
      </c>
      <c r="E253" s="3486">
        <f t="shared" ca="1" si="10"/>
        <v>224</v>
      </c>
      <c r="F253" s="3486"/>
    </row>
    <row r="254" spans="1:6">
      <c r="A254" s="3481">
        <v>253</v>
      </c>
      <c r="B254" s="3482" t="s">
        <v>3867</v>
      </c>
      <c r="C254" s="3482">
        <v>83.01</v>
      </c>
      <c r="D254" s="3486" t="s">
        <v>4097</v>
      </c>
      <c r="E254" s="3486">
        <f t="shared" ca="1" si="10"/>
        <v>224</v>
      </c>
      <c r="F254" s="3486"/>
    </row>
    <row r="255" spans="1:6">
      <c r="A255" s="3481">
        <v>254</v>
      </c>
      <c r="B255" s="3482" t="s">
        <v>3868</v>
      </c>
      <c r="C255" s="3482">
        <v>83.01</v>
      </c>
      <c r="D255" s="3486" t="s">
        <v>4097</v>
      </c>
      <c r="E255" s="3486">
        <f t="shared" ca="1" si="10"/>
        <v>224</v>
      </c>
      <c r="F255" s="3486"/>
    </row>
    <row r="256" spans="1:6">
      <c r="A256" s="3481">
        <v>255</v>
      </c>
      <c r="B256" s="3482" t="s">
        <v>3869</v>
      </c>
      <c r="C256" s="3482">
        <v>83.01</v>
      </c>
      <c r="D256" s="3486" t="s">
        <v>4097</v>
      </c>
      <c r="E256" s="3486">
        <f t="shared" ca="1" si="10"/>
        <v>224</v>
      </c>
      <c r="F256" s="3486"/>
    </row>
    <row r="257" spans="1:6">
      <c r="A257" s="3481">
        <v>256</v>
      </c>
      <c r="B257" s="3482" t="s">
        <v>3870</v>
      </c>
      <c r="C257" s="3482">
        <v>83.01</v>
      </c>
      <c r="D257" s="3486" t="s">
        <v>4097</v>
      </c>
      <c r="E257" s="3486">
        <f t="shared" ca="1" si="10"/>
        <v>224</v>
      </c>
      <c r="F257" s="3486"/>
    </row>
    <row r="258" spans="1:6">
      <c r="A258" s="3481">
        <v>257</v>
      </c>
      <c r="B258" s="3482" t="s">
        <v>3871</v>
      </c>
      <c r="C258" s="3482">
        <v>83.01</v>
      </c>
      <c r="D258" s="3486" t="s">
        <v>4097</v>
      </c>
      <c r="E258" s="3486">
        <f t="shared" ref="E258:E321" ca="1" si="11">ROUND(C258*$F$2/10000,0)</f>
        <v>224</v>
      </c>
      <c r="F258" s="3486"/>
    </row>
    <row r="259" spans="1:6">
      <c r="A259" s="3481">
        <v>258</v>
      </c>
      <c r="B259" s="3482" t="s">
        <v>3872</v>
      </c>
      <c r="C259" s="3482">
        <v>83.01</v>
      </c>
      <c r="D259" s="3486" t="s">
        <v>4097</v>
      </c>
      <c r="E259" s="3486">
        <f t="shared" ca="1" si="11"/>
        <v>224</v>
      </c>
      <c r="F259" s="3486"/>
    </row>
    <row r="260" spans="1:6">
      <c r="A260" s="3481">
        <v>259</v>
      </c>
      <c r="B260" s="3482" t="s">
        <v>3873</v>
      </c>
      <c r="C260" s="3482">
        <v>83.01</v>
      </c>
      <c r="D260" s="3486" t="s">
        <v>4097</v>
      </c>
      <c r="E260" s="3486">
        <f t="shared" ca="1" si="11"/>
        <v>224</v>
      </c>
      <c r="F260" s="3486"/>
    </row>
    <row r="261" spans="1:6">
      <c r="A261" s="3481">
        <v>260</v>
      </c>
      <c r="B261" s="3482" t="s">
        <v>3874</v>
      </c>
      <c r="C261" s="3482">
        <v>83.01</v>
      </c>
      <c r="D261" s="3486" t="s">
        <v>4097</v>
      </c>
      <c r="E261" s="3486">
        <f t="shared" ca="1" si="11"/>
        <v>224</v>
      </c>
      <c r="F261" s="3486"/>
    </row>
    <row r="262" spans="1:6">
      <c r="A262" s="3481">
        <v>261</v>
      </c>
      <c r="B262" s="3482" t="s">
        <v>3875</v>
      </c>
      <c r="C262" s="3482">
        <v>83.01</v>
      </c>
      <c r="D262" s="3486" t="s">
        <v>4097</v>
      </c>
      <c r="E262" s="3486">
        <f t="shared" ca="1" si="11"/>
        <v>224</v>
      </c>
      <c r="F262" s="3486"/>
    </row>
    <row r="263" spans="1:6">
      <c r="A263" s="3481">
        <v>262</v>
      </c>
      <c r="B263" s="3482" t="s">
        <v>3876</v>
      </c>
      <c r="C263" s="3482">
        <v>83.01</v>
      </c>
      <c r="D263" s="3486" t="s">
        <v>4097</v>
      </c>
      <c r="E263" s="3486">
        <f t="shared" ca="1" si="11"/>
        <v>224</v>
      </c>
      <c r="F263" s="3486"/>
    </row>
    <row r="264" spans="1:6">
      <c r="A264" s="3481">
        <v>263</v>
      </c>
      <c r="B264" s="3482" t="s">
        <v>3877</v>
      </c>
      <c r="C264" s="3482">
        <v>83.01</v>
      </c>
      <c r="D264" s="3486" t="s">
        <v>4097</v>
      </c>
      <c r="E264" s="3486">
        <f t="shared" ca="1" si="11"/>
        <v>224</v>
      </c>
      <c r="F264" s="3486"/>
    </row>
    <row r="265" spans="1:6">
      <c r="A265" s="3481">
        <v>264</v>
      </c>
      <c r="B265" s="3482" t="s">
        <v>3878</v>
      </c>
      <c r="C265" s="3482">
        <v>83.01</v>
      </c>
      <c r="D265" s="3486" t="s">
        <v>4097</v>
      </c>
      <c r="E265" s="3486">
        <f t="shared" ca="1" si="11"/>
        <v>224</v>
      </c>
      <c r="F265" s="3486"/>
    </row>
    <row r="266" spans="1:6">
      <c r="A266" s="3481">
        <v>265</v>
      </c>
      <c r="B266" s="3482" t="s">
        <v>3879</v>
      </c>
      <c r="C266" s="3482">
        <v>83.01</v>
      </c>
      <c r="D266" s="3486" t="s">
        <v>4097</v>
      </c>
      <c r="E266" s="3486">
        <f t="shared" ca="1" si="11"/>
        <v>224</v>
      </c>
      <c r="F266" s="3486"/>
    </row>
    <row r="267" spans="1:6">
      <c r="A267" s="3481">
        <v>266</v>
      </c>
      <c r="B267" s="3482" t="s">
        <v>3880</v>
      </c>
      <c r="C267" s="3482">
        <v>83.01</v>
      </c>
      <c r="D267" s="3486" t="s">
        <v>4097</v>
      </c>
      <c r="E267" s="3486">
        <f t="shared" ca="1" si="11"/>
        <v>224</v>
      </c>
      <c r="F267" s="3486"/>
    </row>
    <row r="268" spans="1:6">
      <c r="A268" s="3481">
        <v>267</v>
      </c>
      <c r="B268" s="3482" t="s">
        <v>3881</v>
      </c>
      <c r="C268" s="3482">
        <v>83.01</v>
      </c>
      <c r="D268" s="3486" t="s">
        <v>4097</v>
      </c>
      <c r="E268" s="3486">
        <f t="shared" ca="1" si="11"/>
        <v>224</v>
      </c>
      <c r="F268" s="3486"/>
    </row>
    <row r="269" spans="1:6">
      <c r="A269" s="3481">
        <v>268</v>
      </c>
      <c r="B269" s="3482" t="s">
        <v>3882</v>
      </c>
      <c r="C269" s="3482">
        <v>83.01</v>
      </c>
      <c r="D269" s="3486" t="s">
        <v>4097</v>
      </c>
      <c r="E269" s="3486">
        <f t="shared" ca="1" si="11"/>
        <v>224</v>
      </c>
      <c r="F269" s="3486"/>
    </row>
    <row r="270" spans="1:6">
      <c r="A270" s="3481">
        <v>269</v>
      </c>
      <c r="B270" s="3482" t="s">
        <v>3883</v>
      </c>
      <c r="C270" s="3482">
        <v>83.01</v>
      </c>
      <c r="D270" s="3486" t="s">
        <v>4097</v>
      </c>
      <c r="E270" s="3486">
        <f t="shared" ca="1" si="11"/>
        <v>224</v>
      </c>
      <c r="F270" s="3486"/>
    </row>
    <row r="271" spans="1:6">
      <c r="A271" s="3481">
        <v>270</v>
      </c>
      <c r="B271" s="3482" t="s">
        <v>3884</v>
      </c>
      <c r="C271" s="3482">
        <v>83.01</v>
      </c>
      <c r="D271" s="3486" t="s">
        <v>4097</v>
      </c>
      <c r="E271" s="3486">
        <f t="shared" ca="1" si="11"/>
        <v>224</v>
      </c>
      <c r="F271" s="3486"/>
    </row>
    <row r="272" spans="1:6">
      <c r="A272" s="3481">
        <v>271</v>
      </c>
      <c r="B272" s="3482" t="s">
        <v>3885</v>
      </c>
      <c r="C272" s="3482">
        <v>83.01</v>
      </c>
      <c r="D272" s="3486" t="s">
        <v>4097</v>
      </c>
      <c r="E272" s="3486">
        <f t="shared" ca="1" si="11"/>
        <v>224</v>
      </c>
      <c r="F272" s="3486"/>
    </row>
    <row r="273" spans="1:6">
      <c r="A273" s="3481">
        <v>272</v>
      </c>
      <c r="B273" s="3482" t="s">
        <v>3886</v>
      </c>
      <c r="C273" s="3482">
        <v>60.82</v>
      </c>
      <c r="D273" s="3486" t="s">
        <v>4097</v>
      </c>
      <c r="E273" s="3486">
        <f t="shared" ca="1" si="11"/>
        <v>164</v>
      </c>
      <c r="F273" s="3486"/>
    </row>
    <row r="274" spans="1:6">
      <c r="A274" s="3481">
        <v>273</v>
      </c>
      <c r="B274" s="3482" t="s">
        <v>3887</v>
      </c>
      <c r="C274" s="3482">
        <v>86.97</v>
      </c>
      <c r="D274" s="3486" t="s">
        <v>4097</v>
      </c>
      <c r="E274" s="3486">
        <f t="shared" ca="1" si="11"/>
        <v>234</v>
      </c>
      <c r="F274" s="3486"/>
    </row>
    <row r="275" spans="1:6">
      <c r="A275" s="3481">
        <v>274</v>
      </c>
      <c r="B275" s="3482" t="s">
        <v>3888</v>
      </c>
      <c r="C275" s="3482">
        <v>83.01</v>
      </c>
      <c r="D275" s="3486" t="s">
        <v>4097</v>
      </c>
      <c r="E275" s="3486">
        <f t="shared" ca="1" si="11"/>
        <v>224</v>
      </c>
      <c r="F275" s="3486"/>
    </row>
    <row r="276" spans="1:6">
      <c r="A276" s="3481">
        <v>275</v>
      </c>
      <c r="B276" s="3482" t="s">
        <v>3889</v>
      </c>
      <c r="C276" s="3482">
        <v>86.97</v>
      </c>
      <c r="D276" s="3486" t="s">
        <v>4097</v>
      </c>
      <c r="E276" s="3486">
        <f t="shared" ca="1" si="11"/>
        <v>234</v>
      </c>
      <c r="F276" s="3486"/>
    </row>
    <row r="277" spans="1:6">
      <c r="A277" s="3481">
        <v>276</v>
      </c>
      <c r="B277" s="3482" t="s">
        <v>3890</v>
      </c>
      <c r="C277" s="3482">
        <v>83.01</v>
      </c>
      <c r="D277" s="3486" t="s">
        <v>4097</v>
      </c>
      <c r="E277" s="3486">
        <f t="shared" ca="1" si="11"/>
        <v>224</v>
      </c>
      <c r="F277" s="3486"/>
    </row>
    <row r="278" spans="1:6">
      <c r="A278" s="3481">
        <v>277</v>
      </c>
      <c r="B278" s="3482" t="s">
        <v>3891</v>
      </c>
      <c r="C278" s="3482">
        <v>86.97</v>
      </c>
      <c r="D278" s="3486" t="s">
        <v>4097</v>
      </c>
      <c r="E278" s="3486">
        <f t="shared" ca="1" si="11"/>
        <v>234</v>
      </c>
      <c r="F278" s="3486"/>
    </row>
    <row r="279" spans="1:6">
      <c r="A279" s="3481">
        <v>278</v>
      </c>
      <c r="B279" s="3482" t="s">
        <v>3892</v>
      </c>
      <c r="C279" s="3482">
        <v>83.01</v>
      </c>
      <c r="D279" s="3486" t="s">
        <v>4097</v>
      </c>
      <c r="E279" s="3486">
        <f t="shared" ca="1" si="11"/>
        <v>224</v>
      </c>
      <c r="F279" s="3486"/>
    </row>
    <row r="280" spans="1:6">
      <c r="A280" s="3481">
        <v>279</v>
      </c>
      <c r="B280" s="3482" t="s">
        <v>3893</v>
      </c>
      <c r="C280" s="3482">
        <v>86.97</v>
      </c>
      <c r="D280" s="3486" t="s">
        <v>4097</v>
      </c>
      <c r="E280" s="3486">
        <f t="shared" ca="1" si="11"/>
        <v>234</v>
      </c>
      <c r="F280" s="3486"/>
    </row>
    <row r="281" spans="1:6">
      <c r="A281" s="3481">
        <v>280</v>
      </c>
      <c r="B281" s="3482" t="s">
        <v>3894</v>
      </c>
      <c r="C281" s="3482">
        <v>83.01</v>
      </c>
      <c r="D281" s="3486" t="s">
        <v>4097</v>
      </c>
      <c r="E281" s="3486">
        <f t="shared" ca="1" si="11"/>
        <v>224</v>
      </c>
      <c r="F281" s="3486"/>
    </row>
    <row r="282" spans="1:6">
      <c r="A282" s="3481">
        <v>281</v>
      </c>
      <c r="B282" s="3482" t="s">
        <v>3895</v>
      </c>
      <c r="C282" s="3482">
        <v>86.97</v>
      </c>
      <c r="D282" s="3486" t="s">
        <v>4097</v>
      </c>
      <c r="E282" s="3486">
        <f t="shared" ca="1" si="11"/>
        <v>234</v>
      </c>
      <c r="F282" s="3486"/>
    </row>
    <row r="283" spans="1:6">
      <c r="A283" s="3481">
        <v>282</v>
      </c>
      <c r="B283" s="3482" t="s">
        <v>3896</v>
      </c>
      <c r="C283" s="3482">
        <v>83.01</v>
      </c>
      <c r="D283" s="3486" t="s">
        <v>4097</v>
      </c>
      <c r="E283" s="3486">
        <f t="shared" ca="1" si="11"/>
        <v>224</v>
      </c>
      <c r="F283" s="3486"/>
    </row>
    <row r="284" spans="1:6">
      <c r="A284" s="3481">
        <v>283</v>
      </c>
      <c r="B284" s="3482" t="s">
        <v>3897</v>
      </c>
      <c r="C284" s="3482">
        <v>86.97</v>
      </c>
      <c r="D284" s="3486" t="s">
        <v>4097</v>
      </c>
      <c r="E284" s="3486">
        <f t="shared" ca="1" si="11"/>
        <v>234</v>
      </c>
      <c r="F284" s="3486"/>
    </row>
    <row r="285" spans="1:6">
      <c r="A285" s="3481">
        <v>284</v>
      </c>
      <c r="B285" s="3482" t="s">
        <v>3898</v>
      </c>
      <c r="C285" s="3482">
        <v>83.01</v>
      </c>
      <c r="D285" s="3486" t="s">
        <v>4097</v>
      </c>
      <c r="E285" s="3486">
        <f t="shared" ca="1" si="11"/>
        <v>224</v>
      </c>
      <c r="F285" s="3486"/>
    </row>
    <row r="286" spans="1:6">
      <c r="A286" s="3481">
        <v>285</v>
      </c>
      <c r="B286" s="3482" t="s">
        <v>3899</v>
      </c>
      <c r="C286" s="3482">
        <v>86.97</v>
      </c>
      <c r="D286" s="3486" t="s">
        <v>4097</v>
      </c>
      <c r="E286" s="3486">
        <f t="shared" ca="1" si="11"/>
        <v>234</v>
      </c>
      <c r="F286" s="3486"/>
    </row>
    <row r="287" spans="1:6">
      <c r="A287" s="3481">
        <v>286</v>
      </c>
      <c r="B287" s="3482" t="s">
        <v>3900</v>
      </c>
      <c r="C287" s="3482">
        <v>83.01</v>
      </c>
      <c r="D287" s="3486" t="s">
        <v>4097</v>
      </c>
      <c r="E287" s="3486">
        <f t="shared" ca="1" si="11"/>
        <v>224</v>
      </c>
      <c r="F287" s="3486"/>
    </row>
    <row r="288" spans="1:6">
      <c r="A288" s="3481">
        <v>287</v>
      </c>
      <c r="B288" s="3482" t="s">
        <v>3901</v>
      </c>
      <c r="C288" s="3482">
        <v>86.97</v>
      </c>
      <c r="D288" s="3486" t="s">
        <v>4097</v>
      </c>
      <c r="E288" s="3486">
        <f t="shared" ca="1" si="11"/>
        <v>234</v>
      </c>
      <c r="F288" s="3486"/>
    </row>
    <row r="289" spans="1:6">
      <c r="A289" s="3481">
        <v>288</v>
      </c>
      <c r="B289" s="3482" t="s">
        <v>3902</v>
      </c>
      <c r="C289" s="3482">
        <v>83.01</v>
      </c>
      <c r="D289" s="3486" t="s">
        <v>4097</v>
      </c>
      <c r="E289" s="3486">
        <f t="shared" ca="1" si="11"/>
        <v>224</v>
      </c>
      <c r="F289" s="3486"/>
    </row>
    <row r="290" spans="1:6">
      <c r="A290" s="3481">
        <v>289</v>
      </c>
      <c r="B290" s="3482" t="s">
        <v>3903</v>
      </c>
      <c r="C290" s="3482">
        <v>86.97</v>
      </c>
      <c r="D290" s="3486" t="s">
        <v>4097</v>
      </c>
      <c r="E290" s="3486">
        <f t="shared" ca="1" si="11"/>
        <v>234</v>
      </c>
      <c r="F290" s="3486"/>
    </row>
    <row r="291" spans="1:6">
      <c r="A291" s="3481">
        <v>290</v>
      </c>
      <c r="B291" s="3482" t="s">
        <v>3904</v>
      </c>
      <c r="C291" s="3482">
        <v>83.01</v>
      </c>
      <c r="D291" s="3486" t="s">
        <v>4097</v>
      </c>
      <c r="E291" s="3486">
        <f t="shared" ca="1" si="11"/>
        <v>224</v>
      </c>
      <c r="F291" s="3486"/>
    </row>
    <row r="292" spans="1:6">
      <c r="A292" s="3481">
        <v>291</v>
      </c>
      <c r="B292" s="3482" t="s">
        <v>3905</v>
      </c>
      <c r="C292" s="3482">
        <v>86.97</v>
      </c>
      <c r="D292" s="3486" t="s">
        <v>4097</v>
      </c>
      <c r="E292" s="3486">
        <f t="shared" ca="1" si="11"/>
        <v>234</v>
      </c>
      <c r="F292" s="3486"/>
    </row>
    <row r="293" spans="1:6">
      <c r="A293" s="3481">
        <v>292</v>
      </c>
      <c r="B293" s="3482" t="s">
        <v>3906</v>
      </c>
      <c r="C293" s="3482">
        <v>83.01</v>
      </c>
      <c r="D293" s="3486" t="s">
        <v>4097</v>
      </c>
      <c r="E293" s="3486">
        <f t="shared" ca="1" si="11"/>
        <v>224</v>
      </c>
      <c r="F293" s="3486"/>
    </row>
    <row r="294" spans="1:6">
      <c r="A294" s="3481">
        <v>293</v>
      </c>
      <c r="B294" s="3482" t="s">
        <v>3907</v>
      </c>
      <c r="C294" s="3482">
        <v>86.97</v>
      </c>
      <c r="D294" s="3486" t="s">
        <v>4097</v>
      </c>
      <c r="E294" s="3486">
        <f t="shared" ca="1" si="11"/>
        <v>234</v>
      </c>
      <c r="F294" s="3486"/>
    </row>
    <row r="295" spans="1:6">
      <c r="A295" s="3481">
        <v>294</v>
      </c>
      <c r="B295" s="3482" t="s">
        <v>3908</v>
      </c>
      <c r="C295" s="3482">
        <v>77.53</v>
      </c>
      <c r="D295" s="3486" t="s">
        <v>4097</v>
      </c>
      <c r="E295" s="3486">
        <f t="shared" ca="1" si="11"/>
        <v>209</v>
      </c>
      <c r="F295" s="3486"/>
    </row>
    <row r="296" spans="1:6">
      <c r="A296" s="3481">
        <v>295</v>
      </c>
      <c r="B296" s="3482" t="s">
        <v>3909</v>
      </c>
      <c r="C296" s="3482">
        <v>76.97</v>
      </c>
      <c r="D296" s="3486" t="s">
        <v>4097</v>
      </c>
      <c r="E296" s="3486">
        <f t="shared" ca="1" si="11"/>
        <v>207</v>
      </c>
      <c r="F296" s="3486"/>
    </row>
    <row r="297" spans="1:6">
      <c r="A297" s="3481">
        <v>296</v>
      </c>
      <c r="B297" s="3482" t="s">
        <v>3910</v>
      </c>
      <c r="C297" s="3482">
        <v>77.53</v>
      </c>
      <c r="D297" s="3486" t="s">
        <v>4097</v>
      </c>
      <c r="E297" s="3486">
        <f t="shared" ca="1" si="11"/>
        <v>209</v>
      </c>
      <c r="F297" s="3486"/>
    </row>
    <row r="298" spans="1:6">
      <c r="A298" s="3481">
        <v>297</v>
      </c>
      <c r="B298" s="3482" t="s">
        <v>3911</v>
      </c>
      <c r="C298" s="3482">
        <v>76.97</v>
      </c>
      <c r="D298" s="3486" t="s">
        <v>4097</v>
      </c>
      <c r="E298" s="3486">
        <f t="shared" ca="1" si="11"/>
        <v>207</v>
      </c>
      <c r="F298" s="3486"/>
    </row>
    <row r="299" spans="1:6">
      <c r="A299" s="3481">
        <v>298</v>
      </c>
      <c r="B299" s="3482" t="s">
        <v>3912</v>
      </c>
      <c r="C299" s="3482">
        <v>77.53</v>
      </c>
      <c r="D299" s="3486" t="s">
        <v>4097</v>
      </c>
      <c r="E299" s="3486">
        <f t="shared" ca="1" si="11"/>
        <v>209</v>
      </c>
      <c r="F299" s="3486"/>
    </row>
    <row r="300" spans="1:6">
      <c r="A300" s="3481">
        <v>299</v>
      </c>
      <c r="B300" s="3482" t="s">
        <v>3913</v>
      </c>
      <c r="C300" s="3482">
        <v>76.97</v>
      </c>
      <c r="D300" s="3486" t="s">
        <v>4097</v>
      </c>
      <c r="E300" s="3486">
        <f t="shared" ca="1" si="11"/>
        <v>207</v>
      </c>
      <c r="F300" s="3486"/>
    </row>
    <row r="301" spans="1:6">
      <c r="A301" s="3481">
        <v>300</v>
      </c>
      <c r="B301" s="3482" t="s">
        <v>3914</v>
      </c>
      <c r="C301" s="3482">
        <v>77.53</v>
      </c>
      <c r="D301" s="3486" t="s">
        <v>4097</v>
      </c>
      <c r="E301" s="3486">
        <f t="shared" ca="1" si="11"/>
        <v>209</v>
      </c>
      <c r="F301" s="3486"/>
    </row>
    <row r="302" spans="1:6">
      <c r="A302" s="3481">
        <v>301</v>
      </c>
      <c r="B302" s="3482" t="s">
        <v>3915</v>
      </c>
      <c r="C302" s="3482">
        <v>76.97</v>
      </c>
      <c r="D302" s="3486" t="s">
        <v>4097</v>
      </c>
      <c r="E302" s="3486">
        <f t="shared" ca="1" si="11"/>
        <v>207</v>
      </c>
      <c r="F302" s="3486"/>
    </row>
    <row r="303" spans="1:6">
      <c r="A303" s="3481">
        <v>302</v>
      </c>
      <c r="B303" s="3482" t="s">
        <v>3916</v>
      </c>
      <c r="C303" s="3482">
        <v>77.53</v>
      </c>
      <c r="D303" s="3486" t="s">
        <v>4097</v>
      </c>
      <c r="E303" s="3486">
        <f t="shared" ca="1" si="11"/>
        <v>209</v>
      </c>
      <c r="F303" s="3486"/>
    </row>
    <row r="304" spans="1:6">
      <c r="A304" s="3481">
        <v>303</v>
      </c>
      <c r="B304" s="3482" t="s">
        <v>3917</v>
      </c>
      <c r="C304" s="3482">
        <v>76.97</v>
      </c>
      <c r="D304" s="3486" t="s">
        <v>4097</v>
      </c>
      <c r="E304" s="3486">
        <f t="shared" ca="1" si="11"/>
        <v>207</v>
      </c>
      <c r="F304" s="3486"/>
    </row>
    <row r="305" spans="1:6">
      <c r="A305" s="3481">
        <v>304</v>
      </c>
      <c r="B305" s="3482" t="s">
        <v>3918</v>
      </c>
      <c r="C305" s="3482">
        <v>76.97</v>
      </c>
      <c r="D305" s="3486" t="s">
        <v>4097</v>
      </c>
      <c r="E305" s="3486">
        <f t="shared" ca="1" si="11"/>
        <v>207</v>
      </c>
      <c r="F305" s="3486"/>
    </row>
    <row r="306" spans="1:6">
      <c r="A306" s="3481">
        <v>305</v>
      </c>
      <c r="B306" s="3482" t="s">
        <v>3919</v>
      </c>
      <c r="C306" s="3482">
        <v>76.97</v>
      </c>
      <c r="D306" s="3486" t="s">
        <v>4097</v>
      </c>
      <c r="E306" s="3486">
        <f t="shared" ca="1" si="11"/>
        <v>207</v>
      </c>
      <c r="F306" s="3486"/>
    </row>
    <row r="307" spans="1:6">
      <c r="A307" s="3481">
        <v>306</v>
      </c>
      <c r="B307" s="3482" t="s">
        <v>3920</v>
      </c>
      <c r="C307" s="3482">
        <v>76.97</v>
      </c>
      <c r="D307" s="3486" t="s">
        <v>4097</v>
      </c>
      <c r="E307" s="3486">
        <f t="shared" ca="1" si="11"/>
        <v>207</v>
      </c>
      <c r="F307" s="3486"/>
    </row>
    <row r="308" spans="1:6">
      <c r="A308" s="3481">
        <v>307</v>
      </c>
      <c r="B308" s="3482" t="s">
        <v>3921</v>
      </c>
      <c r="C308" s="3482">
        <v>76.97</v>
      </c>
      <c r="D308" s="3486" t="s">
        <v>4097</v>
      </c>
      <c r="E308" s="3486">
        <f t="shared" ca="1" si="11"/>
        <v>207</v>
      </c>
      <c r="F308" s="3486"/>
    </row>
    <row r="309" spans="1:6">
      <c r="A309" s="3481">
        <v>308</v>
      </c>
      <c r="B309" s="3482" t="s">
        <v>3922</v>
      </c>
      <c r="C309" s="3482">
        <v>76.97</v>
      </c>
      <c r="D309" s="3486" t="s">
        <v>4097</v>
      </c>
      <c r="E309" s="3486">
        <f t="shared" ca="1" si="11"/>
        <v>207</v>
      </c>
      <c r="F309" s="3486"/>
    </row>
    <row r="310" spans="1:6">
      <c r="A310" s="3481">
        <v>309</v>
      </c>
      <c r="B310" s="3482" t="s">
        <v>3923</v>
      </c>
      <c r="C310" s="3482">
        <v>76.97</v>
      </c>
      <c r="D310" s="3486" t="s">
        <v>4097</v>
      </c>
      <c r="E310" s="3486">
        <f t="shared" ca="1" si="11"/>
        <v>207</v>
      </c>
      <c r="F310" s="3486"/>
    </row>
    <row r="311" spans="1:6">
      <c r="A311" s="3481">
        <v>310</v>
      </c>
      <c r="B311" s="3482" t="s">
        <v>3924</v>
      </c>
      <c r="C311" s="3482">
        <v>76.97</v>
      </c>
      <c r="D311" s="3486" t="s">
        <v>4097</v>
      </c>
      <c r="E311" s="3486">
        <f t="shared" ca="1" si="11"/>
        <v>207</v>
      </c>
      <c r="F311" s="3486"/>
    </row>
    <row r="312" spans="1:6">
      <c r="A312" s="3481">
        <v>311</v>
      </c>
      <c r="B312" s="3482" t="s">
        <v>3925</v>
      </c>
      <c r="C312" s="3482">
        <v>76.97</v>
      </c>
      <c r="D312" s="3486" t="s">
        <v>4097</v>
      </c>
      <c r="E312" s="3486">
        <f t="shared" ca="1" si="11"/>
        <v>207</v>
      </c>
      <c r="F312" s="3486"/>
    </row>
    <row r="313" spans="1:6">
      <c r="A313" s="3481">
        <v>312</v>
      </c>
      <c r="B313" s="3482" t="s">
        <v>3926</v>
      </c>
      <c r="C313" s="3482">
        <v>76.97</v>
      </c>
      <c r="D313" s="3486" t="s">
        <v>4097</v>
      </c>
      <c r="E313" s="3486">
        <f t="shared" ca="1" si="11"/>
        <v>207</v>
      </c>
      <c r="F313" s="3486"/>
    </row>
    <row r="314" spans="1:6">
      <c r="A314" s="3481">
        <v>313</v>
      </c>
      <c r="B314" s="3482" t="s">
        <v>3927</v>
      </c>
      <c r="C314" s="3482">
        <v>76.97</v>
      </c>
      <c r="D314" s="3486" t="s">
        <v>4097</v>
      </c>
      <c r="E314" s="3486">
        <f t="shared" ca="1" si="11"/>
        <v>207</v>
      </c>
      <c r="F314" s="3486"/>
    </row>
    <row r="315" spans="1:6">
      <c r="A315" s="3481">
        <v>314</v>
      </c>
      <c r="B315" s="3482" t="s">
        <v>3928</v>
      </c>
      <c r="C315" s="3482">
        <v>77.53</v>
      </c>
      <c r="D315" s="3486" t="s">
        <v>4097</v>
      </c>
      <c r="E315" s="3486">
        <f t="shared" ca="1" si="11"/>
        <v>209</v>
      </c>
      <c r="F315" s="3486"/>
    </row>
    <row r="316" spans="1:6">
      <c r="A316" s="3481">
        <v>315</v>
      </c>
      <c r="B316" s="3482" t="s">
        <v>3929</v>
      </c>
      <c r="C316" s="3482">
        <v>76.97</v>
      </c>
      <c r="D316" s="3486" t="s">
        <v>4097</v>
      </c>
      <c r="E316" s="3486">
        <f t="shared" ca="1" si="11"/>
        <v>207</v>
      </c>
      <c r="F316" s="3486"/>
    </row>
    <row r="317" spans="1:6">
      <c r="A317" s="3481">
        <v>316</v>
      </c>
      <c r="B317" s="3482" t="s">
        <v>3930</v>
      </c>
      <c r="C317" s="3482">
        <v>76.97</v>
      </c>
      <c r="D317" s="3486" t="s">
        <v>4097</v>
      </c>
      <c r="E317" s="3486">
        <f t="shared" ca="1" si="11"/>
        <v>207</v>
      </c>
      <c r="F317" s="3486"/>
    </row>
    <row r="318" spans="1:6">
      <c r="A318" s="3481">
        <v>317</v>
      </c>
      <c r="B318" s="3482" t="s">
        <v>3931</v>
      </c>
      <c r="C318" s="3482">
        <v>76.97</v>
      </c>
      <c r="D318" s="3486" t="s">
        <v>4097</v>
      </c>
      <c r="E318" s="3486">
        <f t="shared" ca="1" si="11"/>
        <v>207</v>
      </c>
      <c r="F318" s="3486"/>
    </row>
    <row r="319" spans="1:6">
      <c r="A319" s="3481">
        <v>318</v>
      </c>
      <c r="B319" s="3482" t="s">
        <v>3932</v>
      </c>
      <c r="C319" s="3482">
        <v>76.97</v>
      </c>
      <c r="D319" s="3486" t="s">
        <v>4097</v>
      </c>
      <c r="E319" s="3486">
        <f t="shared" ca="1" si="11"/>
        <v>207</v>
      </c>
      <c r="F319" s="3486"/>
    </row>
    <row r="320" spans="1:6">
      <c r="A320" s="3481">
        <v>319</v>
      </c>
      <c r="B320" s="3482" t="s">
        <v>3933</v>
      </c>
      <c r="C320" s="3482">
        <v>76.97</v>
      </c>
      <c r="D320" s="3486" t="s">
        <v>4097</v>
      </c>
      <c r="E320" s="3486">
        <f t="shared" ca="1" si="11"/>
        <v>207</v>
      </c>
      <c r="F320" s="3486"/>
    </row>
    <row r="321" spans="1:6">
      <c r="A321" s="3481">
        <v>320</v>
      </c>
      <c r="B321" s="3482" t="s">
        <v>3934</v>
      </c>
      <c r="C321" s="3482">
        <v>76.97</v>
      </c>
      <c r="D321" s="3486" t="s">
        <v>4097</v>
      </c>
      <c r="E321" s="3486">
        <f t="shared" ca="1" si="11"/>
        <v>207</v>
      </c>
      <c r="F321" s="3486"/>
    </row>
    <row r="322" spans="1:6">
      <c r="A322" s="3481">
        <v>321</v>
      </c>
      <c r="B322" s="3482" t="s">
        <v>3935</v>
      </c>
      <c r="C322" s="3482">
        <v>76.97</v>
      </c>
      <c r="D322" s="3486" t="s">
        <v>4097</v>
      </c>
      <c r="E322" s="3486">
        <f t="shared" ref="E322:E385" ca="1" si="12">ROUND(C322*$F$2/10000,0)</f>
        <v>207</v>
      </c>
      <c r="F322" s="3486"/>
    </row>
    <row r="323" spans="1:6">
      <c r="A323" s="3481">
        <v>322</v>
      </c>
      <c r="B323" s="3482" t="s">
        <v>3936</v>
      </c>
      <c r="C323" s="3482">
        <v>76.97</v>
      </c>
      <c r="D323" s="3486" t="s">
        <v>4097</v>
      </c>
      <c r="E323" s="3486">
        <f t="shared" ca="1" si="12"/>
        <v>207</v>
      </c>
      <c r="F323" s="3486"/>
    </row>
    <row r="324" spans="1:6">
      <c r="A324" s="3481">
        <v>323</v>
      </c>
      <c r="B324" s="3482" t="s">
        <v>3937</v>
      </c>
      <c r="C324" s="3482">
        <v>76.97</v>
      </c>
      <c r="D324" s="3486" t="s">
        <v>4097</v>
      </c>
      <c r="E324" s="3486">
        <f t="shared" ca="1" si="12"/>
        <v>207</v>
      </c>
      <c r="F324" s="3486"/>
    </row>
    <row r="325" spans="1:6">
      <c r="A325" s="3481">
        <v>324</v>
      </c>
      <c r="B325" s="3482" t="s">
        <v>3938</v>
      </c>
      <c r="C325" s="3482">
        <v>76.97</v>
      </c>
      <c r="D325" s="3486" t="s">
        <v>4097</v>
      </c>
      <c r="E325" s="3486">
        <f t="shared" ca="1" si="12"/>
        <v>207</v>
      </c>
      <c r="F325" s="3486"/>
    </row>
    <row r="326" spans="1:6">
      <c r="A326" s="3481">
        <v>325</v>
      </c>
      <c r="B326" s="3482" t="s">
        <v>3939</v>
      </c>
      <c r="C326" s="3482">
        <v>76.97</v>
      </c>
      <c r="D326" s="3486" t="s">
        <v>4097</v>
      </c>
      <c r="E326" s="3486">
        <f t="shared" ca="1" si="12"/>
        <v>207</v>
      </c>
      <c r="F326" s="3486"/>
    </row>
    <row r="327" spans="1:6">
      <c r="A327" s="3481">
        <v>326</v>
      </c>
      <c r="B327" s="3482" t="s">
        <v>3940</v>
      </c>
      <c r="C327" s="3482">
        <v>76.97</v>
      </c>
      <c r="D327" s="3486" t="s">
        <v>4097</v>
      </c>
      <c r="E327" s="3486">
        <f t="shared" ca="1" si="12"/>
        <v>207</v>
      </c>
      <c r="F327" s="3486"/>
    </row>
    <row r="328" spans="1:6">
      <c r="A328" s="3481">
        <v>327</v>
      </c>
      <c r="B328" s="3482" t="s">
        <v>3941</v>
      </c>
      <c r="C328" s="3482">
        <v>76.97</v>
      </c>
      <c r="D328" s="3486" t="s">
        <v>4097</v>
      </c>
      <c r="E328" s="3486">
        <f t="shared" ca="1" si="12"/>
        <v>207</v>
      </c>
      <c r="F328" s="3486"/>
    </row>
    <row r="329" spans="1:6">
      <c r="A329" s="3481">
        <v>328</v>
      </c>
      <c r="B329" s="3482" t="s">
        <v>3942</v>
      </c>
      <c r="C329" s="3482">
        <v>76.97</v>
      </c>
      <c r="D329" s="3486" t="s">
        <v>4097</v>
      </c>
      <c r="E329" s="3486">
        <f t="shared" ca="1" si="12"/>
        <v>207</v>
      </c>
      <c r="F329" s="3486"/>
    </row>
    <row r="330" spans="1:6">
      <c r="A330" s="3481">
        <v>329</v>
      </c>
      <c r="B330" s="3482" t="s">
        <v>3943</v>
      </c>
      <c r="C330" s="3482">
        <v>77.53</v>
      </c>
      <c r="D330" s="3486" t="s">
        <v>4097</v>
      </c>
      <c r="E330" s="3486">
        <f t="shared" ca="1" si="12"/>
        <v>209</v>
      </c>
      <c r="F330" s="3486"/>
    </row>
    <row r="331" spans="1:6">
      <c r="A331" s="3481">
        <v>330</v>
      </c>
      <c r="B331" s="3482" t="s">
        <v>3944</v>
      </c>
      <c r="C331" s="3482">
        <v>76.97</v>
      </c>
      <c r="D331" s="3486" t="s">
        <v>4097</v>
      </c>
      <c r="E331" s="3486">
        <f t="shared" ca="1" si="12"/>
        <v>207</v>
      </c>
      <c r="F331" s="3486"/>
    </row>
    <row r="332" spans="1:6">
      <c r="A332" s="3481">
        <v>331</v>
      </c>
      <c r="B332" s="3482" t="s">
        <v>3945</v>
      </c>
      <c r="C332" s="3482">
        <v>77.53</v>
      </c>
      <c r="D332" s="3486" t="s">
        <v>4097</v>
      </c>
      <c r="E332" s="3486">
        <f t="shared" ca="1" si="12"/>
        <v>209</v>
      </c>
      <c r="F332" s="3486"/>
    </row>
    <row r="333" spans="1:6">
      <c r="A333" s="3481">
        <v>332</v>
      </c>
      <c r="B333" s="3482" t="s">
        <v>3946</v>
      </c>
      <c r="C333" s="3482">
        <v>76.97</v>
      </c>
      <c r="D333" s="3486" t="s">
        <v>4097</v>
      </c>
      <c r="E333" s="3486">
        <f t="shared" ca="1" si="12"/>
        <v>207</v>
      </c>
      <c r="F333" s="3486"/>
    </row>
    <row r="334" spans="1:6">
      <c r="A334" s="3481">
        <v>333</v>
      </c>
      <c r="B334" s="3482" t="s">
        <v>3947</v>
      </c>
      <c r="C334" s="3482">
        <v>77.53</v>
      </c>
      <c r="D334" s="3486" t="s">
        <v>4097</v>
      </c>
      <c r="E334" s="3486">
        <f t="shared" ca="1" si="12"/>
        <v>209</v>
      </c>
      <c r="F334" s="3486"/>
    </row>
    <row r="335" spans="1:6">
      <c r="A335" s="3481">
        <v>334</v>
      </c>
      <c r="B335" s="3482" t="s">
        <v>3948</v>
      </c>
      <c r="C335" s="3482">
        <v>76.97</v>
      </c>
      <c r="D335" s="3486" t="s">
        <v>4097</v>
      </c>
      <c r="E335" s="3486">
        <f t="shared" ca="1" si="12"/>
        <v>207</v>
      </c>
      <c r="F335" s="3486"/>
    </row>
    <row r="336" spans="1:6">
      <c r="A336" s="3481">
        <v>335</v>
      </c>
      <c r="B336" s="3482" t="s">
        <v>3949</v>
      </c>
      <c r="C336" s="3482">
        <v>77.53</v>
      </c>
      <c r="D336" s="3486" t="s">
        <v>4097</v>
      </c>
      <c r="E336" s="3486">
        <f t="shared" ca="1" si="12"/>
        <v>209</v>
      </c>
      <c r="F336" s="3486"/>
    </row>
    <row r="337" spans="1:6">
      <c r="A337" s="3481">
        <v>336</v>
      </c>
      <c r="B337" s="3482" t="s">
        <v>3950</v>
      </c>
      <c r="C337" s="3482">
        <v>76.97</v>
      </c>
      <c r="D337" s="3486" t="s">
        <v>4097</v>
      </c>
      <c r="E337" s="3486">
        <f t="shared" ca="1" si="12"/>
        <v>207</v>
      </c>
      <c r="F337" s="3486"/>
    </row>
    <row r="338" spans="1:6">
      <c r="A338" s="3481">
        <v>337</v>
      </c>
      <c r="B338" s="3482" t="s">
        <v>3951</v>
      </c>
      <c r="C338" s="3482">
        <v>77.53</v>
      </c>
      <c r="D338" s="3486" t="s">
        <v>4097</v>
      </c>
      <c r="E338" s="3486">
        <f t="shared" ca="1" si="12"/>
        <v>209</v>
      </c>
      <c r="F338" s="3486"/>
    </row>
    <row r="339" spans="1:6">
      <c r="A339" s="3481">
        <v>338</v>
      </c>
      <c r="B339" s="3482" t="s">
        <v>3952</v>
      </c>
      <c r="C339" s="3482">
        <v>76.97</v>
      </c>
      <c r="D339" s="3486" t="s">
        <v>4097</v>
      </c>
      <c r="E339" s="3486">
        <f t="shared" ca="1" si="12"/>
        <v>207</v>
      </c>
      <c r="F339" s="3486"/>
    </row>
    <row r="340" spans="1:6">
      <c r="A340" s="3481">
        <v>339</v>
      </c>
      <c r="B340" s="3482" t="s">
        <v>3953</v>
      </c>
      <c r="C340" s="3482">
        <v>77.53</v>
      </c>
      <c r="D340" s="3486" t="s">
        <v>4097</v>
      </c>
      <c r="E340" s="3486">
        <f t="shared" ca="1" si="12"/>
        <v>209</v>
      </c>
      <c r="F340" s="3486"/>
    </row>
    <row r="341" spans="1:6">
      <c r="A341" s="3481">
        <v>340</v>
      </c>
      <c r="B341" s="3482" t="s">
        <v>3954</v>
      </c>
      <c r="C341" s="3482">
        <v>77.28</v>
      </c>
      <c r="D341" s="3486" t="s">
        <v>4097</v>
      </c>
      <c r="E341" s="3486">
        <f t="shared" ca="1" si="12"/>
        <v>208</v>
      </c>
      <c r="F341" s="3486"/>
    </row>
    <row r="342" spans="1:6">
      <c r="A342" s="3481">
        <v>341</v>
      </c>
      <c r="B342" s="3482" t="s">
        <v>3955</v>
      </c>
      <c r="C342" s="3482">
        <v>76.72</v>
      </c>
      <c r="D342" s="3486" t="s">
        <v>4097</v>
      </c>
      <c r="E342" s="3486">
        <f t="shared" ca="1" si="12"/>
        <v>207</v>
      </c>
      <c r="F342" s="3486"/>
    </row>
    <row r="343" spans="1:6">
      <c r="A343" s="3481">
        <v>342</v>
      </c>
      <c r="B343" s="3482" t="s">
        <v>3956</v>
      </c>
      <c r="C343" s="3482">
        <v>77.28</v>
      </c>
      <c r="D343" s="3486" t="s">
        <v>4097</v>
      </c>
      <c r="E343" s="3486">
        <f t="shared" ca="1" si="12"/>
        <v>208</v>
      </c>
      <c r="F343" s="3486"/>
    </row>
    <row r="344" spans="1:6">
      <c r="A344" s="3481">
        <v>343</v>
      </c>
      <c r="B344" s="3482" t="s">
        <v>3957</v>
      </c>
      <c r="C344" s="3482">
        <v>76.72</v>
      </c>
      <c r="D344" s="3486" t="s">
        <v>4097</v>
      </c>
      <c r="E344" s="3486">
        <f t="shared" ca="1" si="12"/>
        <v>207</v>
      </c>
      <c r="F344" s="3486"/>
    </row>
    <row r="345" spans="1:6">
      <c r="A345" s="3481">
        <v>344</v>
      </c>
      <c r="B345" s="3482" t="s">
        <v>3958</v>
      </c>
      <c r="C345" s="3482">
        <v>77.28</v>
      </c>
      <c r="D345" s="3486" t="s">
        <v>4097</v>
      </c>
      <c r="E345" s="3486">
        <f t="shared" ca="1" si="12"/>
        <v>208</v>
      </c>
      <c r="F345" s="3486"/>
    </row>
    <row r="346" spans="1:6">
      <c r="A346" s="3481">
        <v>345</v>
      </c>
      <c r="B346" s="3482" t="s">
        <v>3959</v>
      </c>
      <c r="C346" s="3482">
        <v>76.72</v>
      </c>
      <c r="D346" s="3486" t="s">
        <v>4097</v>
      </c>
      <c r="E346" s="3486">
        <f t="shared" ca="1" si="12"/>
        <v>207</v>
      </c>
      <c r="F346" s="3486"/>
    </row>
    <row r="347" spans="1:6">
      <c r="A347" s="3481">
        <v>346</v>
      </c>
      <c r="B347" s="3482" t="s">
        <v>3960</v>
      </c>
      <c r="C347" s="3482">
        <v>77.28</v>
      </c>
      <c r="D347" s="3486" t="s">
        <v>4097</v>
      </c>
      <c r="E347" s="3486">
        <f t="shared" ca="1" si="12"/>
        <v>208</v>
      </c>
      <c r="F347" s="3486"/>
    </row>
    <row r="348" spans="1:6">
      <c r="A348" s="3481">
        <v>347</v>
      </c>
      <c r="B348" s="3482" t="s">
        <v>3961</v>
      </c>
      <c r="C348" s="3482">
        <v>76.72</v>
      </c>
      <c r="D348" s="3486" t="s">
        <v>4097</v>
      </c>
      <c r="E348" s="3486">
        <f t="shared" ca="1" si="12"/>
        <v>207</v>
      </c>
      <c r="F348" s="3486"/>
    </row>
    <row r="349" spans="1:6">
      <c r="A349" s="3481">
        <v>348</v>
      </c>
      <c r="B349" s="3482" t="s">
        <v>3962</v>
      </c>
      <c r="C349" s="3482">
        <v>77.28</v>
      </c>
      <c r="D349" s="3486" t="s">
        <v>4097</v>
      </c>
      <c r="E349" s="3486">
        <f t="shared" ca="1" si="12"/>
        <v>208</v>
      </c>
      <c r="F349" s="3486"/>
    </row>
    <row r="350" spans="1:6">
      <c r="A350" s="3481">
        <v>349</v>
      </c>
      <c r="B350" s="3482" t="s">
        <v>3963</v>
      </c>
      <c r="C350" s="3482">
        <v>76.72</v>
      </c>
      <c r="D350" s="3486" t="s">
        <v>4097</v>
      </c>
      <c r="E350" s="3486">
        <f t="shared" ca="1" si="12"/>
        <v>207</v>
      </c>
      <c r="F350" s="3486"/>
    </row>
    <row r="351" spans="1:6">
      <c r="A351" s="3481">
        <v>350</v>
      </c>
      <c r="B351" s="3482" t="s">
        <v>3964</v>
      </c>
      <c r="C351" s="3482">
        <v>77.28</v>
      </c>
      <c r="D351" s="3486" t="s">
        <v>4097</v>
      </c>
      <c r="E351" s="3486">
        <f t="shared" ca="1" si="12"/>
        <v>208</v>
      </c>
      <c r="F351" s="3486"/>
    </row>
    <row r="352" spans="1:6">
      <c r="A352" s="3481">
        <v>351</v>
      </c>
      <c r="B352" s="3482" t="s">
        <v>3965</v>
      </c>
      <c r="C352" s="3482">
        <v>76.72</v>
      </c>
      <c r="D352" s="3486" t="s">
        <v>4097</v>
      </c>
      <c r="E352" s="3486">
        <f t="shared" ca="1" si="12"/>
        <v>207</v>
      </c>
      <c r="F352" s="3486"/>
    </row>
    <row r="353" spans="1:6">
      <c r="A353" s="3481">
        <v>352</v>
      </c>
      <c r="B353" s="3482" t="s">
        <v>3966</v>
      </c>
      <c r="C353" s="3482">
        <v>76.72</v>
      </c>
      <c r="D353" s="3486" t="s">
        <v>4097</v>
      </c>
      <c r="E353" s="3486">
        <f t="shared" ca="1" si="12"/>
        <v>207</v>
      </c>
      <c r="F353" s="3486"/>
    </row>
    <row r="354" spans="1:6">
      <c r="A354" s="3481">
        <v>353</v>
      </c>
      <c r="B354" s="3482" t="s">
        <v>3967</v>
      </c>
      <c r="C354" s="3482">
        <v>76.72</v>
      </c>
      <c r="D354" s="3486" t="s">
        <v>4097</v>
      </c>
      <c r="E354" s="3486">
        <f t="shared" ca="1" si="12"/>
        <v>207</v>
      </c>
      <c r="F354" s="3486"/>
    </row>
    <row r="355" spans="1:6">
      <c r="A355" s="3481">
        <v>354</v>
      </c>
      <c r="B355" s="3482" t="s">
        <v>3968</v>
      </c>
      <c r="C355" s="3482">
        <v>76.72</v>
      </c>
      <c r="D355" s="3486" t="s">
        <v>4097</v>
      </c>
      <c r="E355" s="3486">
        <f t="shared" ca="1" si="12"/>
        <v>207</v>
      </c>
      <c r="F355" s="3486"/>
    </row>
    <row r="356" spans="1:6">
      <c r="A356" s="3481">
        <v>355</v>
      </c>
      <c r="B356" s="3482" t="s">
        <v>3969</v>
      </c>
      <c r="C356" s="3482">
        <v>76.72</v>
      </c>
      <c r="D356" s="3486" t="s">
        <v>4097</v>
      </c>
      <c r="E356" s="3486">
        <f t="shared" ca="1" si="12"/>
        <v>207</v>
      </c>
      <c r="F356" s="3486"/>
    </row>
    <row r="357" spans="1:6">
      <c r="A357" s="3481">
        <v>356</v>
      </c>
      <c r="B357" s="3482" t="s">
        <v>3970</v>
      </c>
      <c r="C357" s="3482">
        <v>76.72</v>
      </c>
      <c r="D357" s="3486" t="s">
        <v>4097</v>
      </c>
      <c r="E357" s="3486">
        <f t="shared" ca="1" si="12"/>
        <v>207</v>
      </c>
      <c r="F357" s="3486"/>
    </row>
    <row r="358" spans="1:6">
      <c r="A358" s="3481">
        <v>357</v>
      </c>
      <c r="B358" s="3482" t="s">
        <v>3971</v>
      </c>
      <c r="C358" s="3482">
        <v>76.72</v>
      </c>
      <c r="D358" s="3486" t="s">
        <v>4097</v>
      </c>
      <c r="E358" s="3486">
        <f t="shared" ca="1" si="12"/>
        <v>207</v>
      </c>
      <c r="F358" s="3486"/>
    </row>
    <row r="359" spans="1:6">
      <c r="A359" s="3481">
        <v>358</v>
      </c>
      <c r="B359" s="3482" t="s">
        <v>3972</v>
      </c>
      <c r="C359" s="3482">
        <v>76.72</v>
      </c>
      <c r="D359" s="3486" t="s">
        <v>4097</v>
      </c>
      <c r="E359" s="3486">
        <f t="shared" ca="1" si="12"/>
        <v>207</v>
      </c>
      <c r="F359" s="3486"/>
    </row>
    <row r="360" spans="1:6">
      <c r="A360" s="3481">
        <v>359</v>
      </c>
      <c r="B360" s="3482" t="s">
        <v>3973</v>
      </c>
      <c r="C360" s="3482">
        <v>76.72</v>
      </c>
      <c r="D360" s="3486" t="s">
        <v>4097</v>
      </c>
      <c r="E360" s="3486">
        <f t="shared" ca="1" si="12"/>
        <v>207</v>
      </c>
      <c r="F360" s="3486"/>
    </row>
    <row r="361" spans="1:6">
      <c r="A361" s="3481">
        <v>360</v>
      </c>
      <c r="B361" s="3482" t="s">
        <v>3974</v>
      </c>
      <c r="C361" s="3482">
        <v>76.72</v>
      </c>
      <c r="D361" s="3486" t="s">
        <v>4097</v>
      </c>
      <c r="E361" s="3486">
        <f t="shared" ca="1" si="12"/>
        <v>207</v>
      </c>
      <c r="F361" s="3486"/>
    </row>
    <row r="362" spans="1:6">
      <c r="A362" s="3481">
        <v>361</v>
      </c>
      <c r="B362" s="3482" t="s">
        <v>3975</v>
      </c>
      <c r="C362" s="3482">
        <v>76.72</v>
      </c>
      <c r="D362" s="3486" t="s">
        <v>4097</v>
      </c>
      <c r="E362" s="3486">
        <f t="shared" ca="1" si="12"/>
        <v>207</v>
      </c>
      <c r="F362" s="3486"/>
    </row>
    <row r="363" spans="1:6">
      <c r="A363" s="3481">
        <v>362</v>
      </c>
      <c r="B363" s="3482" t="s">
        <v>3976</v>
      </c>
      <c r="C363" s="3482">
        <v>76.72</v>
      </c>
      <c r="D363" s="3486" t="s">
        <v>4097</v>
      </c>
      <c r="E363" s="3486">
        <f t="shared" ca="1" si="12"/>
        <v>207</v>
      </c>
      <c r="F363" s="3486"/>
    </row>
    <row r="364" spans="1:6">
      <c r="A364" s="3481">
        <v>363</v>
      </c>
      <c r="B364" s="3482" t="s">
        <v>3977</v>
      </c>
      <c r="C364" s="3482">
        <v>76.72</v>
      </c>
      <c r="D364" s="3486" t="s">
        <v>4097</v>
      </c>
      <c r="E364" s="3486">
        <f t="shared" ca="1" si="12"/>
        <v>207</v>
      </c>
      <c r="F364" s="3486"/>
    </row>
    <row r="365" spans="1:6">
      <c r="A365" s="3481">
        <v>364</v>
      </c>
      <c r="B365" s="3482" t="s">
        <v>3978</v>
      </c>
      <c r="C365" s="3482">
        <v>76.72</v>
      </c>
      <c r="D365" s="3486" t="s">
        <v>4097</v>
      </c>
      <c r="E365" s="3486">
        <f t="shared" ca="1" si="12"/>
        <v>207</v>
      </c>
      <c r="F365" s="3486"/>
    </row>
    <row r="366" spans="1:6">
      <c r="A366" s="3481">
        <v>365</v>
      </c>
      <c r="B366" s="3482" t="s">
        <v>3979</v>
      </c>
      <c r="C366" s="3482">
        <v>76.72</v>
      </c>
      <c r="D366" s="3486" t="s">
        <v>4097</v>
      </c>
      <c r="E366" s="3486">
        <f t="shared" ca="1" si="12"/>
        <v>207</v>
      </c>
      <c r="F366" s="3486"/>
    </row>
    <row r="367" spans="1:6">
      <c r="A367" s="3481">
        <v>366</v>
      </c>
      <c r="B367" s="3482" t="s">
        <v>3980</v>
      </c>
      <c r="C367" s="3482">
        <v>76.72</v>
      </c>
      <c r="D367" s="3486" t="s">
        <v>4097</v>
      </c>
      <c r="E367" s="3486">
        <f t="shared" ca="1" si="12"/>
        <v>207</v>
      </c>
      <c r="F367" s="3486"/>
    </row>
    <row r="368" spans="1:6">
      <c r="A368" s="3481">
        <v>367</v>
      </c>
      <c r="B368" s="3482" t="s">
        <v>3981</v>
      </c>
      <c r="C368" s="3482">
        <v>76.72</v>
      </c>
      <c r="D368" s="3486" t="s">
        <v>4097</v>
      </c>
      <c r="E368" s="3486">
        <f t="shared" ca="1" si="12"/>
        <v>207</v>
      </c>
      <c r="F368" s="3486"/>
    </row>
    <row r="369" spans="1:6">
      <c r="A369" s="3481">
        <v>368</v>
      </c>
      <c r="B369" s="3482" t="s">
        <v>3982</v>
      </c>
      <c r="C369" s="3482">
        <v>76.72</v>
      </c>
      <c r="D369" s="3486" t="s">
        <v>4097</v>
      </c>
      <c r="E369" s="3486">
        <f t="shared" ca="1" si="12"/>
        <v>207</v>
      </c>
      <c r="F369" s="3486"/>
    </row>
    <row r="370" spans="1:6">
      <c r="A370" s="3481">
        <v>369</v>
      </c>
      <c r="B370" s="3482" t="s">
        <v>3983</v>
      </c>
      <c r="C370" s="3482">
        <v>76.72</v>
      </c>
      <c r="D370" s="3486" t="s">
        <v>4097</v>
      </c>
      <c r="E370" s="3486">
        <f t="shared" ca="1" si="12"/>
        <v>207</v>
      </c>
      <c r="F370" s="3486"/>
    </row>
    <row r="371" spans="1:6">
      <c r="A371" s="3481">
        <v>370</v>
      </c>
      <c r="B371" s="3482" t="s">
        <v>3984</v>
      </c>
      <c r="C371" s="3482">
        <v>76.72</v>
      </c>
      <c r="D371" s="3486" t="s">
        <v>4097</v>
      </c>
      <c r="E371" s="3486">
        <f t="shared" ca="1" si="12"/>
        <v>207</v>
      </c>
      <c r="F371" s="3486"/>
    </row>
    <row r="372" spans="1:6">
      <c r="A372" s="3481">
        <v>371</v>
      </c>
      <c r="B372" s="3482" t="s">
        <v>3985</v>
      </c>
      <c r="C372" s="3482">
        <v>76.72</v>
      </c>
      <c r="D372" s="3486" t="s">
        <v>4097</v>
      </c>
      <c r="E372" s="3486">
        <f t="shared" ca="1" si="12"/>
        <v>207</v>
      </c>
      <c r="F372" s="3486"/>
    </row>
    <row r="373" spans="1:6">
      <c r="A373" s="3481">
        <v>372</v>
      </c>
      <c r="B373" s="3482" t="s">
        <v>3986</v>
      </c>
      <c r="C373" s="3482">
        <v>76.72</v>
      </c>
      <c r="D373" s="3486" t="s">
        <v>4097</v>
      </c>
      <c r="E373" s="3486">
        <f t="shared" ca="1" si="12"/>
        <v>207</v>
      </c>
      <c r="F373" s="3486"/>
    </row>
    <row r="374" spans="1:6">
      <c r="A374" s="3481">
        <v>373</v>
      </c>
      <c r="B374" s="3482" t="s">
        <v>3987</v>
      </c>
      <c r="C374" s="3482">
        <v>76.72</v>
      </c>
      <c r="D374" s="3486" t="s">
        <v>4097</v>
      </c>
      <c r="E374" s="3486">
        <f t="shared" ca="1" si="12"/>
        <v>207</v>
      </c>
      <c r="F374" s="3486"/>
    </row>
    <row r="375" spans="1:6">
      <c r="A375" s="3481">
        <v>374</v>
      </c>
      <c r="B375" s="3482" t="s">
        <v>3988</v>
      </c>
      <c r="C375" s="3482">
        <v>76.72</v>
      </c>
      <c r="D375" s="3486" t="s">
        <v>4097</v>
      </c>
      <c r="E375" s="3486">
        <f t="shared" ca="1" si="12"/>
        <v>207</v>
      </c>
      <c r="F375" s="3486"/>
    </row>
    <row r="376" spans="1:6">
      <c r="A376" s="3481">
        <v>375</v>
      </c>
      <c r="B376" s="3482" t="s">
        <v>3989</v>
      </c>
      <c r="C376" s="3482">
        <v>76.72</v>
      </c>
      <c r="D376" s="3486" t="s">
        <v>4097</v>
      </c>
      <c r="E376" s="3486">
        <f t="shared" ca="1" si="12"/>
        <v>207</v>
      </c>
      <c r="F376" s="3486"/>
    </row>
    <row r="377" spans="1:6">
      <c r="A377" s="3481">
        <v>376</v>
      </c>
      <c r="B377" s="3482" t="s">
        <v>3990</v>
      </c>
      <c r="C377" s="3482">
        <v>76.72</v>
      </c>
      <c r="D377" s="3486" t="s">
        <v>4097</v>
      </c>
      <c r="E377" s="3486">
        <f t="shared" ca="1" si="12"/>
        <v>207</v>
      </c>
      <c r="F377" s="3486"/>
    </row>
    <row r="378" spans="1:6">
      <c r="A378" s="3481">
        <v>377</v>
      </c>
      <c r="B378" s="3482" t="s">
        <v>3991</v>
      </c>
      <c r="C378" s="3482">
        <v>76.72</v>
      </c>
      <c r="D378" s="3486" t="s">
        <v>4097</v>
      </c>
      <c r="E378" s="3486">
        <f t="shared" ca="1" si="12"/>
        <v>207</v>
      </c>
      <c r="F378" s="3486"/>
    </row>
    <row r="379" spans="1:6">
      <c r="A379" s="3481">
        <v>378</v>
      </c>
      <c r="B379" s="3482" t="s">
        <v>3992</v>
      </c>
      <c r="C379" s="3482">
        <v>76.72</v>
      </c>
      <c r="D379" s="3486" t="s">
        <v>4097</v>
      </c>
      <c r="E379" s="3486">
        <f t="shared" ca="1" si="12"/>
        <v>207</v>
      </c>
      <c r="F379" s="3486"/>
    </row>
    <row r="380" spans="1:6">
      <c r="A380" s="3481">
        <v>379</v>
      </c>
      <c r="B380" s="3482" t="s">
        <v>3993</v>
      </c>
      <c r="C380" s="3482">
        <v>76.72</v>
      </c>
      <c r="D380" s="3486" t="s">
        <v>4097</v>
      </c>
      <c r="E380" s="3486">
        <f t="shared" ca="1" si="12"/>
        <v>207</v>
      </c>
      <c r="F380" s="3486"/>
    </row>
    <row r="381" spans="1:6">
      <c r="A381" s="3481">
        <v>380</v>
      </c>
      <c r="B381" s="3482" t="s">
        <v>3994</v>
      </c>
      <c r="C381" s="3482">
        <v>76.72</v>
      </c>
      <c r="D381" s="3486" t="s">
        <v>4097</v>
      </c>
      <c r="E381" s="3486">
        <f t="shared" ca="1" si="12"/>
        <v>207</v>
      </c>
      <c r="F381" s="3486"/>
    </row>
    <row r="382" spans="1:6">
      <c r="A382" s="3481">
        <v>381</v>
      </c>
      <c r="B382" s="3482" t="s">
        <v>3995</v>
      </c>
      <c r="C382" s="3482">
        <v>76.72</v>
      </c>
      <c r="D382" s="3486" t="s">
        <v>4097</v>
      </c>
      <c r="E382" s="3486">
        <f t="shared" ca="1" si="12"/>
        <v>207</v>
      </c>
      <c r="F382" s="3486"/>
    </row>
    <row r="383" spans="1:6">
      <c r="A383" s="3481">
        <v>382</v>
      </c>
      <c r="B383" s="3482" t="s">
        <v>3996</v>
      </c>
      <c r="C383" s="3482">
        <v>76.72</v>
      </c>
      <c r="D383" s="3486" t="s">
        <v>4097</v>
      </c>
      <c r="E383" s="3486">
        <f t="shared" ca="1" si="12"/>
        <v>207</v>
      </c>
      <c r="F383" s="3486"/>
    </row>
    <row r="384" spans="1:6">
      <c r="A384" s="3481">
        <v>383</v>
      </c>
      <c r="B384" s="3482" t="s">
        <v>3997</v>
      </c>
      <c r="C384" s="3482">
        <v>76.72</v>
      </c>
      <c r="D384" s="3486" t="s">
        <v>4097</v>
      </c>
      <c r="E384" s="3486">
        <f t="shared" ca="1" si="12"/>
        <v>207</v>
      </c>
      <c r="F384" s="3486"/>
    </row>
    <row r="385" spans="1:6">
      <c r="A385" s="3481">
        <v>384</v>
      </c>
      <c r="B385" s="3482" t="s">
        <v>3998</v>
      </c>
      <c r="C385" s="3482">
        <v>76.72</v>
      </c>
      <c r="D385" s="3486" t="s">
        <v>4097</v>
      </c>
      <c r="E385" s="3486">
        <f t="shared" ca="1" si="12"/>
        <v>207</v>
      </c>
      <c r="F385" s="3486"/>
    </row>
    <row r="386" spans="1:6">
      <c r="A386" s="3481">
        <v>385</v>
      </c>
      <c r="B386" s="3482" t="s">
        <v>3999</v>
      </c>
      <c r="C386" s="3482">
        <v>76.72</v>
      </c>
      <c r="D386" s="3486" t="s">
        <v>4097</v>
      </c>
      <c r="E386" s="3486">
        <f t="shared" ref="E386:E411" ca="1" si="13">ROUND(C386*$F$2/10000,0)</f>
        <v>207</v>
      </c>
      <c r="F386" s="3486"/>
    </row>
    <row r="387" spans="1:6">
      <c r="A387" s="3481">
        <v>386</v>
      </c>
      <c r="B387" s="3482" t="s">
        <v>4000</v>
      </c>
      <c r="C387" s="3482">
        <v>76.72</v>
      </c>
      <c r="D387" s="3486" t="s">
        <v>4097</v>
      </c>
      <c r="E387" s="3486">
        <f t="shared" ca="1" si="13"/>
        <v>207</v>
      </c>
      <c r="F387" s="3486"/>
    </row>
    <row r="388" spans="1:6">
      <c r="A388" s="3481">
        <v>387</v>
      </c>
      <c r="B388" s="3482" t="s">
        <v>4001</v>
      </c>
      <c r="C388" s="3482">
        <v>76.72</v>
      </c>
      <c r="D388" s="3486" t="s">
        <v>4097</v>
      </c>
      <c r="E388" s="3486">
        <f t="shared" ca="1" si="13"/>
        <v>207</v>
      </c>
      <c r="F388" s="3486"/>
    </row>
    <row r="389" spans="1:6">
      <c r="A389" s="3481">
        <v>388</v>
      </c>
      <c r="B389" s="3482" t="s">
        <v>4002</v>
      </c>
      <c r="C389" s="3482">
        <v>76.72</v>
      </c>
      <c r="D389" s="3486" t="s">
        <v>4097</v>
      </c>
      <c r="E389" s="3486">
        <f t="shared" ca="1" si="13"/>
        <v>207</v>
      </c>
      <c r="F389" s="3486"/>
    </row>
    <row r="390" spans="1:6">
      <c r="A390" s="3481">
        <v>389</v>
      </c>
      <c r="B390" s="3482" t="s">
        <v>4003</v>
      </c>
      <c r="C390" s="3482">
        <v>76.72</v>
      </c>
      <c r="D390" s="3486" t="s">
        <v>4097</v>
      </c>
      <c r="E390" s="3486">
        <f t="shared" ca="1" si="13"/>
        <v>207</v>
      </c>
      <c r="F390" s="3486"/>
    </row>
    <row r="391" spans="1:6">
      <c r="A391" s="3481">
        <v>390</v>
      </c>
      <c r="B391" s="3482" t="s">
        <v>4004</v>
      </c>
      <c r="C391" s="3482">
        <v>76.72</v>
      </c>
      <c r="D391" s="3486" t="s">
        <v>4097</v>
      </c>
      <c r="E391" s="3486">
        <f t="shared" ca="1" si="13"/>
        <v>207</v>
      </c>
      <c r="F391" s="3486"/>
    </row>
    <row r="392" spans="1:6">
      <c r="A392" s="3481">
        <v>391</v>
      </c>
      <c r="B392" s="3482" t="s">
        <v>4005</v>
      </c>
      <c r="C392" s="3482">
        <v>76.72</v>
      </c>
      <c r="D392" s="3486" t="s">
        <v>4097</v>
      </c>
      <c r="E392" s="3486">
        <f t="shared" ca="1" si="13"/>
        <v>207</v>
      </c>
      <c r="F392" s="3486"/>
    </row>
    <row r="393" spans="1:6">
      <c r="A393" s="3481">
        <v>392</v>
      </c>
      <c r="B393" s="3482" t="s">
        <v>4006</v>
      </c>
      <c r="C393" s="3482">
        <v>76.72</v>
      </c>
      <c r="D393" s="3486" t="s">
        <v>4097</v>
      </c>
      <c r="E393" s="3486">
        <f t="shared" ca="1" si="13"/>
        <v>207</v>
      </c>
      <c r="F393" s="3486"/>
    </row>
    <row r="394" spans="1:6">
      <c r="A394" s="3481">
        <v>393</v>
      </c>
      <c r="B394" s="3482" t="s">
        <v>4007</v>
      </c>
      <c r="C394" s="3482">
        <v>76.72</v>
      </c>
      <c r="D394" s="3486" t="s">
        <v>4097</v>
      </c>
      <c r="E394" s="3486">
        <f t="shared" ca="1" si="13"/>
        <v>207</v>
      </c>
      <c r="F394" s="3486"/>
    </row>
    <row r="395" spans="1:6">
      <c r="A395" s="3481">
        <v>394</v>
      </c>
      <c r="B395" s="3482" t="s">
        <v>4008</v>
      </c>
      <c r="C395" s="3482">
        <v>76.72</v>
      </c>
      <c r="D395" s="3486" t="s">
        <v>4097</v>
      </c>
      <c r="E395" s="3486">
        <f t="shared" ca="1" si="13"/>
        <v>207</v>
      </c>
      <c r="F395" s="3486"/>
    </row>
    <row r="396" spans="1:6">
      <c r="A396" s="3481">
        <v>395</v>
      </c>
      <c r="B396" s="3482" t="s">
        <v>4009</v>
      </c>
      <c r="C396" s="3482">
        <v>76.72</v>
      </c>
      <c r="D396" s="3486" t="s">
        <v>4097</v>
      </c>
      <c r="E396" s="3486">
        <f t="shared" ca="1" si="13"/>
        <v>207</v>
      </c>
      <c r="F396" s="3486"/>
    </row>
    <row r="397" spans="1:6">
      <c r="A397" s="3481">
        <v>396</v>
      </c>
      <c r="B397" s="3482" t="s">
        <v>4010</v>
      </c>
      <c r="C397" s="3482">
        <v>76.72</v>
      </c>
      <c r="D397" s="3486" t="s">
        <v>4097</v>
      </c>
      <c r="E397" s="3486">
        <f t="shared" ca="1" si="13"/>
        <v>207</v>
      </c>
      <c r="F397" s="3486"/>
    </row>
    <row r="398" spans="1:6">
      <c r="A398" s="3481">
        <v>397</v>
      </c>
      <c r="B398" s="3482" t="s">
        <v>4011</v>
      </c>
      <c r="C398" s="3482">
        <v>76.72</v>
      </c>
      <c r="D398" s="3486" t="s">
        <v>4097</v>
      </c>
      <c r="E398" s="3486">
        <f t="shared" ca="1" si="13"/>
        <v>207</v>
      </c>
      <c r="F398" s="3486"/>
    </row>
    <row r="399" spans="1:6">
      <c r="A399" s="3481">
        <v>398</v>
      </c>
      <c r="B399" s="3482" t="s">
        <v>4012</v>
      </c>
      <c r="C399" s="3482">
        <v>76.72</v>
      </c>
      <c r="D399" s="3486" t="s">
        <v>4097</v>
      </c>
      <c r="E399" s="3486">
        <f t="shared" ca="1" si="13"/>
        <v>207</v>
      </c>
      <c r="F399" s="3486"/>
    </row>
    <row r="400" spans="1:6">
      <c r="A400" s="3481">
        <v>399</v>
      </c>
      <c r="B400" s="3482" t="s">
        <v>4013</v>
      </c>
      <c r="C400" s="3482">
        <v>76.72</v>
      </c>
      <c r="D400" s="3486" t="s">
        <v>4097</v>
      </c>
      <c r="E400" s="3486">
        <f t="shared" ca="1" si="13"/>
        <v>207</v>
      </c>
      <c r="F400" s="3486"/>
    </row>
    <row r="401" spans="1:16">
      <c r="A401" s="3481">
        <v>400</v>
      </c>
      <c r="B401" s="3482" t="s">
        <v>4014</v>
      </c>
      <c r="C401" s="3482">
        <v>76.72</v>
      </c>
      <c r="D401" s="3486" t="s">
        <v>4097</v>
      </c>
      <c r="E401" s="3486">
        <f t="shared" ca="1" si="13"/>
        <v>207</v>
      </c>
      <c r="F401" s="3486"/>
    </row>
    <row r="402" spans="1:16">
      <c r="A402" s="3481">
        <v>401</v>
      </c>
      <c r="B402" s="3482" t="s">
        <v>4015</v>
      </c>
      <c r="C402" s="3482">
        <v>77.28</v>
      </c>
      <c r="D402" s="3486" t="s">
        <v>4097</v>
      </c>
      <c r="E402" s="3486">
        <f t="shared" ca="1" si="13"/>
        <v>208</v>
      </c>
      <c r="F402" s="3486"/>
    </row>
    <row r="403" spans="1:16">
      <c r="A403" s="3481">
        <v>402</v>
      </c>
      <c r="B403" s="3482" t="s">
        <v>4016</v>
      </c>
      <c r="C403" s="3482">
        <v>76.72</v>
      </c>
      <c r="D403" s="3486" t="s">
        <v>4097</v>
      </c>
      <c r="E403" s="3486">
        <f t="shared" ca="1" si="13"/>
        <v>207</v>
      </c>
      <c r="F403" s="3486"/>
    </row>
    <row r="404" spans="1:16">
      <c r="A404" s="3481">
        <v>403</v>
      </c>
      <c r="B404" s="3482" t="s">
        <v>4017</v>
      </c>
      <c r="C404" s="3482">
        <v>77.28</v>
      </c>
      <c r="D404" s="3486" t="s">
        <v>4097</v>
      </c>
      <c r="E404" s="3486">
        <f t="shared" ca="1" si="13"/>
        <v>208</v>
      </c>
      <c r="F404" s="3486"/>
    </row>
    <row r="405" spans="1:16">
      <c r="A405" s="3481">
        <v>404</v>
      </c>
      <c r="B405" s="3482" t="s">
        <v>4018</v>
      </c>
      <c r="C405" s="3482">
        <v>76.72</v>
      </c>
      <c r="D405" s="3486" t="s">
        <v>4097</v>
      </c>
      <c r="E405" s="3486">
        <f t="shared" ca="1" si="13"/>
        <v>207</v>
      </c>
      <c r="F405" s="3486"/>
    </row>
    <row r="406" spans="1:16">
      <c r="A406" s="3481">
        <v>405</v>
      </c>
      <c r="B406" s="3482" t="s">
        <v>4019</v>
      </c>
      <c r="C406" s="3482">
        <v>77.28</v>
      </c>
      <c r="D406" s="3486" t="s">
        <v>4097</v>
      </c>
      <c r="E406" s="3486">
        <f t="shared" ca="1" si="13"/>
        <v>208</v>
      </c>
      <c r="F406" s="3486"/>
    </row>
    <row r="407" spans="1:16">
      <c r="A407" s="3481">
        <v>406</v>
      </c>
      <c r="B407" s="3482" t="s">
        <v>4020</v>
      </c>
      <c r="C407" s="3482">
        <v>76.72</v>
      </c>
      <c r="D407" s="3486" t="s">
        <v>4097</v>
      </c>
      <c r="E407" s="3486">
        <f t="shared" ca="1" si="13"/>
        <v>207</v>
      </c>
      <c r="F407" s="3486"/>
    </row>
    <row r="408" spans="1:16">
      <c r="A408" s="3481">
        <v>407</v>
      </c>
      <c r="B408" s="3482" t="s">
        <v>4021</v>
      </c>
      <c r="C408" s="3482">
        <v>77.28</v>
      </c>
      <c r="D408" s="3486" t="s">
        <v>4097</v>
      </c>
      <c r="E408" s="3486">
        <f t="shared" ca="1" si="13"/>
        <v>208</v>
      </c>
      <c r="F408" s="3486"/>
      <c r="H408" s="3480">
        <v>36026.07</v>
      </c>
    </row>
    <row r="409" spans="1:16">
      <c r="A409" s="3481">
        <v>408</v>
      </c>
      <c r="B409" s="3482" t="s">
        <v>4022</v>
      </c>
      <c r="C409" s="3482">
        <v>76.72</v>
      </c>
      <c r="D409" s="3486" t="s">
        <v>4097</v>
      </c>
      <c r="E409" s="3486">
        <f t="shared" ca="1" si="13"/>
        <v>207</v>
      </c>
      <c r="F409" s="3486"/>
      <c r="H409" s="3480">
        <f>H408-(C413+1415.43)</f>
        <v>227.20000000000437</v>
      </c>
      <c r="K409" s="3480" t="s">
        <v>4103</v>
      </c>
      <c r="L409" s="3480" t="s">
        <v>4104</v>
      </c>
      <c r="N409" s="3480" t="s">
        <v>4107</v>
      </c>
      <c r="O409" s="3480" t="s">
        <v>4108</v>
      </c>
      <c r="P409" s="3480" t="s">
        <v>4109</v>
      </c>
    </row>
    <row r="410" spans="1:16">
      <c r="A410" s="3481">
        <v>409</v>
      </c>
      <c r="B410" s="3482" t="s">
        <v>4023</v>
      </c>
      <c r="C410" s="3482">
        <v>77.28</v>
      </c>
      <c r="D410" s="3486" t="s">
        <v>4097</v>
      </c>
      <c r="E410" s="3486">
        <f t="shared" ca="1" si="13"/>
        <v>208</v>
      </c>
      <c r="F410" s="3486"/>
      <c r="K410" s="3480">
        <v>1025</v>
      </c>
      <c r="L410" s="3480">
        <v>1307</v>
      </c>
      <c r="N410" s="3480">
        <v>1.3</v>
      </c>
    </row>
    <row r="411" spans="1:16">
      <c r="A411" s="3481">
        <v>410</v>
      </c>
      <c r="B411" s="3482" t="s">
        <v>4024</v>
      </c>
      <c r="C411" s="3482">
        <v>76.72</v>
      </c>
      <c r="D411" s="3486" t="s">
        <v>4097</v>
      </c>
      <c r="E411" s="3486">
        <f t="shared" ca="1" si="13"/>
        <v>207</v>
      </c>
      <c r="F411" s="3486"/>
      <c r="G411" s="3480">
        <f ca="1">SUM(E2:E411)</f>
        <v>92522</v>
      </c>
      <c r="J411" s="3480" t="s">
        <v>4105</v>
      </c>
      <c r="K411" s="3480">
        <v>414</v>
      </c>
      <c r="L411" s="3480">
        <f>ROUND(N411/N413*L410,0)</f>
        <v>528</v>
      </c>
      <c r="N411" s="3480">
        <f>K411*N410</f>
        <v>538.20000000000005</v>
      </c>
      <c r="O411" s="3480">
        <v>52</v>
      </c>
      <c r="P411" s="3480">
        <f>L411-O411</f>
        <v>476</v>
      </c>
    </row>
    <row r="412" spans="1:16">
      <c r="A412" s="3481">
        <v>411</v>
      </c>
      <c r="B412" s="3482" t="s">
        <v>4025</v>
      </c>
      <c r="C412" s="3482">
        <v>77.28</v>
      </c>
      <c r="D412" s="3486" t="s">
        <v>4097</v>
      </c>
      <c r="E412" s="3486">
        <f ca="1">E1-G411</f>
        <v>163</v>
      </c>
      <c r="F412" s="3486"/>
      <c r="J412" s="3480" t="s">
        <v>4106</v>
      </c>
      <c r="K412" s="3480">
        <f>K410-K411</f>
        <v>611</v>
      </c>
      <c r="L412" s="3480">
        <f>L410-L411</f>
        <v>779</v>
      </c>
      <c r="N412" s="3480">
        <f>K412*N410</f>
        <v>794.30000000000007</v>
      </c>
    </row>
    <row r="413" spans="1:16">
      <c r="A413" s="3486" t="s">
        <v>4098</v>
      </c>
      <c r="B413" s="3486"/>
      <c r="C413" s="3486">
        <f>SUM(C2:C412)</f>
        <v>34383.439999999995</v>
      </c>
      <c r="D413" s="3486"/>
      <c r="E413" s="3486">
        <f ca="1">SUM(E2:E412)</f>
        <v>92685</v>
      </c>
      <c r="F413" s="3486"/>
      <c r="H413" s="3480">
        <f>C413-H63</f>
        <v>33683.529999999992</v>
      </c>
      <c r="N413" s="3480">
        <f>538+794</f>
        <v>1332</v>
      </c>
    </row>
    <row r="414" spans="1:16">
      <c r="A414" s="3486">
        <v>1</v>
      </c>
      <c r="B414" s="3486">
        <v>150</v>
      </c>
      <c r="C414" s="3486">
        <v>27.66</v>
      </c>
      <c r="D414" s="3486" t="s">
        <v>4096</v>
      </c>
    </row>
    <row r="415" spans="1:16">
      <c r="A415" s="3486">
        <v>2</v>
      </c>
      <c r="B415" s="3486">
        <v>151</v>
      </c>
      <c r="C415" s="3486">
        <v>27.66</v>
      </c>
      <c r="D415" s="3486" t="s">
        <v>4096</v>
      </c>
    </row>
    <row r="416" spans="1:16">
      <c r="A416" s="3486">
        <v>3</v>
      </c>
      <c r="B416" s="3486">
        <v>152</v>
      </c>
      <c r="C416" s="3486">
        <v>27.66</v>
      </c>
      <c r="D416" s="3486" t="s">
        <v>4096</v>
      </c>
    </row>
    <row r="417" spans="1:4">
      <c r="A417" s="3486">
        <v>4</v>
      </c>
      <c r="B417" s="3486">
        <v>153</v>
      </c>
      <c r="C417" s="3486">
        <v>20.57</v>
      </c>
      <c r="D417" s="3486" t="s">
        <v>4096</v>
      </c>
    </row>
    <row r="418" spans="1:4">
      <c r="A418" s="3486">
        <v>5</v>
      </c>
      <c r="B418" s="3486">
        <v>154</v>
      </c>
      <c r="C418" s="3486">
        <v>26.62</v>
      </c>
      <c r="D418" s="3486" t="s">
        <v>4096</v>
      </c>
    </row>
    <row r="419" spans="1:4">
      <c r="A419" s="3486">
        <v>6</v>
      </c>
      <c r="B419" s="3486">
        <v>155</v>
      </c>
      <c r="C419" s="3486">
        <v>26.62</v>
      </c>
      <c r="D419" s="3486" t="s">
        <v>4096</v>
      </c>
    </row>
    <row r="420" spans="1:4">
      <c r="A420" s="3486">
        <v>7</v>
      </c>
      <c r="B420" s="3486">
        <v>156</v>
      </c>
      <c r="C420" s="3486">
        <v>26.62</v>
      </c>
      <c r="D420" s="3486" t="s">
        <v>4096</v>
      </c>
    </row>
    <row r="421" spans="1:4">
      <c r="A421" s="3486">
        <v>8</v>
      </c>
      <c r="B421" s="3486">
        <v>157</v>
      </c>
      <c r="C421" s="3486">
        <v>26.62</v>
      </c>
      <c r="D421" s="3486" t="s">
        <v>4096</v>
      </c>
    </row>
    <row r="422" spans="1:4">
      <c r="A422" s="3486">
        <v>9</v>
      </c>
      <c r="B422" s="3486">
        <v>158</v>
      </c>
      <c r="C422" s="3486">
        <v>26.62</v>
      </c>
      <c r="D422" s="3486" t="s">
        <v>4096</v>
      </c>
    </row>
    <row r="423" spans="1:4">
      <c r="A423" s="3486">
        <v>10</v>
      </c>
      <c r="B423" s="3486">
        <v>159</v>
      </c>
      <c r="C423" s="3486">
        <v>26.62</v>
      </c>
      <c r="D423" s="3486" t="s">
        <v>4096</v>
      </c>
    </row>
    <row r="424" spans="1:4">
      <c r="A424" s="3486">
        <v>11</v>
      </c>
      <c r="B424" s="3486">
        <v>160</v>
      </c>
      <c r="C424" s="3486">
        <v>26.62</v>
      </c>
      <c r="D424" s="3486" t="s">
        <v>4096</v>
      </c>
    </row>
    <row r="425" spans="1:4">
      <c r="A425" s="3486">
        <v>12</v>
      </c>
      <c r="B425" s="3486">
        <v>161</v>
      </c>
      <c r="C425" s="3486">
        <v>26.62</v>
      </c>
      <c r="D425" s="3486" t="s">
        <v>4096</v>
      </c>
    </row>
    <row r="426" spans="1:4">
      <c r="A426" s="3486">
        <v>13</v>
      </c>
      <c r="B426" s="3486">
        <v>162</v>
      </c>
      <c r="C426" s="3486">
        <v>26.62</v>
      </c>
      <c r="D426" s="3486" t="s">
        <v>4096</v>
      </c>
    </row>
    <row r="427" spans="1:4">
      <c r="A427" s="3486">
        <v>14</v>
      </c>
      <c r="B427" s="3486">
        <v>163</v>
      </c>
      <c r="C427" s="3486">
        <v>26.62</v>
      </c>
      <c r="D427" s="3486" t="s">
        <v>4096</v>
      </c>
    </row>
    <row r="428" spans="1:4">
      <c r="A428" s="3486">
        <v>15</v>
      </c>
      <c r="B428" s="3486">
        <v>164</v>
      </c>
      <c r="C428" s="3486">
        <v>26.62</v>
      </c>
      <c r="D428" s="3486" t="s">
        <v>4096</v>
      </c>
    </row>
    <row r="429" spans="1:4">
      <c r="A429" s="3486">
        <v>16</v>
      </c>
      <c r="B429" s="3486">
        <v>165</v>
      </c>
      <c r="C429" s="3486">
        <v>26.62</v>
      </c>
      <c r="D429" s="3486" t="s">
        <v>4096</v>
      </c>
    </row>
    <row r="430" spans="1:4">
      <c r="A430" s="3486">
        <v>17</v>
      </c>
      <c r="B430" s="3486">
        <v>166</v>
      </c>
      <c r="C430" s="3486">
        <v>26.62</v>
      </c>
      <c r="D430" s="3486" t="s">
        <v>4096</v>
      </c>
    </row>
    <row r="431" spans="1:4">
      <c r="A431" s="3486">
        <v>18</v>
      </c>
      <c r="B431" s="3486">
        <v>167</v>
      </c>
      <c r="C431" s="3486">
        <v>26.62</v>
      </c>
      <c r="D431" s="3486" t="s">
        <v>4096</v>
      </c>
    </row>
    <row r="432" spans="1:4">
      <c r="A432" s="3486">
        <v>19</v>
      </c>
      <c r="B432" s="3486">
        <v>168</v>
      </c>
      <c r="C432" s="3486">
        <v>26.62</v>
      </c>
      <c r="D432" s="3486" t="s">
        <v>4096</v>
      </c>
    </row>
    <row r="433" spans="1:4">
      <c r="A433" s="3486">
        <v>20</v>
      </c>
      <c r="B433" s="3486">
        <v>169</v>
      </c>
      <c r="C433" s="3486">
        <v>26.62</v>
      </c>
      <c r="D433" s="3486" t="s">
        <v>4096</v>
      </c>
    </row>
    <row r="434" spans="1:4">
      <c r="A434" s="3486">
        <v>21</v>
      </c>
      <c r="B434" s="3486">
        <v>170</v>
      </c>
      <c r="C434" s="3486">
        <v>26.62</v>
      </c>
      <c r="D434" s="3486" t="s">
        <v>4096</v>
      </c>
    </row>
    <row r="435" spans="1:4">
      <c r="A435" s="3486">
        <v>22</v>
      </c>
      <c r="B435" s="3486">
        <v>171</v>
      </c>
      <c r="C435" s="3486">
        <v>26.62</v>
      </c>
      <c r="D435" s="3486" t="s">
        <v>4096</v>
      </c>
    </row>
    <row r="436" spans="1:4">
      <c r="A436" s="3486">
        <v>23</v>
      </c>
      <c r="B436" s="3486">
        <v>172</v>
      </c>
      <c r="C436" s="3486">
        <v>26.62</v>
      </c>
      <c r="D436" s="3486" t="s">
        <v>4096</v>
      </c>
    </row>
    <row r="437" spans="1:4">
      <c r="A437" s="3486">
        <v>24</v>
      </c>
      <c r="B437" s="3486">
        <v>173</v>
      </c>
      <c r="C437" s="3486">
        <v>26.62</v>
      </c>
      <c r="D437" s="3486" t="s">
        <v>4096</v>
      </c>
    </row>
    <row r="438" spans="1:4">
      <c r="A438" s="3486">
        <v>25</v>
      </c>
      <c r="B438" s="3486">
        <v>174</v>
      </c>
      <c r="C438" s="3486">
        <v>26.62</v>
      </c>
      <c r="D438" s="3486" t="s">
        <v>4096</v>
      </c>
    </row>
    <row r="439" spans="1:4">
      <c r="A439" s="3486">
        <v>26</v>
      </c>
      <c r="B439" s="3486">
        <v>175</v>
      </c>
      <c r="C439" s="3486">
        <v>26.62</v>
      </c>
      <c r="D439" s="3486" t="s">
        <v>4096</v>
      </c>
    </row>
    <row r="440" spans="1:4">
      <c r="A440" s="3486">
        <v>27</v>
      </c>
      <c r="B440" s="3486">
        <v>176</v>
      </c>
      <c r="C440" s="3486">
        <v>26.62</v>
      </c>
      <c r="D440" s="3486" t="s">
        <v>4096</v>
      </c>
    </row>
    <row r="441" spans="1:4">
      <c r="A441" s="3486">
        <v>28</v>
      </c>
      <c r="B441" s="3486">
        <v>177</v>
      </c>
      <c r="C441" s="3486">
        <v>26.62</v>
      </c>
      <c r="D441" s="3486" t="s">
        <v>4096</v>
      </c>
    </row>
    <row r="442" spans="1:4">
      <c r="A442" s="3486">
        <v>29</v>
      </c>
      <c r="B442" s="3486">
        <v>178</v>
      </c>
      <c r="C442" s="3486">
        <v>26.62</v>
      </c>
      <c r="D442" s="3486" t="s">
        <v>4096</v>
      </c>
    </row>
    <row r="443" spans="1:4">
      <c r="A443" s="3486">
        <v>30</v>
      </c>
      <c r="B443" s="3486">
        <v>179</v>
      </c>
      <c r="C443" s="3486">
        <v>26.62</v>
      </c>
      <c r="D443" s="3486" t="s">
        <v>4096</v>
      </c>
    </row>
    <row r="444" spans="1:4">
      <c r="A444" s="3486">
        <v>31</v>
      </c>
      <c r="B444" s="3486">
        <v>180</v>
      </c>
      <c r="C444" s="3486">
        <v>26.62</v>
      </c>
      <c r="D444" s="3486" t="s">
        <v>4096</v>
      </c>
    </row>
    <row r="445" spans="1:4">
      <c r="A445" s="3486">
        <v>32</v>
      </c>
      <c r="B445" s="3486">
        <v>181</v>
      </c>
      <c r="C445" s="3486">
        <v>26.62</v>
      </c>
      <c r="D445" s="3486" t="s">
        <v>4096</v>
      </c>
    </row>
    <row r="446" spans="1:4">
      <c r="A446" s="3486">
        <v>33</v>
      </c>
      <c r="B446" s="3486">
        <v>182</v>
      </c>
      <c r="C446" s="3486">
        <v>26.62</v>
      </c>
      <c r="D446" s="3486" t="s">
        <v>4096</v>
      </c>
    </row>
    <row r="447" spans="1:4">
      <c r="A447" s="3486">
        <v>34</v>
      </c>
      <c r="B447" s="3486">
        <v>183</v>
      </c>
      <c r="C447" s="3486">
        <v>26.62</v>
      </c>
      <c r="D447" s="3486" t="s">
        <v>4096</v>
      </c>
    </row>
    <row r="448" spans="1:4">
      <c r="A448" s="3486">
        <v>35</v>
      </c>
      <c r="B448" s="3486">
        <v>184</v>
      </c>
      <c r="C448" s="3486">
        <v>26.62</v>
      </c>
      <c r="D448" s="3486" t="s">
        <v>4096</v>
      </c>
    </row>
    <row r="449" spans="1:4">
      <c r="A449" s="3486">
        <v>36</v>
      </c>
      <c r="B449" s="3486">
        <v>185</v>
      </c>
      <c r="C449" s="3486">
        <v>26.62</v>
      </c>
      <c r="D449" s="3486" t="s">
        <v>4096</v>
      </c>
    </row>
    <row r="450" spans="1:4">
      <c r="A450" s="3486">
        <v>37</v>
      </c>
      <c r="B450" s="3486">
        <v>186</v>
      </c>
      <c r="C450" s="3486">
        <v>26.62</v>
      </c>
      <c r="D450" s="3486" t="s">
        <v>4096</v>
      </c>
    </row>
    <row r="451" spans="1:4">
      <c r="A451" s="3486">
        <v>38</v>
      </c>
      <c r="B451" s="3486">
        <v>187</v>
      </c>
      <c r="C451" s="3486">
        <v>26.62</v>
      </c>
      <c r="D451" s="3486" t="s">
        <v>4096</v>
      </c>
    </row>
    <row r="452" spans="1:4">
      <c r="A452" s="3486">
        <v>39</v>
      </c>
      <c r="B452" s="3486">
        <v>188</v>
      </c>
      <c r="C452" s="3486">
        <v>26.62</v>
      </c>
      <c r="D452" s="3486" t="s">
        <v>4096</v>
      </c>
    </row>
    <row r="453" spans="1:4">
      <c r="A453" s="3486">
        <v>40</v>
      </c>
      <c r="B453" s="3486">
        <v>189</v>
      </c>
      <c r="C453" s="3486">
        <v>26.62</v>
      </c>
      <c r="D453" s="3486" t="s">
        <v>4096</v>
      </c>
    </row>
    <row r="454" spans="1:4">
      <c r="A454" s="3486">
        <v>41</v>
      </c>
      <c r="B454" s="3486">
        <v>190</v>
      </c>
      <c r="C454" s="3486">
        <v>26.62</v>
      </c>
      <c r="D454" s="3486" t="s">
        <v>4096</v>
      </c>
    </row>
    <row r="455" spans="1:4">
      <c r="A455" s="3486">
        <v>42</v>
      </c>
      <c r="B455" s="3486">
        <v>191</v>
      </c>
      <c r="C455" s="3486">
        <v>26.62</v>
      </c>
      <c r="D455" s="3486" t="s">
        <v>4096</v>
      </c>
    </row>
    <row r="456" spans="1:4">
      <c r="A456" s="3486">
        <v>43</v>
      </c>
      <c r="B456" s="3486">
        <v>192</v>
      </c>
      <c r="C456" s="3486">
        <v>26.62</v>
      </c>
      <c r="D456" s="3486" t="s">
        <v>4096</v>
      </c>
    </row>
    <row r="457" spans="1:4">
      <c r="A457" s="3486">
        <v>44</v>
      </c>
      <c r="B457" s="3486">
        <v>193</v>
      </c>
      <c r="C457" s="3486">
        <v>26.62</v>
      </c>
      <c r="D457" s="3486" t="s">
        <v>4096</v>
      </c>
    </row>
    <row r="458" spans="1:4">
      <c r="A458" s="3486">
        <v>45</v>
      </c>
      <c r="B458" s="3486">
        <v>194</v>
      </c>
      <c r="C458" s="3486">
        <v>26.62</v>
      </c>
      <c r="D458" s="3486" t="s">
        <v>4096</v>
      </c>
    </row>
    <row r="459" spans="1:4">
      <c r="A459" s="3486">
        <v>46</v>
      </c>
      <c r="B459" s="3486">
        <v>195</v>
      </c>
      <c r="C459" s="3486">
        <v>26.62</v>
      </c>
      <c r="D459" s="3486" t="s">
        <v>4096</v>
      </c>
    </row>
    <row r="460" spans="1:4">
      <c r="A460" s="3486">
        <v>47</v>
      </c>
      <c r="B460" s="3486">
        <v>196</v>
      </c>
      <c r="C460" s="3486">
        <v>26.62</v>
      </c>
      <c r="D460" s="3486" t="s">
        <v>4096</v>
      </c>
    </row>
    <row r="461" spans="1:4">
      <c r="A461" s="3486">
        <v>48</v>
      </c>
      <c r="B461" s="3486">
        <v>197</v>
      </c>
      <c r="C461" s="3486">
        <v>26.62</v>
      </c>
      <c r="D461" s="3486" t="s">
        <v>4096</v>
      </c>
    </row>
    <row r="462" spans="1:4">
      <c r="A462" s="3486">
        <v>49</v>
      </c>
      <c r="B462" s="3486">
        <v>198</v>
      </c>
      <c r="C462" s="3486">
        <v>27.66</v>
      </c>
      <c r="D462" s="3486" t="s">
        <v>4096</v>
      </c>
    </row>
    <row r="463" spans="1:4">
      <c r="A463" s="3486">
        <v>50</v>
      </c>
      <c r="B463" s="3486">
        <v>199</v>
      </c>
      <c r="C463" s="3486">
        <v>27.66</v>
      </c>
      <c r="D463" s="3486" t="s">
        <v>4096</v>
      </c>
    </row>
    <row r="464" spans="1:4">
      <c r="A464" s="3486">
        <v>51</v>
      </c>
      <c r="B464" s="3486">
        <v>200</v>
      </c>
      <c r="C464" s="3486">
        <v>42.64</v>
      </c>
      <c r="D464" s="3486" t="s">
        <v>4096</v>
      </c>
    </row>
    <row r="465" spans="1:4">
      <c r="A465" s="3486">
        <v>52</v>
      </c>
      <c r="B465" s="3486">
        <v>201</v>
      </c>
      <c r="C465" s="3486">
        <v>42.64</v>
      </c>
      <c r="D465" s="3486" t="s">
        <v>4096</v>
      </c>
    </row>
    <row r="466" spans="1:4">
      <c r="A466" s="3486">
        <v>53</v>
      </c>
      <c r="B466" s="3486">
        <v>219</v>
      </c>
      <c r="C466" s="3486">
        <v>258.33999999999997</v>
      </c>
      <c r="D466" s="3486" t="s">
        <v>4062</v>
      </c>
    </row>
    <row r="467" spans="1:4">
      <c r="A467" s="3486">
        <v>54</v>
      </c>
      <c r="B467" s="3486">
        <v>220</v>
      </c>
      <c r="C467" s="3486">
        <v>258.33999999999997</v>
      </c>
      <c r="D467" s="3486" t="s">
        <v>4062</v>
      </c>
    </row>
    <row r="468" spans="1:4">
      <c r="A468" s="3486">
        <v>55</v>
      </c>
      <c r="B468" s="3486">
        <v>221</v>
      </c>
      <c r="C468" s="3486">
        <v>258.33999999999997</v>
      </c>
      <c r="D468" s="3486" t="s">
        <v>4062</v>
      </c>
    </row>
    <row r="469" spans="1:4">
      <c r="A469" s="3486">
        <v>56</v>
      </c>
      <c r="B469" s="3486">
        <v>222</v>
      </c>
      <c r="C469" s="3486">
        <v>258.33999999999997</v>
      </c>
      <c r="D469" s="3486" t="s">
        <v>4062</v>
      </c>
    </row>
    <row r="470" spans="1:4">
      <c r="A470" s="3486">
        <v>57</v>
      </c>
      <c r="B470" s="3486">
        <v>223</v>
      </c>
      <c r="C470" s="3486">
        <v>258.33999999999997</v>
      </c>
      <c r="D470" s="3486" t="s">
        <v>4062</v>
      </c>
    </row>
    <row r="471" spans="1:4">
      <c r="A471" s="3486">
        <v>58</v>
      </c>
      <c r="B471" s="3486">
        <v>224</v>
      </c>
      <c r="C471" s="3486">
        <v>114.82</v>
      </c>
      <c r="D471" s="3486" t="s">
        <v>4062</v>
      </c>
    </row>
    <row r="472" spans="1:4">
      <c r="A472" s="3486">
        <v>59</v>
      </c>
      <c r="B472" s="3486">
        <v>225</v>
      </c>
      <c r="C472" s="3486">
        <v>114.82</v>
      </c>
      <c r="D472" s="3486" t="s">
        <v>4062</v>
      </c>
    </row>
    <row r="473" spans="1:4">
      <c r="A473" s="3486">
        <v>60</v>
      </c>
      <c r="B473" s="3486">
        <v>226</v>
      </c>
      <c r="C473" s="3486">
        <v>172.23</v>
      </c>
      <c r="D473" s="3486" t="s">
        <v>4062</v>
      </c>
    </row>
    <row r="474" spans="1:4">
      <c r="A474" s="3486">
        <v>61</v>
      </c>
      <c r="B474" s="3486">
        <v>227</v>
      </c>
      <c r="C474" s="3486">
        <v>172.23</v>
      </c>
      <c r="D474" s="3486" t="s">
        <v>4062</v>
      </c>
    </row>
    <row r="475" spans="1:4">
      <c r="A475" s="3486">
        <v>62</v>
      </c>
      <c r="B475" s="3486">
        <v>228</v>
      </c>
      <c r="C475" s="3486">
        <v>172.23</v>
      </c>
      <c r="D475" s="3486" t="s">
        <v>4062</v>
      </c>
    </row>
    <row r="476" spans="1:4">
      <c r="A476" s="3486">
        <v>63</v>
      </c>
      <c r="B476" s="3486">
        <v>229</v>
      </c>
      <c r="C476" s="3486">
        <v>86.11</v>
      </c>
      <c r="D476" s="3486" t="s">
        <v>4062</v>
      </c>
    </row>
    <row r="477" spans="1:4">
      <c r="A477" s="3486">
        <v>64</v>
      </c>
      <c r="B477" s="3486">
        <v>230</v>
      </c>
      <c r="C477" s="3486">
        <v>57.41</v>
      </c>
      <c r="D477" s="3486" t="s">
        <v>4062</v>
      </c>
    </row>
    <row r="478" spans="1:4">
      <c r="A478" s="3486">
        <v>65</v>
      </c>
      <c r="B478" s="3486">
        <v>231</v>
      </c>
      <c r="C478" s="3486">
        <v>258.33999999999997</v>
      </c>
      <c r="D478" s="3486" t="s">
        <v>4062</v>
      </c>
    </row>
    <row r="479" spans="1:4">
      <c r="A479" s="3486">
        <v>66</v>
      </c>
      <c r="B479" s="3486">
        <v>232</v>
      </c>
      <c r="C479" s="3486">
        <v>344.45</v>
      </c>
      <c r="D479" s="3486" t="s">
        <v>4062</v>
      </c>
    </row>
    <row r="480" spans="1:4">
      <c r="A480" s="3486">
        <v>67</v>
      </c>
      <c r="B480" s="3486">
        <v>233</v>
      </c>
      <c r="C480" s="3486">
        <v>114.82</v>
      </c>
      <c r="D480" s="3486" t="s">
        <v>4062</v>
      </c>
    </row>
    <row r="481" spans="1:4">
      <c r="A481" s="3486">
        <v>68</v>
      </c>
      <c r="B481" s="3486">
        <v>234</v>
      </c>
      <c r="C481" s="3486">
        <v>172.23</v>
      </c>
      <c r="D481" s="3486" t="s">
        <v>4062</v>
      </c>
    </row>
    <row r="482" spans="1:4">
      <c r="A482" s="3486">
        <v>69</v>
      </c>
      <c r="B482" s="3486">
        <v>235</v>
      </c>
      <c r="C482" s="3486">
        <v>172.23</v>
      </c>
      <c r="D482" s="3486" t="s">
        <v>4062</v>
      </c>
    </row>
    <row r="483" spans="1:4">
      <c r="A483" s="3486">
        <v>70</v>
      </c>
      <c r="B483" s="3486">
        <v>236</v>
      </c>
      <c r="C483" s="3486">
        <v>172.23</v>
      </c>
      <c r="D483" s="3486" t="s">
        <v>4062</v>
      </c>
    </row>
    <row r="484" spans="1:4">
      <c r="A484" s="3486">
        <v>71</v>
      </c>
      <c r="B484" s="3486">
        <v>237</v>
      </c>
      <c r="C484" s="3486">
        <v>114.82</v>
      </c>
      <c r="D484" s="3486" t="s">
        <v>4062</v>
      </c>
    </row>
    <row r="485" spans="1:4">
      <c r="A485" s="3486">
        <v>72</v>
      </c>
      <c r="B485" s="3486">
        <v>238</v>
      </c>
      <c r="C485" s="3486">
        <v>114.82</v>
      </c>
      <c r="D485" s="3486" t="s">
        <v>4062</v>
      </c>
    </row>
    <row r="486" spans="1:4">
      <c r="A486" s="3486">
        <v>73</v>
      </c>
      <c r="B486" s="3486">
        <v>239</v>
      </c>
      <c r="C486" s="3486">
        <v>172.23</v>
      </c>
      <c r="D486" s="3486" t="s">
        <v>4062</v>
      </c>
    </row>
    <row r="487" spans="1:4">
      <c r="A487" s="3486">
        <v>74</v>
      </c>
      <c r="B487" s="3486">
        <v>240</v>
      </c>
      <c r="C487" s="3486">
        <v>172.23</v>
      </c>
      <c r="D487" s="3486" t="s">
        <v>4062</v>
      </c>
    </row>
    <row r="488" spans="1:4">
      <c r="A488" s="3486">
        <v>75</v>
      </c>
      <c r="B488" s="3486">
        <v>241</v>
      </c>
      <c r="C488" s="3486">
        <v>172.23</v>
      </c>
      <c r="D488" s="3486" t="s">
        <v>4062</v>
      </c>
    </row>
    <row r="489" spans="1:4">
      <c r="A489" s="3486">
        <v>76</v>
      </c>
      <c r="B489" s="3486">
        <v>242</v>
      </c>
      <c r="C489" s="3486">
        <v>258.33999999999997</v>
      </c>
      <c r="D489" s="3486" t="s">
        <v>4062</v>
      </c>
    </row>
    <row r="490" spans="1:4">
      <c r="A490" s="3486">
        <v>77</v>
      </c>
      <c r="B490" s="3486">
        <v>243</v>
      </c>
      <c r="C490" s="3486">
        <v>258.33999999999997</v>
      </c>
      <c r="D490" s="3486" t="s">
        <v>4095</v>
      </c>
    </row>
    <row r="491" spans="1:4">
      <c r="A491" s="3486">
        <v>78</v>
      </c>
      <c r="B491" s="3486">
        <v>244</v>
      </c>
      <c r="C491" s="3486">
        <v>258.33999999999997</v>
      </c>
      <c r="D491" s="3486" t="s">
        <v>4062</v>
      </c>
    </row>
    <row r="492" spans="1:4">
      <c r="A492" s="3486">
        <v>79</v>
      </c>
      <c r="B492" s="3486">
        <v>245</v>
      </c>
      <c r="C492" s="3486">
        <v>172.23</v>
      </c>
      <c r="D492" s="3486" t="s">
        <v>4062</v>
      </c>
    </row>
    <row r="493" spans="1:4">
      <c r="A493" s="3486">
        <v>80</v>
      </c>
      <c r="B493" s="3486">
        <v>246</v>
      </c>
      <c r="C493" s="3486">
        <v>258.33999999999997</v>
      </c>
      <c r="D493" s="3486" t="s">
        <v>4062</v>
      </c>
    </row>
    <row r="494" spans="1:4">
      <c r="A494" s="3486">
        <v>81</v>
      </c>
      <c r="B494" s="3486">
        <v>247</v>
      </c>
      <c r="C494" s="3486">
        <v>258.33999999999997</v>
      </c>
      <c r="D494" s="3486" t="s">
        <v>4062</v>
      </c>
    </row>
    <row r="495" spans="1:4">
      <c r="A495" s="3486">
        <v>82</v>
      </c>
      <c r="B495" s="3486">
        <v>248</v>
      </c>
      <c r="C495" s="3486">
        <v>258.33999999999997</v>
      </c>
      <c r="D495" s="3486" t="s">
        <v>4062</v>
      </c>
    </row>
    <row r="496" spans="1:4">
      <c r="A496" s="3486">
        <v>83</v>
      </c>
      <c r="B496" s="3486">
        <v>249</v>
      </c>
      <c r="C496" s="3486">
        <v>57.41</v>
      </c>
      <c r="D496" s="3486" t="s">
        <v>4062</v>
      </c>
    </row>
    <row r="497" spans="1:8">
      <c r="A497" s="3486">
        <v>84</v>
      </c>
      <c r="B497" s="3486">
        <v>250</v>
      </c>
      <c r="C497" s="3486">
        <v>57.41</v>
      </c>
      <c r="D497" s="3486" t="s">
        <v>4062</v>
      </c>
    </row>
    <row r="498" spans="1:8">
      <c r="A498" s="3486">
        <v>85</v>
      </c>
      <c r="B498" s="3486">
        <v>251</v>
      </c>
      <c r="C498" s="3486">
        <v>258.33999999999997</v>
      </c>
      <c r="D498" s="3486" t="s">
        <v>4062</v>
      </c>
    </row>
    <row r="499" spans="1:8">
      <c r="A499" s="3486">
        <v>86</v>
      </c>
      <c r="B499" s="3486">
        <v>252</v>
      </c>
      <c r="C499" s="3486">
        <v>258.33999999999997</v>
      </c>
      <c r="D499" s="3486" t="s">
        <v>4062</v>
      </c>
    </row>
    <row r="500" spans="1:8">
      <c r="A500" s="3486">
        <v>87</v>
      </c>
      <c r="B500" s="3486">
        <v>253</v>
      </c>
      <c r="C500" s="3486">
        <v>258.33999999999997</v>
      </c>
      <c r="D500" s="3486" t="s">
        <v>4062</v>
      </c>
    </row>
    <row r="501" spans="1:8">
      <c r="A501" s="3486">
        <v>88</v>
      </c>
      <c r="B501" s="3486">
        <v>254</v>
      </c>
      <c r="C501" s="3486">
        <v>258.33999999999997</v>
      </c>
      <c r="D501" s="3486" t="s">
        <v>4062</v>
      </c>
    </row>
    <row r="502" spans="1:8">
      <c r="A502" s="3486">
        <v>89</v>
      </c>
      <c r="B502" s="3486">
        <v>265</v>
      </c>
      <c r="C502" s="3486">
        <v>57.41</v>
      </c>
      <c r="D502" s="3486" t="s">
        <v>4062</v>
      </c>
    </row>
    <row r="503" spans="1:8">
      <c r="A503" s="3486">
        <v>90</v>
      </c>
      <c r="B503" s="3486">
        <v>266</v>
      </c>
      <c r="C503" s="3486">
        <v>172.23</v>
      </c>
      <c r="D503" s="3486" t="s">
        <v>4062</v>
      </c>
    </row>
    <row r="504" spans="1:8">
      <c r="A504" s="3486" t="s">
        <v>4099</v>
      </c>
      <c r="B504" s="3486" t="s">
        <v>4101</v>
      </c>
      <c r="C504" s="3486">
        <v>8677.6999999999971</v>
      </c>
      <c r="D504" s="3486" t="s">
        <v>4101</v>
      </c>
      <c r="H504" s="3480">
        <f>C504+H413</f>
        <v>42361.229999999989</v>
      </c>
    </row>
    <row r="505" spans="1:8">
      <c r="A505" s="3486" t="s">
        <v>4100</v>
      </c>
      <c r="B505" s="3486" t="s">
        <v>4101</v>
      </c>
      <c r="C505" s="3486">
        <f>C413+C504</f>
        <v>43061.139999999992</v>
      </c>
      <c r="D505" s="3486" t="s">
        <v>4102</v>
      </c>
    </row>
  </sheetData>
  <mergeCells count="1">
    <mergeCell ref="I14:J14"/>
  </mergeCells>
  <phoneticPr fontId="134" type="noConversion"/>
  <conditionalFormatting sqref="B2:B412">
    <cfRule type="duplicateValues" dxfId="199" priority="7"/>
  </conditionalFormatting>
  <conditionalFormatting sqref="B2:B412">
    <cfRule type="duplicateValues" dxfId="198" priority="1"/>
    <cfRule type="duplicateValues" dxfId="197" priority="2"/>
  </conditionalFormatting>
  <conditionalFormatting sqref="A2: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4052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3385</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三期清单!P34</f>
        <v>0.49</v>
      </c>
      <c r="O6" s="67">
        <f>IF($N$5="成新度","——",ROUND(M6*N6,0))</f>
        <v>6739</v>
      </c>
      <c r="P6" s="68">
        <f>IF($N$5="成新度","——",M6-O6)</f>
        <v>7014</v>
      </c>
      <c r="Q6" s="733">
        <v>0.15</v>
      </c>
      <c r="R6" s="69">
        <f ca="1">SUMIF('数据-汇总表'!C$19:C$33,A6,'数据-汇总表'!R$19:R$27)</f>
        <v>13694.47</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3494">
        <v>3400</v>
      </c>
      <c r="M7" s="67">
        <f t="shared" si="0"/>
        <v>2950</v>
      </c>
      <c r="N7" s="730">
        <f>N6</f>
        <v>0.49</v>
      </c>
      <c r="O7" s="67">
        <f t="shared" ref="O7:O14" si="3">IF($N$5="成新度","——",ROUND(M7*N7,0))</f>
        <v>1446</v>
      </c>
      <c r="P7" s="68">
        <f t="shared" ref="P7:P14" si="4">IF($N$5="成新度","——",M7-O7)</f>
        <v>1504</v>
      </c>
      <c r="Q7" s="733">
        <v>0.05</v>
      </c>
      <c r="R7" s="69">
        <f ca="1">SUMIF('数据-汇总表'!C$19:C$33,A7,'数据-汇总表'!R$19:R$27)</f>
        <v>3456.21</v>
      </c>
      <c r="S7" s="51">
        <f>IF('数据-汇总表'!$I$17="按面积比例",SUMIF('数据-汇总表'!C$19:C$33,A7,'数据-汇总表'!K$19:K$33),SUMIF('数据-汇总表'!C$19:C$33,A7,'数据-汇总表'!N$19:N$33))</f>
        <v>0</v>
      </c>
      <c r="T7" s="1170">
        <f t="shared" ref="T7:T13" si="5">ROUND($L$14*S7/10000,0)</f>
        <v>0</v>
      </c>
      <c r="U7" s="3493">
        <f>U24</f>
        <v>173340</v>
      </c>
      <c r="V7" s="70">
        <v>0.02</v>
      </c>
      <c r="W7" s="3496">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4079</v>
      </c>
      <c r="AO7" s="52">
        <f t="shared" ref="AO7:AO13" ca="1" si="8">SUMIF(INDIRECT("'"&amp;AN7&amp;"'"&amp;"!A:A"),"总价",INDIRECT("'"&amp;AN7&amp;"'"&amp;"!B:B"))</f>
        <v>2872</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43061.14</v>
      </c>
      <c r="L16" s="93">
        <f>ROUND(M16*10000/SUM(K6:K14),0)</f>
        <v>3879</v>
      </c>
      <c r="M16" s="93">
        <f>SUM(M6:M14)</f>
        <v>16703</v>
      </c>
      <c r="N16" s="94">
        <f>ROUND(SUMPRODUCT(M6:M14,N6:N14)/M16,3)</f>
        <v>0.49</v>
      </c>
      <c r="O16" s="93">
        <f>SUM(O6:O14)</f>
        <v>8185</v>
      </c>
      <c r="P16" s="93">
        <f>SUM(P6:P14)</f>
        <v>8518</v>
      </c>
      <c r="Q16" s="95">
        <f>ROUND(SUMPRODUCT(Q6:Q13,K6:K13)/SUMPRODUCT((Q6:Q13&gt;0)*(K6:K13)),2)</f>
        <v>0.13</v>
      </c>
      <c r="R16" s="1032">
        <f ca="1">SUM(R6:R13)</f>
        <v>17150.68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88" t="s">
        <v>4063</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0.98</v>
      </c>
      <c r="C21" s="2668"/>
      <c r="D21" s="2671"/>
      <c r="E21" s="2668"/>
      <c r="F21" s="2668"/>
      <c r="G21" s="2668"/>
      <c r="H21" s="2668"/>
      <c r="I21" s="2668"/>
      <c r="J21" s="2668"/>
      <c r="K21" s="3488" t="s">
        <v>4064</v>
      </c>
      <c r="L21" s="2666">
        <v>2078.0700000000002</v>
      </c>
      <c r="M21" s="2666"/>
      <c r="N21" s="2666"/>
      <c r="O21" s="3489"/>
      <c r="P21" s="3490" t="s">
        <v>4067</v>
      </c>
      <c r="Q21" s="3490" t="s">
        <v>4073</v>
      </c>
      <c r="R21" s="3490" t="s">
        <v>4072</v>
      </c>
      <c r="S21" s="3490" t="s">
        <v>4068</v>
      </c>
      <c r="T21" s="3489"/>
      <c r="U21" s="3489"/>
      <c r="V21" s="3489"/>
      <c r="W21" s="3489"/>
      <c r="X21" s="3489"/>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88" t="s">
        <v>4065</v>
      </c>
      <c r="L22" s="2666">
        <v>416.8</v>
      </c>
      <c r="M22" s="2666"/>
      <c r="N22" s="2666"/>
      <c r="O22" s="3490" t="s">
        <v>4069</v>
      </c>
      <c r="P22" s="3489">
        <f>三期清单!K40</f>
        <v>1415.43</v>
      </c>
      <c r="Q22" s="3489">
        <v>3000</v>
      </c>
      <c r="R22" s="3489">
        <f>ROUND(Q22*P22/10000,0)</f>
        <v>425</v>
      </c>
      <c r="S22" s="3489">
        <v>52</v>
      </c>
      <c r="T22" s="3489"/>
      <c r="U22" s="3489">
        <f>S22*V22</f>
        <v>23400</v>
      </c>
      <c r="V22" s="3489">
        <v>450</v>
      </c>
      <c r="W22" s="3491">
        <v>0.1</v>
      </c>
      <c r="X22" s="3489"/>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0.98</v>
      </c>
      <c r="C23" s="2668"/>
      <c r="D23" s="2671"/>
      <c r="E23" s="2668"/>
      <c r="F23" s="2668"/>
      <c r="G23" s="2668"/>
      <c r="H23" s="2668"/>
      <c r="I23" s="2668"/>
      <c r="J23" s="2668"/>
      <c r="K23" s="2667"/>
      <c r="L23" s="2666">
        <f>L20+L21+L22</f>
        <v>2494.9800000000005</v>
      </c>
      <c r="M23" s="2666"/>
      <c r="N23" s="2666"/>
      <c r="O23" s="3490" t="s">
        <v>4070</v>
      </c>
      <c r="P23" s="3489">
        <f>三期清单!K41</f>
        <v>7262.27</v>
      </c>
      <c r="Q23" s="3489">
        <v>3500</v>
      </c>
      <c r="R23" s="3489">
        <f>ROUND(Q23*P23/10000,0)</f>
        <v>2542</v>
      </c>
      <c r="S23" s="3495">
        <f>三期清单!P411</f>
        <v>476</v>
      </c>
      <c r="T23" s="3489" t="s">
        <v>4071</v>
      </c>
      <c r="U23" s="3489">
        <f>S23*V23</f>
        <v>149940</v>
      </c>
      <c r="V23" s="3489">
        <f>V22*0.7</f>
        <v>315</v>
      </c>
      <c r="W23" s="3491">
        <v>0.2</v>
      </c>
      <c r="X23" s="3489"/>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1.02</v>
      </c>
      <c r="C24" s="2668"/>
      <c r="D24" s="2671"/>
      <c r="E24" s="2668"/>
      <c r="F24" s="2668"/>
      <c r="G24" s="2668"/>
      <c r="H24" s="2668"/>
      <c r="I24" s="2668"/>
      <c r="J24" s="2668"/>
      <c r="K24" s="2667"/>
      <c r="L24" s="2666">
        <f>L23*1.2</f>
        <v>2993.9760000000006</v>
      </c>
      <c r="M24" s="2666"/>
      <c r="N24" s="2666"/>
      <c r="O24" s="3489"/>
      <c r="P24" s="3489">
        <f>P22+P23</f>
        <v>8677.7000000000007</v>
      </c>
      <c r="Q24" s="3489">
        <f>ROUND(R24/P24*10000,0)</f>
        <v>3419</v>
      </c>
      <c r="R24" s="3489">
        <f>R22+R23</f>
        <v>2967</v>
      </c>
      <c r="S24" s="3489"/>
      <c r="T24" s="3489"/>
      <c r="U24" s="3489">
        <f>U22+U23</f>
        <v>173340</v>
      </c>
      <c r="V24" s="3489">
        <f>U24/(S22+S23)</f>
        <v>328.29545454545456</v>
      </c>
      <c r="W24" s="3489">
        <f>(W22*P22+W23*P23)/P24</f>
        <v>0.18368888069419317</v>
      </c>
      <c r="X24" s="3489"/>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88" t="s">
        <v>4066</v>
      </c>
      <c r="L25" s="2666">
        <v>1000</v>
      </c>
      <c r="M25" s="2666"/>
      <c r="N25" s="2666"/>
      <c r="O25" s="2666"/>
      <c r="P25" s="2666"/>
      <c r="Q25" s="2666"/>
      <c r="R25" s="2666"/>
      <c r="S25" s="2666"/>
      <c r="T25" s="2666"/>
      <c r="U25" s="2666"/>
      <c r="V25" s="2666"/>
      <c r="W25" s="3489">
        <f>(W22*S22+W23*S23)/(S22+S23)</f>
        <v>0.19015151515151515</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681</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90" t="s">
        <v>2283</v>
      </c>
      <c r="B1" s="3591"/>
      <c r="C1" s="3591"/>
      <c r="D1" s="3591"/>
      <c r="E1" s="3591"/>
      <c r="F1" s="3591"/>
      <c r="G1" s="359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topLeftCell="C1" zoomScale="80" zoomScaleNormal="80" zoomScaleSheetLayoutView="80" workbookViewId="0">
      <selection activeCell="I25" sqref="I25"/>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43061.14</v>
      </c>
      <c r="C1" s="2681"/>
      <c r="D1" s="2681"/>
      <c r="E1" s="2681"/>
      <c r="F1" s="2681"/>
      <c r="G1" s="2682"/>
      <c r="H1" s="2683"/>
      <c r="I1" s="2683"/>
      <c r="J1" s="2683"/>
      <c r="K1" s="2683"/>
    </row>
    <row r="2" spans="1:11" ht="16.5">
      <c r="A2" s="2507" t="s">
        <v>651</v>
      </c>
      <c r="B2" s="2507">
        <f>SUM(C14:C23)</f>
        <v>17150.68</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94903</v>
      </c>
      <c r="C5" s="2507">
        <f ca="1">IF(B5=D14,结果表!H102,ROUND(B5*10000/$B$1,0))</f>
        <v>22039</v>
      </c>
      <c r="D5" s="2507">
        <f ca="1">ROUND(B5*10000/$B$2,0)</f>
        <v>55335</v>
      </c>
      <c r="E5" s="2681"/>
      <c r="F5" s="2682"/>
      <c r="G5" s="2682"/>
      <c r="H5" s="2683"/>
      <c r="I5" s="2683"/>
      <c r="J5" s="2683"/>
      <c r="K5" s="2683"/>
    </row>
    <row r="6" spans="1:11" ht="16.5">
      <c r="A6" s="2507" t="s">
        <v>654</v>
      </c>
      <c r="B6" s="2507">
        <f ca="1">SUM(G14:G23)</f>
        <v>94260</v>
      </c>
      <c r="C6" s="2507">
        <f ca="1">IF(B6=G14,结果表!H108,ROUND(B6*10000/$B$1,0))</f>
        <v>21890</v>
      </c>
      <c r="D6" s="2507">
        <f ca="1">ROUND(B6*10000/$B$2,0)</f>
        <v>54960</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 ca="1">SUM(I14:I23)</f>
        <v>89276</v>
      </c>
      <c r="C8" s="2507">
        <f ca="1">IF(B8=I14,结果表!H112,ROUND(B8*10000/$B$1,0))</f>
        <v>20732</v>
      </c>
      <c r="D8" s="2507">
        <f ca="1">ROUND(B8*10000/$B$2,0)</f>
        <v>52054</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4082</v>
      </c>
      <c r="B14" s="2513">
        <f>'数据-基础表'!B3</f>
        <v>43061.14</v>
      </c>
      <c r="C14" s="2513">
        <f>'数据-基础表'!A3</f>
        <v>17150.68</v>
      </c>
      <c r="D14" s="2513">
        <f ca="1">结果表!G19</f>
        <v>94903</v>
      </c>
      <c r="E14" s="2513">
        <f ca="1">ROUND(D14*10000/B14,0)</f>
        <v>22039</v>
      </c>
      <c r="F14" s="2513">
        <f ca="1">ROUND(D14*10000/C14,0)</f>
        <v>55335</v>
      </c>
      <c r="G14" s="2513">
        <f ca="1">D14-结果表!D30</f>
        <v>94260</v>
      </c>
      <c r="H14" s="2513"/>
      <c r="I14" s="2513">
        <f ca="1">结果表!N59</f>
        <v>89276</v>
      </c>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f ca="1">G14*10000/B14</f>
        <v>21889.80598284207</v>
      </c>
      <c r="H24" s="2683"/>
      <c r="I24" s="2683">
        <f ca="1">I14*10000/B14</f>
        <v>20732.381910929438</v>
      </c>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6" t="str">
        <f>项目基本情况!S2</f>
        <v>北京市房地产</v>
      </c>
      <c r="B2" s="3627"/>
      <c r="C2" s="3627"/>
      <c r="D2" s="3627"/>
      <c r="E2" s="3627"/>
      <c r="F2" s="3627"/>
      <c r="G2" s="3627"/>
      <c r="H2" s="3627"/>
      <c r="I2" s="3628"/>
    </row>
    <row r="3" spans="1:12" ht="12.75">
      <c r="A3" s="3630" t="s">
        <v>1262</v>
      </c>
      <c r="B3" s="3631"/>
      <c r="C3" s="3631"/>
      <c r="D3" s="3631"/>
      <c r="E3" s="3631"/>
      <c r="F3" s="3631"/>
      <c r="G3" s="3631"/>
      <c r="H3" s="3631"/>
      <c r="I3" s="3631"/>
    </row>
    <row r="4" spans="1:12" ht="14.25">
      <c r="A4" s="1751" t="s">
        <v>1263</v>
      </c>
      <c r="B4" s="1752" t="s">
        <v>1264</v>
      </c>
      <c r="C4" s="1753" t="s">
        <v>4080</v>
      </c>
      <c r="D4" s="1753" t="s">
        <v>4081</v>
      </c>
      <c r="E4" s="3632" t="s">
        <v>1265</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6" t="s">
        <v>1266</v>
      </c>
      <c r="B5" s="3593">
        <v>25</v>
      </c>
      <c r="C5" s="3609"/>
      <c r="D5" s="3629"/>
      <c r="E5" s="131" t="s">
        <v>1267</v>
      </c>
      <c r="F5" s="1754"/>
      <c r="G5" s="1754"/>
      <c r="H5" s="1754"/>
      <c r="I5" s="1370"/>
    </row>
    <row r="6" spans="1:12" ht="12.75">
      <c r="A6" s="3606"/>
      <c r="B6" s="3593"/>
      <c r="C6" s="3610"/>
      <c r="D6" s="3629"/>
      <c r="E6" s="131" t="s">
        <v>1268</v>
      </c>
      <c r="F6" s="1754"/>
      <c r="G6" s="1754"/>
      <c r="H6" s="1754"/>
      <c r="I6" s="1370"/>
    </row>
    <row r="7" spans="1:12" ht="12.75">
      <c r="A7" s="3606"/>
      <c r="B7" s="3593"/>
      <c r="C7" s="3611"/>
      <c r="D7" s="3629"/>
      <c r="E7" s="131" t="s">
        <v>1269</v>
      </c>
      <c r="F7" s="1754"/>
      <c r="G7" s="1754"/>
      <c r="H7" s="1754"/>
      <c r="I7" s="1370"/>
    </row>
    <row r="8" spans="1:12" ht="12.75">
      <c r="A8" s="3606" t="s">
        <v>1270</v>
      </c>
      <c r="B8" s="3593">
        <v>15</v>
      </c>
      <c r="C8" s="3609"/>
      <c r="D8" s="3629"/>
      <c r="E8" s="131" t="s">
        <v>1271</v>
      </c>
      <c r="F8" s="1754"/>
      <c r="G8" s="1754"/>
      <c r="H8" s="1754"/>
      <c r="I8" s="1370"/>
    </row>
    <row r="9" spans="1:12" ht="12.75">
      <c r="A9" s="3606"/>
      <c r="B9" s="3593"/>
      <c r="C9" s="3611"/>
      <c r="D9" s="3629"/>
      <c r="E9" s="131" t="s">
        <v>1272</v>
      </c>
      <c r="F9" s="1754"/>
      <c r="G9" s="1754"/>
      <c r="H9" s="1754"/>
      <c r="I9" s="1370"/>
    </row>
    <row r="10" spans="1:12" ht="12.75">
      <c r="A10" s="3606" t="s">
        <v>1273</v>
      </c>
      <c r="B10" s="3593">
        <v>15</v>
      </c>
      <c r="C10" s="3609"/>
      <c r="D10" s="3629"/>
      <c r="E10" s="131" t="s">
        <v>1274</v>
      </c>
      <c r="F10" s="1754"/>
      <c r="G10" s="1754"/>
      <c r="H10" s="1754"/>
      <c r="I10" s="1370"/>
    </row>
    <row r="11" spans="1:12" ht="12.75">
      <c r="A11" s="3606"/>
      <c r="B11" s="3593"/>
      <c r="C11" s="3611"/>
      <c r="D11" s="3629"/>
      <c r="E11" s="131" t="s">
        <v>1275</v>
      </c>
      <c r="F11" s="1754"/>
      <c r="G11" s="1754"/>
      <c r="H11" s="1754"/>
      <c r="I11" s="1370"/>
    </row>
    <row r="12" spans="1:12" ht="12.75">
      <c r="A12" s="3606" t="s">
        <v>1276</v>
      </c>
      <c r="B12" s="3593">
        <v>15</v>
      </c>
      <c r="C12" s="3609"/>
      <c r="D12" s="3629"/>
      <c r="E12" s="131" t="s">
        <v>1277</v>
      </c>
      <c r="F12" s="1754"/>
      <c r="G12" s="1754"/>
      <c r="H12" s="1754"/>
      <c r="I12" s="1370"/>
    </row>
    <row r="13" spans="1:12" ht="12.75">
      <c r="A13" s="3606"/>
      <c r="B13" s="3593"/>
      <c r="C13" s="3611"/>
      <c r="D13" s="3629"/>
      <c r="E13" s="131" t="s">
        <v>1278</v>
      </c>
      <c r="F13" s="1754"/>
      <c r="G13" s="1754"/>
      <c r="H13" s="1754"/>
      <c r="I13" s="1370"/>
    </row>
    <row r="14" spans="1:12" ht="12.75">
      <c r="A14" s="3606" t="s">
        <v>1279</v>
      </c>
      <c r="B14" s="3593">
        <v>30</v>
      </c>
      <c r="C14" s="3609">
        <v>5</v>
      </c>
      <c r="D14" s="3629">
        <v>5</v>
      </c>
      <c r="E14" s="131" t="s">
        <v>1280</v>
      </c>
      <c r="F14" s="1754"/>
      <c r="G14" s="1754"/>
      <c r="H14" s="1754"/>
      <c r="I14" s="1370"/>
    </row>
    <row r="15" spans="1:12" ht="12.75">
      <c r="A15" s="3606"/>
      <c r="B15" s="3593"/>
      <c r="C15" s="3610"/>
      <c r="D15" s="3629"/>
      <c r="E15" s="131" t="s">
        <v>1281</v>
      </c>
      <c r="F15" s="1754"/>
      <c r="G15" s="1754"/>
      <c r="H15" s="1754"/>
      <c r="I15" s="1370"/>
    </row>
    <row r="16" spans="1:12" ht="12.75">
      <c r="A16" s="3606"/>
      <c r="B16" s="3593"/>
      <c r="C16" s="3611"/>
      <c r="D16" s="3629"/>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16" t="s">
        <v>2128</v>
      </c>
      <c r="F18" s="3617"/>
      <c r="G18" s="3617"/>
      <c r="H18" s="3617"/>
      <c r="I18" s="3617"/>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SUMIF(INDIRECT("'"&amp;C4&amp;"'"&amp;"!A:A"),结果表!B19,INDIRECT("'"&amp;C4&amp;"'"&amp;"!B:B"))</f>
        <v>98519</v>
      </c>
      <c r="D19" s="135">
        <f ca="1">SUMIF(INDIRECT("'"&amp;D4&amp;"'"&amp;"!A:A"),结果表!B19,INDIRECT("'"&amp;D4&amp;"'"&amp;"!B:B"))</f>
        <v>91286</v>
      </c>
      <c r="E19" s="1758" t="s">
        <v>1290</v>
      </c>
      <c r="F19" s="1759" t="s">
        <v>1289</v>
      </c>
      <c r="G19" s="136">
        <f ca="1">ROUND(C19*$C$18+D19*$D$18,0)</f>
        <v>94903</v>
      </c>
      <c r="H19" s="1760" t="s">
        <v>1291</v>
      </c>
      <c r="I19" s="129"/>
      <c r="K19" s="302" t="s">
        <v>1292</v>
      </c>
      <c r="L19" s="302">
        <f>IF(C1="",'数据-汇总表'!D3,SUMIF(项目类型,C1,'数据-汇总表'!D17:D26)+SUMIF(项目类型,C1,'数据-汇总表'!H17:H27))</f>
        <v>17150.68</v>
      </c>
      <c r="M19" s="302">
        <f>IF(C1="",'数据-汇总表'!D3,SUMIF(项目类型,C1,'数据-汇总表'!D17:D26))</f>
        <v>17150.68</v>
      </c>
    </row>
    <row r="20" spans="1:36" ht="15">
      <c r="A20" s="1761"/>
      <c r="B20" s="1024" t="s">
        <v>1293</v>
      </c>
      <c r="C20" s="137">
        <f ca="1">SUMIF(INDIRECT("'"&amp;C4&amp;"'"&amp;"!A:A"),结果表!B20,INDIRECT("'"&amp;C4&amp;"'"&amp;"!B:B"))</f>
        <v>22879</v>
      </c>
      <c r="D20" s="138">
        <f ca="1">SUMIF(INDIRECT("'"&amp;D4&amp;"'"&amp;"!A:A"),结果表!B20,INDIRECT("'"&amp;D4&amp;"'"&amp;"!B:B"))</f>
        <v>21199</v>
      </c>
      <c r="E20" s="1761"/>
      <c r="F20" s="1024" t="s">
        <v>1293</v>
      </c>
      <c r="G20" s="139">
        <f ca="1">ROUND(C20*$C$18+D20*$D$18,0)</f>
        <v>22039</v>
      </c>
      <c r="H20" s="807" t="s">
        <v>1294</v>
      </c>
      <c r="I20" s="129"/>
    </row>
    <row r="21" spans="1:36" ht="15" customHeight="1" thickBot="1">
      <c r="A21" s="827"/>
      <c r="B21" s="1762" t="s">
        <v>1295</v>
      </c>
      <c r="C21" s="718">
        <f ca="1">ROUND(C19*10000/L19,0)</f>
        <v>57443</v>
      </c>
      <c r="D21" s="719">
        <f ca="1">ROUND(D19*10000/L19,0)</f>
        <v>53226</v>
      </c>
      <c r="E21" s="827"/>
      <c r="F21" s="1762" t="s">
        <v>1295</v>
      </c>
      <c r="G21" s="140">
        <f ca="1">ROUND(G19*10000/L19,0)</f>
        <v>55335</v>
      </c>
      <c r="H21" s="1763" t="s">
        <v>1294</v>
      </c>
      <c r="I21" s="129"/>
    </row>
    <row r="22" spans="1:36" ht="15" thickBot="1">
      <c r="A22" s="1685" t="s">
        <v>1296</v>
      </c>
      <c r="B22" s="1764"/>
      <c r="C22" s="1765"/>
      <c r="D22" s="720">
        <f ca="1">IF(C19&lt;D19,D19/C19-1,C19/D19-1)</f>
        <v>7.9234493788751914E-2</v>
      </c>
      <c r="E22" s="129"/>
      <c r="F22" s="129"/>
      <c r="G22" s="129"/>
      <c r="H22" s="129"/>
      <c r="I22" s="129"/>
    </row>
    <row r="23" spans="1:36" ht="13.5" thickBot="1">
      <c r="A23" s="1744"/>
      <c r="B23" s="1744"/>
      <c r="C23" s="1744"/>
      <c r="D23" s="1744"/>
      <c r="E23" s="129"/>
      <c r="F23" s="129"/>
      <c r="G23" s="129"/>
      <c r="H23" s="129"/>
      <c r="I23" s="129"/>
    </row>
    <row r="24" spans="1:36" ht="14.25">
      <c r="A24" s="3600" t="s">
        <v>1297</v>
      </c>
      <c r="B24" s="1759" t="s">
        <v>1289</v>
      </c>
      <c r="C24" s="136">
        <f>IF(B30=0,0,D30)</f>
        <v>0</v>
      </c>
      <c r="D24" s="1766"/>
      <c r="E24" s="129"/>
      <c r="F24" s="129"/>
      <c r="G24" s="129"/>
      <c r="H24" s="129"/>
      <c r="I24" s="129"/>
    </row>
    <row r="25" spans="1:36" ht="14.25">
      <c r="A25" s="3601"/>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3499" t="s">
        <v>4089</v>
      </c>
      <c r="B27" s="142">
        <f>B40</f>
        <v>8677.7000000000007</v>
      </c>
      <c r="C27" s="142">
        <f>C40</f>
        <v>719.55</v>
      </c>
      <c r="D27" s="143">
        <f>ROUND(C27*B27*1.0305/10000,0)</f>
        <v>643</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f>D27</f>
        <v>643</v>
      </c>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94903</v>
      </c>
      <c r="D32" s="1772" t="s">
        <v>4083</v>
      </c>
      <c r="E32" s="129"/>
      <c r="F32" s="129"/>
      <c r="G32" s="129"/>
      <c r="H32" s="129"/>
      <c r="I32" s="129"/>
    </row>
    <row r="33" spans="1:15" ht="15">
      <c r="A33" s="785" t="s">
        <v>1304</v>
      </c>
      <c r="B33" s="1773"/>
      <c r="C33" s="1774" t="s">
        <v>4084</v>
      </c>
      <c r="D33" s="1775" t="s">
        <v>4080</v>
      </c>
      <c r="E33" s="1776" t="s">
        <v>1305</v>
      </c>
      <c r="F33" s="1777" t="str">
        <f>IF(D32="楼面单价","取值（单价）","取值（总价）")</f>
        <v>取值（总价）</v>
      </c>
      <c r="G33" s="129"/>
      <c r="H33" s="129"/>
      <c r="I33" s="129"/>
    </row>
    <row r="34" spans="1:15" ht="15">
      <c r="A34" s="1778"/>
      <c r="B34" s="1779" t="s">
        <v>1306</v>
      </c>
      <c r="C34" s="148">
        <f ca="1">IF(C33="自定义",F34,C32-C35)</f>
        <v>83325</v>
      </c>
      <c r="D34" s="860">
        <f ca="1">IF(C33="自定义",ROUND(C34/C32,3),IF(C33="收益比率",SUMIF(INDIRECT("'"&amp;D33&amp;"'"&amp;"!b:b"),"土地收益比率",INDIRECT("'"&amp;D33&amp;"'"&amp;"!c:c")),SUMIF(INDIRECT("'"&amp;D33&amp;"'"&amp;"!b:b"),"土地成本比率",INDIRECT("'"&amp;D33&amp;"'"&amp;"!c:c"))))</f>
        <v>0.878</v>
      </c>
      <c r="E34" s="1780" t="s">
        <v>1307</v>
      </c>
      <c r="F34" s="1327"/>
      <c r="G34" s="129"/>
      <c r="H34" s="129"/>
      <c r="I34" s="129"/>
    </row>
    <row r="35" spans="1:15" ht="15.75" thickBot="1">
      <c r="A35" s="1781"/>
      <c r="B35" s="1782" t="s">
        <v>1308</v>
      </c>
      <c r="C35" s="1168">
        <f ca="1">IF(C33="自定义",F35,ROUND(C32*D35,0))</f>
        <v>11578</v>
      </c>
      <c r="D35" s="1169">
        <f ca="1">IF(C33="自定义",ROUND(C35/C32,3),IF(C33="收益比率",SUMIF(INDIRECT("'"&amp;D33&amp;"'"&amp;"!b:b"),"建筑物收益比率",INDIRECT("'"&amp;D33&amp;"'"&amp;"!c:c")),SUMIF(INDIRECT("'"&amp;D33&amp;"'"&amp;"!b:b"),"建筑物成本比率",INDIRECT("'"&amp;D33&amp;"'"&amp;"!c:c"))))</f>
        <v>0.122</v>
      </c>
      <c r="E35" s="1783" t="s">
        <v>1309</v>
      </c>
      <c r="F35" s="154"/>
      <c r="G35" s="129"/>
      <c r="H35" s="129"/>
      <c r="I35" s="129"/>
    </row>
    <row r="36" spans="1:15" ht="15.75" thickBot="1">
      <c r="A36" s="3620" t="s">
        <v>1310</v>
      </c>
      <c r="B36" s="1784" t="s">
        <v>1311</v>
      </c>
      <c r="C36" s="145"/>
      <c r="D36" s="1785"/>
      <c r="E36" s="1786"/>
      <c r="F36" s="1787"/>
      <c r="G36" s="129"/>
      <c r="H36" s="129"/>
      <c r="I36" s="129"/>
    </row>
    <row r="37" spans="1:15" ht="15.75" thickBot="1">
      <c r="A37" s="3621"/>
      <c r="B37" s="1671" t="s">
        <v>1312</v>
      </c>
      <c r="C37" s="147"/>
      <c r="D37" s="1137"/>
      <c r="E37" s="1137"/>
      <c r="F37" s="1787"/>
      <c r="G37" s="129"/>
      <c r="H37" s="129"/>
      <c r="I37" s="129"/>
    </row>
    <row r="38" spans="1:15" ht="15.75" thickBot="1">
      <c r="A38" s="3622"/>
      <c r="B38" s="1788" t="s">
        <v>1313</v>
      </c>
      <c r="C38" s="673">
        <f>D30</f>
        <v>643</v>
      </c>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f>三期清单!J33</f>
        <v>8677.7000000000007</v>
      </c>
      <c r="C40" s="150">
        <f>19188*0.15*0.25</f>
        <v>719.55</v>
      </c>
      <c r="D40" s="3498">
        <v>3.0499999999999999E-2</v>
      </c>
      <c r="E40" s="151">
        <f>ROUND(B40*C40*(1+D40)/10000,0)</f>
        <v>643</v>
      </c>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7" t="s">
        <v>1324</v>
      </c>
      <c r="B45" s="3598"/>
      <c r="C45" s="3599"/>
      <c r="D45" s="155">
        <f ca="1">H107</f>
        <v>94260</v>
      </c>
      <c r="E45" s="156" t="s">
        <v>1325</v>
      </c>
      <c r="F45" s="157">
        <v>1</v>
      </c>
      <c r="G45" s="158" t="s">
        <v>1326</v>
      </c>
      <c r="H45" s="129"/>
      <c r="I45" s="129"/>
      <c r="J45" s="3675" t="s">
        <v>1327</v>
      </c>
      <c r="K45" s="3675"/>
      <c r="L45" s="3675"/>
      <c r="M45" s="3675"/>
      <c r="N45" s="3675"/>
      <c r="O45" s="3675"/>
    </row>
    <row r="46" spans="1:15" ht="14.25" customHeight="1">
      <c r="A46" s="3594" t="s">
        <v>1328</v>
      </c>
      <c r="B46" s="3595"/>
      <c r="C46" s="3595"/>
      <c r="D46" s="3595"/>
      <c r="E46" s="3595"/>
      <c r="F46" s="3595"/>
      <c r="G46" s="3596"/>
      <c r="H46" s="1803"/>
      <c r="I46" s="159"/>
      <c r="J46" s="2518">
        <v>1</v>
      </c>
      <c r="K46" s="3656" t="s">
        <v>1329</v>
      </c>
      <c r="L46" s="3656"/>
      <c r="M46" s="3676"/>
      <c r="N46" s="3676"/>
      <c r="O46" s="3676"/>
    </row>
    <row r="47" spans="1:15" ht="12" customHeight="1">
      <c r="A47" s="160" t="s">
        <v>1330</v>
      </c>
      <c r="B47" s="161"/>
      <c r="C47" s="162"/>
      <c r="D47" s="1085" t="s">
        <v>1331</v>
      </c>
      <c r="E47" s="302" t="s">
        <v>1332</v>
      </c>
      <c r="F47" s="163" t="s">
        <v>1333</v>
      </c>
      <c r="G47" s="2541" t="s">
        <v>1334</v>
      </c>
      <c r="H47" s="2542"/>
      <c r="I47" s="159"/>
      <c r="J47" s="2518">
        <v>2</v>
      </c>
      <c r="K47" s="3656" t="s">
        <v>1335</v>
      </c>
      <c r="L47" s="3656"/>
      <c r="M47" s="3677">
        <f>'数据-取费表'!B2</f>
        <v>45216</v>
      </c>
      <c r="N47" s="3677"/>
      <c r="O47" s="3677"/>
    </row>
    <row r="48" spans="1:15" ht="25.5">
      <c r="A48" s="3625" t="s">
        <v>1336</v>
      </c>
      <c r="B48" s="3608"/>
      <c r="C48" s="3608"/>
      <c r="D48" s="2319">
        <f ca="1">IF(H48="情况1",0,IF(H48="情况2",D52,IF(H48="情况3",D53,IF(H48="情况4",D54))))</f>
        <v>4937</v>
      </c>
      <c r="E48" s="2329" t="str">
        <f>IF(H48="情况4","(销售额-原购置价)×税（费）率","销售额×税（费）率")</f>
        <v>销售额×税（费）率</v>
      </c>
      <c r="F48" s="2543">
        <f>IF(H48="情况1","免征",'数据-取费表'!B41)</f>
        <v>5.5000000000000007E-2</v>
      </c>
      <c r="G48" s="2544" t="s">
        <v>1337</v>
      </c>
      <c r="H48" s="2545" t="s">
        <v>4085</v>
      </c>
      <c r="I48" s="1803"/>
      <c r="J48" s="2518">
        <v>3</v>
      </c>
      <c r="K48" s="3656" t="s">
        <v>1338</v>
      </c>
      <c r="L48" s="3656"/>
      <c r="M48" s="3678">
        <f ca="1">H101</f>
        <v>94903</v>
      </c>
      <c r="N48" s="3678"/>
      <c r="O48" s="3678"/>
    </row>
    <row r="49" spans="1:35" ht="25.5" customHeight="1">
      <c r="A49" s="2328" t="s">
        <v>1339</v>
      </c>
      <c r="B49" s="3592" t="s">
        <v>1340</v>
      </c>
      <c r="C49" s="3592"/>
      <c r="D49" s="1587">
        <v>0</v>
      </c>
      <c r="E49" s="324" t="s">
        <v>1341</v>
      </c>
      <c r="F49" s="2419" t="s">
        <v>28</v>
      </c>
      <c r="G49" s="3662"/>
      <c r="H49" s="2305" t="s">
        <v>2131</v>
      </c>
      <c r="I49" s="2306"/>
      <c r="J49" s="2518">
        <v>4</v>
      </c>
      <c r="K49" s="3656" t="str">
        <f>IF(项目基本情况!E8="房地产抵押价值","房地产抵押价值","抵押担保权已注销时的房地产抵押价值")</f>
        <v>房地产抵押价值</v>
      </c>
      <c r="L49" s="3656"/>
      <c r="M49" s="3678">
        <f ca="1">IF(项目基本情况!E8="房地产抵押价值",H107,H109)</f>
        <v>94260</v>
      </c>
      <c r="N49" s="3678"/>
      <c r="O49" s="3678"/>
    </row>
    <row r="50" spans="1:35" ht="25.5" customHeight="1">
      <c r="A50" s="2546"/>
      <c r="B50" s="3592" t="s">
        <v>1342</v>
      </c>
      <c r="C50" s="3592"/>
      <c r="D50" s="2547"/>
      <c r="E50" s="332"/>
      <c r="F50" s="2419"/>
      <c r="G50" s="3663"/>
      <c r="H50" s="2307" t="s">
        <v>2132</v>
      </c>
      <c r="I50" s="2306"/>
      <c r="J50" s="3675" t="s">
        <v>1343</v>
      </c>
      <c r="K50" s="3675"/>
      <c r="L50" s="3675"/>
      <c r="M50" s="3675"/>
      <c r="N50" s="3675"/>
      <c r="O50" s="3675"/>
    </row>
    <row r="51" spans="1:35" ht="20.45" customHeight="1">
      <c r="A51" s="2548"/>
      <c r="B51" s="3592" t="s">
        <v>1344</v>
      </c>
      <c r="C51" s="3592"/>
      <c r="D51" s="1085"/>
      <c r="E51" s="327"/>
      <c r="F51" s="2419"/>
      <c r="G51" s="3664"/>
      <c r="H51" s="2307" t="s">
        <v>2133</v>
      </c>
      <c r="I51" s="2306"/>
      <c r="J51" s="2519" t="s">
        <v>1345</v>
      </c>
      <c r="K51" s="3656" t="s">
        <v>1346</v>
      </c>
      <c r="L51" s="3656"/>
      <c r="M51" s="2519" t="s">
        <v>1347</v>
      </c>
      <c r="N51" s="2519" t="s">
        <v>1348</v>
      </c>
      <c r="O51" s="2519" t="s">
        <v>1349</v>
      </c>
    </row>
    <row r="52" spans="1:35" ht="24" customHeight="1">
      <c r="A52" s="2330" t="s">
        <v>1350</v>
      </c>
      <c r="B52" s="3592" t="s">
        <v>1351</v>
      </c>
      <c r="C52" s="3592"/>
      <c r="D52" s="1085">
        <f ca="1">ROUND(D45*'数据-取费表'!B41/(1+'数据-取费表'!C42),0)</f>
        <v>4937</v>
      </c>
      <c r="E52" s="2329" t="s">
        <v>1352</v>
      </c>
      <c r="F52" s="2549">
        <f>'数据-取费表'!B41</f>
        <v>5.5000000000000007E-2</v>
      </c>
      <c r="G52" s="2550"/>
      <c r="H52" s="2539"/>
      <c r="I52" s="1804"/>
      <c r="J52" s="2518">
        <v>1</v>
      </c>
      <c r="K52" s="3657" t="s">
        <v>1353</v>
      </c>
      <c r="L52" s="3657"/>
      <c r="M52" s="2520">
        <f ca="1">D48</f>
        <v>4937</v>
      </c>
      <c r="N52" s="2518" t="str">
        <f>E48</f>
        <v>销售额×税（费）率</v>
      </c>
      <c r="O52" s="2521">
        <f>F48</f>
        <v>5.5000000000000007E-2</v>
      </c>
    </row>
    <row r="53" spans="1:35" ht="12" customHeight="1">
      <c r="A53" s="2330" t="s">
        <v>1354</v>
      </c>
      <c r="B53" s="3618" t="s">
        <v>2288</v>
      </c>
      <c r="C53" s="3619"/>
      <c r="D53" s="1085">
        <f ca="1">ROUND(D45*'数据-取费表'!B41/(1+'数据-取费表'!C42),0)</f>
        <v>4937</v>
      </c>
      <c r="E53" s="2329" t="s">
        <v>1352</v>
      </c>
      <c r="F53" s="2549">
        <f>'数据-取费表'!B41</f>
        <v>5.5000000000000007E-2</v>
      </c>
      <c r="G53" s="2550"/>
      <c r="H53" s="2539"/>
      <c r="I53" s="1804"/>
      <c r="J53" s="2518">
        <v>2</v>
      </c>
      <c r="K53" s="3657" t="s">
        <v>1355</v>
      </c>
      <c r="L53" s="3657"/>
      <c r="M53" s="2520">
        <f t="shared" ref="M53:O54" ca="1" si="0">D55</f>
        <v>47</v>
      </c>
      <c r="N53" s="2518" t="str">
        <f t="shared" si="0"/>
        <v>销售额×税（费）率</v>
      </c>
      <c r="O53" s="2521">
        <f t="shared" si="0"/>
        <v>5.0000000000000001E-4</v>
      </c>
    </row>
    <row r="54" spans="1:35" ht="12" customHeight="1">
      <c r="A54" s="2330" t="s">
        <v>1356</v>
      </c>
      <c r="B54" s="3618" t="s">
        <v>2289</v>
      </c>
      <c r="C54" s="3619"/>
      <c r="D54" s="1085">
        <f ca="1">C68</f>
        <v>4937</v>
      </c>
      <c r="E54" s="327" t="s">
        <v>1357</v>
      </c>
      <c r="F54" s="2549">
        <f>'数据-取费表'!B41</f>
        <v>5.5000000000000007E-2</v>
      </c>
      <c r="G54" s="2550"/>
      <c r="H54" s="2551"/>
      <c r="I54" s="1804"/>
      <c r="J54" s="2518">
        <v>3</v>
      </c>
      <c r="K54" s="3657" t="s">
        <v>1358</v>
      </c>
      <c r="L54" s="3657"/>
      <c r="M54" s="2520">
        <f t="shared" ca="1" si="0"/>
        <v>0</v>
      </c>
      <c r="N54" s="2518" t="str">
        <f t="shared" si="0"/>
        <v>增值额×税（费）率</v>
      </c>
      <c r="O54" s="2522" t="str">
        <f t="shared" si="0"/>
        <v>——</v>
      </c>
    </row>
    <row r="55" spans="1:35" ht="24" customHeight="1">
      <c r="A55" s="3607" t="s">
        <v>1359</v>
      </c>
      <c r="B55" s="3608"/>
      <c r="C55" s="3608"/>
      <c r="D55" s="2319">
        <f ca="1">IF(H55="个人住宅",0,ROUND(D45*I55,0))</f>
        <v>47</v>
      </c>
      <c r="E55" s="2329" t="s">
        <v>1360</v>
      </c>
      <c r="F55" s="2549">
        <f>IF(H55="正常",I55,"免征")</f>
        <v>5.0000000000000001E-4</v>
      </c>
      <c r="G55" s="2550"/>
      <c r="H55" s="2545" t="s">
        <v>3398</v>
      </c>
      <c r="I55" s="165">
        <f>'数据-取费表'!B49</f>
        <v>5.0000000000000001E-4</v>
      </c>
      <c r="J55" s="2518" t="str">
        <f>IF(H59="非个人房产","",4)</f>
        <v/>
      </c>
      <c r="K55" s="3657" t="str">
        <f>IF(H59="非个人房产","——","个人所得税")</f>
        <v>——</v>
      </c>
      <c r="L55" s="3657"/>
      <c r="M55" s="2523" t="str">
        <f>D59</f>
        <v>——</v>
      </c>
      <c r="N55" s="2035" t="str">
        <f>E59</f>
        <v>——</v>
      </c>
      <c r="O55" s="2524" t="str">
        <f>F59</f>
        <v>——</v>
      </c>
    </row>
    <row r="56" spans="1:35" ht="24.75">
      <c r="A56" s="3607" t="s">
        <v>1361</v>
      </c>
      <c r="B56" s="3608"/>
      <c r="C56" s="3608"/>
      <c r="D56" s="2319">
        <f ca="1">IF(H56="个人住宅",D57,D58)</f>
        <v>0</v>
      </c>
      <c r="E56" s="2329" t="s">
        <v>1362</v>
      </c>
      <c r="F56" s="2549" t="str">
        <f>IF(H56="正常",F58,"免征")</f>
        <v>——</v>
      </c>
      <c r="G56" s="2552" t="s">
        <v>1363</v>
      </c>
      <c r="H56" s="2553" t="s">
        <v>3398</v>
      </c>
      <c r="I56" s="1805"/>
      <c r="J56" s="2518" t="str">
        <f>IF(项目基本情况!K6="上海银行",IF(J55="",4,J55+1),"")</f>
        <v/>
      </c>
      <c r="K56" s="3680" t="str">
        <f>IF(项目基本情况!K6="上海银行","其他处置费用","")</f>
        <v/>
      </c>
      <c r="L56" s="3681"/>
      <c r="M56" s="2520" t="str">
        <f>IF(项目基本情况!K6="上海银行",M69,"")</f>
        <v/>
      </c>
      <c r="N56" s="3680" t="str">
        <f>IF(项目基本情况!K6="上海银行","包含处置中涉及的律师、诉讼、拍卖、评估等费用","")</f>
        <v/>
      </c>
      <c r="O56" s="3683"/>
    </row>
    <row r="57" spans="1:35" ht="12.75">
      <c r="A57" s="2330" t="s">
        <v>1339</v>
      </c>
      <c r="B57" s="3618" t="s">
        <v>1364</v>
      </c>
      <c r="C57" s="3619"/>
      <c r="D57" s="1587">
        <v>0</v>
      </c>
      <c r="E57" s="324" t="s">
        <v>1341</v>
      </c>
      <c r="F57" s="302"/>
      <c r="G57" s="2550"/>
      <c r="H57" s="2554"/>
      <c r="I57" s="1805"/>
      <c r="J57" s="3657">
        <f>IF(AND(J55="",J56=""),4,IF(项目基本情况!K6="上海银行",结果表!J56+1,结果表!J55+1))</f>
        <v>4</v>
      </c>
      <c r="K57" s="3657" t="s">
        <v>1365</v>
      </c>
      <c r="L57" s="2525" t="s">
        <v>1366</v>
      </c>
      <c r="M57" s="2526"/>
      <c r="N57" s="2527">
        <f ca="1">SUMIF(M52:M56,"&lt;9e307")</f>
        <v>4984</v>
      </c>
      <c r="O57" s="2528"/>
      <c r="P57" s="2685">
        <f ca="1">N57/M49</f>
        <v>5.2875026522384891E-2</v>
      </c>
    </row>
    <row r="58" spans="1:35" ht="24.75">
      <c r="A58" s="2330" t="s">
        <v>1350</v>
      </c>
      <c r="B58" s="3618" t="s">
        <v>1367</v>
      </c>
      <c r="C58" s="3592"/>
      <c r="D58" s="2319">
        <f ca="1">IF(H58="转让取得",C81,C97)</f>
        <v>0</v>
      </c>
      <c r="E58" s="2329" t="s">
        <v>1362</v>
      </c>
      <c r="F58" s="302" t="s">
        <v>28</v>
      </c>
      <c r="G58" s="2550"/>
      <c r="H58" s="2553" t="s">
        <v>4086</v>
      </c>
      <c r="I58" s="1805"/>
      <c r="J58" s="3657"/>
      <c r="K58" s="3657"/>
      <c r="L58" s="2525" t="s">
        <v>1368</v>
      </c>
      <c r="M58" s="2529"/>
      <c r="N58" s="2530" t="str">
        <f ca="1">NUMBERSTRING(INT(N57*10000),2)&amp;"元整"</f>
        <v>肆仟玖佰捌拾肆万元整</v>
      </c>
      <c r="O58" s="2531"/>
    </row>
    <row r="59" spans="1:35" ht="24.75" thickBot="1">
      <c r="A59" s="3660" t="s">
        <v>1369</v>
      </c>
      <c r="B59" s="3661"/>
      <c r="C59" s="3661"/>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1363</v>
      </c>
      <c r="H59" s="2309" t="s">
        <v>4087</v>
      </c>
      <c r="I59" s="2308" t="s">
        <v>2134</v>
      </c>
      <c r="J59" s="3658">
        <f>J57+1</f>
        <v>5</v>
      </c>
      <c r="K59" s="3657" t="s">
        <v>1370</v>
      </c>
      <c r="L59" s="2518" t="s">
        <v>1366</v>
      </c>
      <c r="M59" s="2532"/>
      <c r="N59" s="2533">
        <f ca="1">M49-N57</f>
        <v>89276</v>
      </c>
      <c r="O59" s="2534"/>
    </row>
    <row r="60" spans="1:35" ht="12" customHeight="1">
      <c r="A60" s="1806"/>
      <c r="B60" s="1744"/>
      <c r="C60" s="1744"/>
      <c r="D60" s="1744"/>
      <c r="E60" s="1575"/>
      <c r="F60" s="1805"/>
      <c r="G60" s="1805"/>
      <c r="H60" s="1807"/>
      <c r="I60" s="129"/>
      <c r="J60" s="3659"/>
      <c r="K60" s="3657"/>
      <c r="L60" s="2525" t="s">
        <v>1368</v>
      </c>
      <c r="M60" s="2529"/>
      <c r="N60" s="2530" t="str">
        <f ca="1">NUMBERSTRING(INT(N59*10000),2)&amp;"元整"</f>
        <v>捌亿玖仟贰佰柒拾陆万元整</v>
      </c>
      <c r="O60" s="2531"/>
    </row>
    <row r="61" spans="1:35" ht="13.5" thickBot="1">
      <c r="A61" s="3605" t="s">
        <v>1371</v>
      </c>
      <c r="B61" s="3605"/>
      <c r="C61" s="3605"/>
      <c r="D61" s="3605"/>
      <c r="E61" s="3605"/>
      <c r="F61" s="1805"/>
      <c r="G61" s="1805"/>
      <c r="H61" s="1807"/>
      <c r="I61" s="129"/>
      <c r="J61" s="2518">
        <f>J59+1</f>
        <v>6</v>
      </c>
      <c r="K61" s="3657" t="s">
        <v>1372</v>
      </c>
      <c r="L61" s="3657"/>
      <c r="M61" s="2535"/>
      <c r="N61" s="2536">
        <f ca="1">ROUND(N59*10000/'数据-汇总表'!E3,0)</f>
        <v>20732</v>
      </c>
      <c r="O61" s="2537"/>
    </row>
    <row r="62" spans="1:35" ht="12.75">
      <c r="A62" s="3623" t="s">
        <v>1373</v>
      </c>
      <c r="B62" s="3624"/>
      <c r="C62" s="2016"/>
      <c r="D62" s="2016" t="s">
        <v>1374</v>
      </c>
      <c r="E62" s="166" t="s">
        <v>1375</v>
      </c>
      <c r="F62" s="1805"/>
      <c r="G62" s="1805"/>
      <c r="H62" s="1807"/>
      <c r="I62" s="129"/>
    </row>
    <row r="63" spans="1:35" ht="12.75">
      <c r="A63" s="173" t="s">
        <v>330</v>
      </c>
      <c r="B63" s="167" t="s">
        <v>1376</v>
      </c>
      <c r="C63" s="2559">
        <f ca="1">ROUND((C64+C65)/(1+'数据-取费表'!C42),0)</f>
        <v>89771</v>
      </c>
      <c r="D63" s="167"/>
      <c r="E63" s="168"/>
      <c r="F63" s="1805"/>
      <c r="G63" s="1805"/>
      <c r="H63" s="1807"/>
      <c r="I63" s="129"/>
      <c r="J63" s="3682" t="s">
        <v>1377</v>
      </c>
      <c r="K63" s="1329" t="s">
        <v>1378</v>
      </c>
      <c r="L63" s="1329">
        <f ca="1">IF(M49&gt;10000,M49*0.5%,IF(AND(M49&gt;1000,M49&lt;=10000),M49*1%,IF(AND(M49&gt;100,M49&lt;=1000),M49*3%,IF(AND(M49&gt;10,M49&lt;=100),M49*5%,M49*8%))))</f>
        <v>471.3</v>
      </c>
      <c r="M63" s="302">
        <f ca="1">ROUND(L63,1)</f>
        <v>471.3</v>
      </c>
      <c r="N63" s="2538"/>
      <c r="Z63" s="1749"/>
      <c r="AI63" s="1750"/>
    </row>
    <row r="64" spans="1:35" ht="14.25" customHeight="1">
      <c r="A64" s="169" t="s">
        <v>325</v>
      </c>
      <c r="B64" s="170" t="s">
        <v>1379</v>
      </c>
      <c r="C64" s="2560">
        <f ca="1">D45</f>
        <v>94260</v>
      </c>
      <c r="D64" s="170" t="s">
        <v>26</v>
      </c>
      <c r="E64" s="172"/>
      <c r="F64" s="1805"/>
      <c r="G64" s="1805"/>
      <c r="H64" s="1807"/>
      <c r="I64" s="129"/>
      <c r="J64" s="3682"/>
      <c r="K64" s="1329" t="s">
        <v>1380</v>
      </c>
      <c r="L64" s="1329">
        <f ca="1">IF(M49&gt;2000,M49*0.5%,IF(AND(M49&gt;1000,M49&lt;=2000),M49*0.6%,IF(AND(M49&gt;500,M49&lt;=1000),M49*0.7%,IF(AND(M49&gt;200,M49&lt;=500),M49*0.8%,IF(AND(M49&gt;100,M49&lt;=200),M49*0.9%,IF(AND(M49&gt;50,M49&lt;=100),M49*1%,IF(AND(M49&gt;20,M49&lt;=50),M49*1.5%,IF(AND(M49&gt;10,M49&lt;=20),M49*2%,IF(AND(M49&gt;1,M49&lt;=10),M49*2.5%)))))))))</f>
        <v>471.3</v>
      </c>
      <c r="M64" s="302">
        <f t="shared" ref="M64:M65" ca="1" si="1">ROUND(L64,1)</f>
        <v>471.3</v>
      </c>
      <c r="N64" s="2539" t="s">
        <v>1381</v>
      </c>
      <c r="Z64" s="1749"/>
      <c r="AI64" s="1750"/>
    </row>
    <row r="65" spans="1:35" ht="14.25" customHeight="1">
      <c r="A65" s="169" t="s">
        <v>326</v>
      </c>
      <c r="B65" s="170" t="s">
        <v>1382</v>
      </c>
      <c r="C65" s="2561"/>
      <c r="D65" s="170"/>
      <c r="E65" s="172"/>
      <c r="F65" s="1805"/>
      <c r="G65" s="1805"/>
      <c r="H65" s="1807"/>
      <c r="I65" s="129"/>
      <c r="J65" s="3682"/>
      <c r="K65" s="1329" t="s">
        <v>1383</v>
      </c>
      <c r="L65" s="1329">
        <f ca="1">IF(M49&gt;1000,M49*0.1%,IF(AND(M49&gt;500,M49&lt;=1000),M49*0.5%,IF(AND(M49&gt;50,M49&lt;=500),M49*1%,IF(AND(M49&gt;1,M49&lt;=50),M49*1.5%))))</f>
        <v>94.26</v>
      </c>
      <c r="M65" s="302">
        <f t="shared" ca="1" si="1"/>
        <v>94.3</v>
      </c>
      <c r="N65" s="2539" t="s">
        <v>1381</v>
      </c>
      <c r="Z65" s="1749"/>
      <c r="AI65" s="1750"/>
    </row>
    <row r="66" spans="1:35" ht="14.25" customHeight="1">
      <c r="A66" s="173" t="s">
        <v>327</v>
      </c>
      <c r="B66" s="174" t="s">
        <v>1384</v>
      </c>
      <c r="C66" s="2562"/>
      <c r="D66" s="174" t="s">
        <v>26</v>
      </c>
      <c r="E66" s="1335" t="s">
        <v>669</v>
      </c>
      <c r="F66" s="1805"/>
      <c r="G66" s="1805"/>
      <c r="H66" s="1807"/>
      <c r="I66" s="129"/>
      <c r="J66" s="3682"/>
      <c r="K66" s="1329" t="s">
        <v>1385</v>
      </c>
      <c r="L66" s="1329">
        <f ca="1">M49*0.5%</f>
        <v>471.3</v>
      </c>
      <c r="M66" s="302">
        <f ca="1">IF(L66&gt;0.5,0.5,ROUND(L66,0))</f>
        <v>0.5</v>
      </c>
      <c r="N66" s="2539" t="s">
        <v>1386</v>
      </c>
      <c r="Z66" s="1749"/>
      <c r="AI66" s="1750"/>
    </row>
    <row r="67" spans="1:35" ht="14.25" customHeight="1">
      <c r="A67" s="173" t="s">
        <v>328</v>
      </c>
      <c r="B67" s="174" t="s">
        <v>1387</v>
      </c>
      <c r="C67" s="2563">
        <f ca="1">C63-C66</f>
        <v>89771</v>
      </c>
      <c r="D67" s="170" t="s">
        <v>26</v>
      </c>
      <c r="E67" s="172"/>
      <c r="F67" s="1805"/>
      <c r="G67" s="1805"/>
      <c r="H67" s="1807"/>
      <c r="I67" s="129"/>
      <c r="J67" s="3682"/>
      <c r="K67" s="1329" t="s">
        <v>1388</v>
      </c>
      <c r="L67" s="1329">
        <f ca="1">IF(M49&gt;=10000,(8.25+(M49-10000)*0.01%),IF(AND(M49&gt;=8000,M49&lt;10000),(7.85+(M49-8000)*0.02%),IF(AND(M49&gt;=5000,M49&lt;8000),(6.65+(M49-5000)*0.04%),IF(AND(M49&gt;=2000,M49&lt;5000),(4.25+(PM49-2000)*0.08%),IF(AND(M49&gt;=1000,M49&lt;2000),(2.75+(M49-1000)*0.15%),IF(AND(M49&gt;=100,M49&lt;1000),(0.5+(M49-100)*0.25%),IF(AND(M49&gt;0,M49&lt;100),M49*0.5%)))))))</f>
        <v>16.676000000000002</v>
      </c>
      <c r="M67" s="302">
        <f ca="1">ROUND(L67*0.9,1)</f>
        <v>15</v>
      </c>
      <c r="N67" s="2538"/>
      <c r="Z67" s="1749"/>
      <c r="AI67" s="1750"/>
    </row>
    <row r="68" spans="1:35" ht="14.25" customHeight="1" thickBot="1">
      <c r="A68" s="176" t="s">
        <v>329</v>
      </c>
      <c r="B68" s="177" t="s">
        <v>1389</v>
      </c>
      <c r="C68" s="2564">
        <f ca="1">IF(C67&lt;=0,0,ROUND(C67*D68,0))</f>
        <v>4937</v>
      </c>
      <c r="D68" s="2565">
        <f>'数据-取费表'!B41</f>
        <v>5.5000000000000007E-2</v>
      </c>
      <c r="E68" s="178"/>
      <c r="F68" s="1805"/>
      <c r="G68" s="1805"/>
      <c r="H68" s="1807"/>
      <c r="I68" s="129"/>
      <c r="J68" s="3682"/>
      <c r="K68" s="1329" t="s">
        <v>1390</v>
      </c>
      <c r="L68" s="1329">
        <f ca="1">IF(M49&gt;10000,M49*0.5%,IF(AND(M49&gt;5000,M49&lt;=10000),M49*1%,IF(AND(M49&gt;1000,M49&lt;=5000),M49*2%,IF(AND(M49&gt;200,M49&lt;=1000),M49*3%,M49*5%))))</f>
        <v>471.3</v>
      </c>
      <c r="M68" s="302">
        <f ca="1">ROUND(L68,1)</f>
        <v>471.3</v>
      </c>
      <c r="N68" s="2538"/>
      <c r="Z68" s="1749"/>
      <c r="AI68" s="1750"/>
    </row>
    <row r="69" spans="1:35" s="1769" customFormat="1" ht="16.5" customHeight="1">
      <c r="A69" s="1808"/>
      <c r="B69" s="1809"/>
      <c r="C69" s="1810"/>
      <c r="D69" s="1811"/>
      <c r="E69" s="1812"/>
      <c r="F69" s="1575"/>
      <c r="G69" s="1575"/>
      <c r="H69" s="1574"/>
      <c r="I69" s="1744"/>
      <c r="J69" s="3682"/>
      <c r="K69" s="1329" t="s">
        <v>1391</v>
      </c>
      <c r="L69" s="1329"/>
      <c r="M69" s="302">
        <f ca="1">ROUND(SUM(M63:M68),0)</f>
        <v>1524</v>
      </c>
      <c r="N69" s="2540">
        <f ca="1">M69/M49</f>
        <v>1.6168045830681096E-2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4" t="s">
        <v>1392</v>
      </c>
      <c r="B70" s="3645"/>
      <c r="C70" s="3645"/>
      <c r="D70" s="3645"/>
      <c r="E70" s="3645"/>
      <c r="F70" s="3645"/>
      <c r="G70" s="3645"/>
      <c r="H70" s="364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3" t="s">
        <v>1373</v>
      </c>
      <c r="B71" s="3624"/>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89771</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449</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8" t="s">
        <v>1400</v>
      </c>
      <c r="F76" s="3592"/>
      <c r="G76" s="3592"/>
      <c r="H76" s="364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449</v>
      </c>
      <c r="D78" s="2572">
        <f>'数据-取费表'!B43</f>
        <v>5.000000000000001E-3</v>
      </c>
      <c r="E78" s="3602" t="s">
        <v>1404</v>
      </c>
      <c r="F78" s="3603"/>
      <c r="G78" s="3603"/>
      <c r="H78" s="361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89322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198.93541202672606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53436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4" t="s">
        <v>1408</v>
      </c>
      <c r="B83" s="3645"/>
      <c r="C83" s="3645"/>
      <c r="D83" s="3645"/>
      <c r="E83" s="3645"/>
      <c r="F83" s="3645"/>
      <c r="G83" s="3645"/>
      <c r="H83" s="364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3" t="s">
        <v>1373</v>
      </c>
      <c r="B84" s="3624"/>
      <c r="C84" s="2016"/>
      <c r="D84" s="2016" t="s">
        <v>1374</v>
      </c>
      <c r="E84" s="179" t="s">
        <v>1375</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89771</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101150.944672</v>
      </c>
      <c r="D86" s="2576"/>
      <c r="E86" s="2326"/>
      <c r="F86" s="2325"/>
      <c r="G86" s="2325"/>
      <c r="H86" s="192"/>
      <c r="I86" s="1818">
        <f>I84*'数据-基础表'!I13/10000</f>
        <v>65974.944671999998</v>
      </c>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67986.944671999998</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f>I86</f>
        <v>65974.944671999998</v>
      </c>
      <c r="D88" s="2572"/>
      <c r="E88" s="193" t="s">
        <v>1411</v>
      </c>
      <c r="F88" s="2322"/>
      <c r="G88" s="194" t="s">
        <v>1412</v>
      </c>
      <c r="H88" s="1821" t="s">
        <v>4088</v>
      </c>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2012</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84" t="s">
        <v>2126</v>
      </c>
      <c r="H90" s="3685"/>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 ca="1">IF(H91="——",成本法!C33,I91)</f>
        <v>9476</v>
      </c>
      <c r="D91" s="2572"/>
      <c r="E91" s="3602" t="s">
        <v>1417</v>
      </c>
      <c r="F91" s="3603"/>
      <c r="G91" s="3603"/>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 ca="1">ROUND((C87+C90+C91)*D92,0)</f>
        <v>7746</v>
      </c>
      <c r="D92" s="2578">
        <v>0.1</v>
      </c>
      <c r="E92" s="3602" t="s">
        <v>1420</v>
      </c>
      <c r="F92" s="3603"/>
      <c r="G92" s="3603"/>
      <c r="H92" s="3612"/>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449</v>
      </c>
      <c r="D93" s="2572">
        <f>'数据-取费表'!B43</f>
        <v>5.000000000000001E-3</v>
      </c>
      <c r="E93" s="3602" t="s">
        <v>1404</v>
      </c>
      <c r="F93" s="3603"/>
      <c r="G93" s="3603"/>
      <c r="H93" s="361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 ca="1">ROUND((C87+C90+C91)*D94,0)</f>
        <v>15493</v>
      </c>
      <c r="D94" s="2572">
        <v>0.2</v>
      </c>
      <c r="E94" s="3613" t="s">
        <v>1424</v>
      </c>
      <c r="F94" s="3614"/>
      <c r="G94" s="3614"/>
      <c r="H94" s="361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-11380</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4" t="s">
        <v>1426</v>
      </c>
      <c r="B100" s="3585"/>
      <c r="C100" s="3585"/>
      <c r="D100" s="3604"/>
      <c r="E100" s="3585" t="s">
        <v>1427</v>
      </c>
      <c r="F100" s="3585"/>
      <c r="G100" s="3585"/>
      <c r="H100" s="3604"/>
      <c r="I100" s="129"/>
    </row>
    <row r="101" spans="1:35" ht="18.75" customHeight="1">
      <c r="A101" s="3665" t="s">
        <v>1428</v>
      </c>
      <c r="B101" s="3666"/>
      <c r="C101" s="2580" t="str">
        <f>C4</f>
        <v>成本法</v>
      </c>
      <c r="D101" s="2581" t="str">
        <f>D4</f>
        <v>假设开发法</v>
      </c>
      <c r="E101" s="3679" t="s">
        <v>1429</v>
      </c>
      <c r="F101" s="3636"/>
      <c r="G101" s="1824" t="s">
        <v>1430</v>
      </c>
      <c r="H101" s="2590">
        <f ca="1">H118</f>
        <v>94903</v>
      </c>
      <c r="I101" s="129"/>
    </row>
    <row r="102" spans="1:35" ht="18.75" customHeight="1">
      <c r="A102" s="3638" t="s">
        <v>1431</v>
      </c>
      <c r="B102" s="2579" t="s">
        <v>1430</v>
      </c>
      <c r="C102" s="2580">
        <f ca="1">IF(D32="楼面单价",ROUND(C19,0),C19)</f>
        <v>98519</v>
      </c>
      <c r="D102" s="2581">
        <f ca="1">IF(D32="楼面单价",ROUND(D19,0),D19)</f>
        <v>91286</v>
      </c>
      <c r="E102" s="3679"/>
      <c r="F102" s="3636"/>
      <c r="G102" s="1824" t="s">
        <v>1432</v>
      </c>
      <c r="H102" s="2550">
        <f ca="1">I118</f>
        <v>22039</v>
      </c>
      <c r="I102" s="129"/>
    </row>
    <row r="103" spans="1:35" ht="42.75" customHeight="1">
      <c r="A103" s="3638"/>
      <c r="B103" s="2579" t="s">
        <v>1432</v>
      </c>
      <c r="C103" s="2582">
        <f ca="1">C20</f>
        <v>22879</v>
      </c>
      <c r="D103" s="2583">
        <f ca="1">D20</f>
        <v>21199</v>
      </c>
      <c r="E103" s="3673" t="s">
        <v>1433</v>
      </c>
      <c r="F103" s="3674"/>
      <c r="G103" s="1825" t="s">
        <v>1434</v>
      </c>
      <c r="H103" s="2590">
        <f>IF(D36="正常操作",H104+H105+H106,H105+H106)</f>
        <v>643</v>
      </c>
      <c r="I103" s="129"/>
    </row>
    <row r="104" spans="1:35" ht="18.75" customHeight="1">
      <c r="A104" s="3638" t="s">
        <v>1435</v>
      </c>
      <c r="B104" s="2584" t="s">
        <v>1430</v>
      </c>
      <c r="C104" s="2585">
        <f ca="1">H118</f>
        <v>94903</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f ca="1">I118</f>
        <v>22039</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643</v>
      </c>
      <c r="I106" s="129"/>
    </row>
    <row r="107" spans="1:35" ht="18.75" customHeight="1">
      <c r="A107" s="129"/>
      <c r="B107" s="129"/>
      <c r="C107" s="129"/>
      <c r="D107" s="129"/>
      <c r="E107" s="3635" t="str">
        <f>IF(项目基本情况!E8="已注销","——","3.房地产抵押价值")</f>
        <v>3.房地产抵押价值</v>
      </c>
      <c r="F107" s="3636"/>
      <c r="G107" s="1824" t="s">
        <v>1430</v>
      </c>
      <c r="H107" s="2590">
        <f ca="1">IF(E107="——","——",H101-H103)</f>
        <v>94260</v>
      </c>
      <c r="I107" s="129"/>
    </row>
    <row r="108" spans="1:35" ht="18.75" customHeight="1">
      <c r="A108" s="129"/>
      <c r="B108" s="129"/>
      <c r="C108" s="129"/>
      <c r="D108" s="129"/>
      <c r="E108" s="3635"/>
      <c r="F108" s="3636"/>
      <c r="G108" s="1824" t="s">
        <v>1432</v>
      </c>
      <c r="H108" s="2550">
        <f ca="1">IF(H107=H101,H102,ROUND(H107*10000/'数据-汇总表'!E3,0))</f>
        <v>21890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4" t="s">
        <v>1430</v>
      </c>
      <c r="H109" s="2593" t="str">
        <f>IF(E109="——","——",H101-H105-H106)</f>
        <v>——</v>
      </c>
      <c r="I109" s="129"/>
    </row>
    <row r="110" spans="1:35" ht="18.75" customHeight="1">
      <c r="A110" s="129"/>
      <c r="B110" s="129"/>
      <c r="C110" s="129"/>
      <c r="D110" s="129"/>
      <c r="E110" s="3635"/>
      <c r="F110" s="3636"/>
      <c r="G110" s="1824" t="s">
        <v>1432</v>
      </c>
      <c r="H110" s="2550"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37"/>
      <c r="G111" s="1824" t="s">
        <v>1430</v>
      </c>
      <c r="H111" s="2590">
        <f ca="1">IF(E111="——","——",N59)</f>
        <v>89276</v>
      </c>
      <c r="I111" s="129"/>
    </row>
    <row r="112" spans="1:35" ht="18.75" customHeight="1" thickBot="1">
      <c r="A112" s="129"/>
      <c r="B112" s="129"/>
      <c r="C112" s="129"/>
      <c r="D112" s="129"/>
      <c r="E112" s="3668"/>
      <c r="F112" s="3669"/>
      <c r="G112" s="1827" t="s">
        <v>1432</v>
      </c>
      <c r="H112" s="2594">
        <f ca="1">IF(E111="——","——",N61)</f>
        <v>20732</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50" t="s">
        <v>1440</v>
      </c>
      <c r="B115" s="3651"/>
      <c r="C115" s="3651"/>
      <c r="D115" s="3651"/>
      <c r="E115" s="3651"/>
      <c r="F115" s="3651"/>
      <c r="G115" s="3651"/>
      <c r="H115" s="3651"/>
      <c r="I115" s="3652"/>
    </row>
    <row r="116" spans="1:27" ht="27" customHeight="1">
      <c r="A116" s="3606" t="s">
        <v>1441</v>
      </c>
      <c r="B116" s="3641" t="s">
        <v>1442</v>
      </c>
      <c r="C116" s="3641" t="s">
        <v>1443</v>
      </c>
      <c r="D116" s="3654" t="s">
        <v>1444</v>
      </c>
      <c r="E116" s="3655"/>
      <c r="F116" s="3649" t="s">
        <v>1445</v>
      </c>
      <c r="G116" s="3649"/>
      <c r="H116" s="3606" t="s">
        <v>1446</v>
      </c>
      <c r="I116" s="3606"/>
    </row>
    <row r="117" spans="1:27" ht="18.75" customHeight="1">
      <c r="A117" s="3606"/>
      <c r="B117" s="3642"/>
      <c r="C117" s="3642"/>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43061.14</v>
      </c>
      <c r="C118" s="2324">
        <f>M19</f>
        <v>17150.68</v>
      </c>
      <c r="D118" s="2324">
        <f ca="1">ROUND(IF(D32="总价",C34,E118*B118/10000),0)</f>
        <v>83325</v>
      </c>
      <c r="E118" s="2324">
        <f ca="1">ROUND(IF(C33="自定义",IF(D32="楼面单价",C34,D118*10000/B118),I118-G118),0)</f>
        <v>19350</v>
      </c>
      <c r="F118" s="2324">
        <f ca="1">ROUND(IF(D32="总价",C35,G118*B118/10000),0)</f>
        <v>11578</v>
      </c>
      <c r="G118" s="2324">
        <f ca="1">ROUND(IF(D32="楼面单价",C35,F118*10000/B118),0)</f>
        <v>2689</v>
      </c>
      <c r="H118" s="2324">
        <f ca="1">ROUND(IF(D32="总价",C32,I118*B118/10000),0)</f>
        <v>94903</v>
      </c>
      <c r="I118" s="2324">
        <f ca="1">ROUND(IF(D32="楼面单价",C32,H118*10000/B118),0)</f>
        <v>22039</v>
      </c>
    </row>
    <row r="119" spans="1:27" ht="18.75" customHeight="1">
      <c r="A119" s="3606" t="s">
        <v>1450</v>
      </c>
      <c r="B119" s="3606"/>
      <c r="C119" s="3606"/>
      <c r="D119" s="3646" t="str">
        <f ca="1">NUMBERSTRING(INT(D118*10000),2)&amp;"元整"</f>
        <v>捌亿叁仟叁佰贰拾伍万元整</v>
      </c>
      <c r="E119" s="3648"/>
      <c r="F119" s="3646" t="str">
        <f ca="1">NUMBERSTRING(INT(F118*10000),2)&amp;"元整"</f>
        <v>壹亿壹仟伍佰柒拾捌万元整</v>
      </c>
      <c r="G119" s="3648"/>
      <c r="H119" s="3646" t="str">
        <f ca="1">NUMBERSTRING(INT(H118*10000),2)&amp;"元整"</f>
        <v>玖亿肆仟玖佰零叁万元整</v>
      </c>
      <c r="I119" s="3648"/>
    </row>
    <row r="120" spans="1:27" ht="18.75" customHeight="1">
      <c r="A120" s="3670" t="str">
        <f>IF(项目基本情况!B9="房地产市场价值","",MID(E103,3,LEN(E103)-2))</f>
        <v>估价师知悉的法定优先受偿款</v>
      </c>
      <c r="B120" s="3671"/>
      <c r="C120" s="3672"/>
      <c r="D120" s="3670">
        <f>H103</f>
        <v>643</v>
      </c>
      <c r="E120" s="3671"/>
      <c r="F120" s="3671"/>
      <c r="G120" s="3671"/>
      <c r="H120" s="3671"/>
      <c r="I120" s="3672"/>
      <c r="J120" s="1749"/>
      <c r="K120" s="1749" t="str">
        <f>IF(D120=0,"故，本次评估不存在"&amp;A120,"故，本次评估"&amp;A120&amp;"为人民币"&amp;D120&amp;"万元整。")</f>
        <v>故，本次评估估价师知悉的法定优先受偿款为人民币643万元整。</v>
      </c>
      <c r="L120" s="1749"/>
      <c r="M120" s="1749"/>
      <c r="N120" s="1749"/>
      <c r="O120" s="1749"/>
      <c r="P120" s="1749"/>
      <c r="Q120" s="1749"/>
      <c r="R120" s="1749"/>
      <c r="S120" s="1749"/>
    </row>
    <row r="121" spans="1:27" ht="18.75" customHeight="1">
      <c r="A121" s="3646" t="s">
        <v>1450</v>
      </c>
      <c r="B121" s="3647"/>
      <c r="C121" s="3648"/>
      <c r="D121" s="3646" t="str">
        <f>IF(D120=0,"零元整",NUMBERSTRING(INT(D120*10000),2)&amp;"元整")</f>
        <v>陆佰肆拾叁万元整</v>
      </c>
      <c r="E121" s="3647"/>
      <c r="F121" s="3647"/>
      <c r="G121" s="3647"/>
      <c r="H121" s="3647"/>
      <c r="I121" s="3648"/>
      <c r="AA121" s="724"/>
    </row>
    <row r="122" spans="1:27" ht="18.75" customHeight="1">
      <c r="A122" s="3637" t="str">
        <f>IF(项目基本情况!B9="房地产市场价值","",MID(E107,3,LEN(E107)-2))</f>
        <v>房地产抵押价值</v>
      </c>
      <c r="B122" s="3637"/>
      <c r="C122" s="3637"/>
      <c r="D122" s="3670">
        <f ca="1">H107</f>
        <v>94260</v>
      </c>
      <c r="E122" s="3671"/>
      <c r="F122" s="3671"/>
      <c r="G122" s="3671"/>
      <c r="H122" s="3671"/>
      <c r="I122" s="3672"/>
      <c r="AA122" s="724"/>
    </row>
    <row r="123" spans="1:27" ht="18.75" customHeight="1">
      <c r="A123" s="3606" t="s">
        <v>1450</v>
      </c>
      <c r="B123" s="3606"/>
      <c r="C123" s="3606"/>
      <c r="D123" s="3646" t="str">
        <f ca="1">NUMBERSTRING(INT(D122*10000),2)&amp;"元整"</f>
        <v>玖亿肆仟贰佰陆拾万元整</v>
      </c>
      <c r="E123" s="3647"/>
      <c r="F123" s="3647"/>
      <c r="G123" s="3647"/>
      <c r="H123" s="3647"/>
      <c r="I123" s="3648"/>
      <c r="AA123" s="724"/>
    </row>
    <row r="124" spans="1:27" ht="18.75" customHeight="1">
      <c r="A124" s="3637" t="str">
        <f>IF(项目基本情况!B9="房地产市场价值","",MID(E109,3,LEN(E109)-2))</f>
        <v/>
      </c>
      <c r="B124" s="3637"/>
      <c r="C124" s="3637"/>
      <c r="D124" s="3670" t="str">
        <f>H109</f>
        <v>——</v>
      </c>
      <c r="E124" s="3671"/>
      <c r="F124" s="3671"/>
      <c r="G124" s="3671"/>
      <c r="H124" s="3671"/>
      <c r="I124" s="3672"/>
      <c r="AA124" s="724"/>
    </row>
    <row r="125" spans="1:27" ht="18.75" customHeight="1">
      <c r="A125" s="3606" t="s">
        <v>1450</v>
      </c>
      <c r="B125" s="3606"/>
      <c r="C125" s="3606"/>
      <c r="D125" s="3646" t="e">
        <f>NUMBERSTRING(INT(D124*10000),2)&amp;"元整"</f>
        <v>#VALUE!</v>
      </c>
      <c r="E125" s="3647"/>
      <c r="F125" s="3647"/>
      <c r="G125" s="3647"/>
      <c r="H125" s="3647"/>
      <c r="I125" s="3648"/>
      <c r="AA125" s="724"/>
    </row>
    <row r="126" spans="1:27" ht="18.75" customHeight="1">
      <c r="A126" s="3637" t="str">
        <f>IF(项目基本情况!B9="房地产市场价值","",MID(E111,3,LEN(E111)-2))</f>
        <v>抵押净值</v>
      </c>
      <c r="B126" s="3637"/>
      <c r="C126" s="3637"/>
      <c r="D126" s="3670">
        <f ca="1">H111</f>
        <v>89276</v>
      </c>
      <c r="E126" s="3671"/>
      <c r="F126" s="3671"/>
      <c r="G126" s="3671"/>
      <c r="H126" s="3671"/>
      <c r="I126" s="3672"/>
      <c r="AA126" s="724"/>
    </row>
    <row r="127" spans="1:27" ht="18.75" customHeight="1">
      <c r="A127" s="3606" t="s">
        <v>1450</v>
      </c>
      <c r="B127" s="3606"/>
      <c r="C127" s="3606"/>
      <c r="D127" s="3646" t="str">
        <f ca="1">NUMBERSTRING(INT(D126*10000),2)&amp;"元整"</f>
        <v>捌亿玖仟贰佰柒拾陆万元整</v>
      </c>
      <c r="E127" s="3647"/>
      <c r="F127" s="3647"/>
      <c r="G127" s="3647"/>
      <c r="H127" s="3647"/>
      <c r="I127" s="3648"/>
      <c r="AA127" s="724"/>
    </row>
    <row r="128" spans="1:27" ht="21.75" customHeight="1">
      <c r="A128" s="3653" t="s">
        <v>1451</v>
      </c>
      <c r="B128" s="3653"/>
      <c r="C128" s="3653"/>
      <c r="D128" s="3653"/>
      <c r="E128" s="3653"/>
      <c r="F128" s="3653"/>
      <c r="G128" s="3653"/>
      <c r="H128" s="3653"/>
      <c r="I128" s="3653"/>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1" t="str">
        <f>项目基本情况!B1</f>
        <v>北京市房地产抵押价值预评估</v>
      </c>
      <c r="C37" s="3501"/>
      <c r="D37" s="3501"/>
      <c r="E37" s="3501"/>
      <c r="F37" s="3501"/>
      <c r="G37" s="3501"/>
      <c r="H37" s="3501"/>
      <c r="I37" s="3501"/>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topLeftCell="A4" zoomScale="70" zoomScaleNormal="70" zoomScaleSheetLayoutView="70" workbookViewId="0">
      <selection activeCell="I30" sqref="I3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98519</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22879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71600</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681</v>
      </c>
      <c r="D8" s="222"/>
      <c r="E8" s="220"/>
      <c r="F8" s="221"/>
      <c r="G8" s="1853" t="s">
        <v>3599</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4075</v>
      </c>
      <c r="H9" s="1135"/>
      <c r="I9" s="1855" t="s">
        <v>1477</v>
      </c>
    </row>
    <row r="10" spans="1:9" s="214" customFormat="1" ht="13.5" customHeight="1">
      <c r="A10" s="778" t="s">
        <v>356</v>
      </c>
      <c r="B10" s="224" t="s">
        <v>1478</v>
      </c>
      <c r="C10" s="225">
        <f ca="1">ROUND(D10*E10/10000,0)</f>
        <v>165</v>
      </c>
      <c r="D10" s="844">
        <f ca="1">IF(B1="",'数据-汇总表'!E6,IF(INDIRECT("'数据-取费表'!c"&amp;$G$1)="住宅",INDIRECT("'数据-取费表'!s"&amp;$G$1),INDIRECT("'数据-取费表'!k"&amp;$G$1)+INDIRECT("'数据-取费表'!s"&amp;$G$1)))</f>
        <v>8677.7000000000044</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43061.14</v>
      </c>
      <c r="E19" s="211">
        <f>'数据-取费表'!B31</f>
        <v>200</v>
      </c>
      <c r="F19" s="231"/>
      <c r="G19" s="1853" t="s">
        <v>3600</v>
      </c>
    </row>
    <row r="20" spans="1:7" s="214" customFormat="1" ht="13.5" customHeight="1">
      <c r="A20" s="255" t="s">
        <v>1491</v>
      </c>
      <c r="B20" s="210" t="s">
        <v>1492</v>
      </c>
      <c r="C20" s="232">
        <f ca="1">ROUND((C5+C19)*F20,0)</f>
        <v>1432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2444</v>
      </c>
      <c r="D22" s="235">
        <f ca="1">C26</f>
        <v>2.9999999999999997E-4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2420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24</v>
      </c>
      <c r="D25" s="238"/>
      <c r="E25" s="241"/>
      <c r="F25" s="239"/>
      <c r="G25" s="242" t="s">
        <v>1508</v>
      </c>
    </row>
    <row r="26" spans="1:7" s="214" customFormat="1">
      <c r="A26" s="779"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4652</v>
      </c>
      <c r="D27" s="235">
        <f ca="1">C29</f>
        <v>1.2999999999999999E-3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4652</v>
      </c>
      <c r="D28" s="235"/>
      <c r="E28" s="236"/>
      <c r="F28" s="246"/>
      <c r="G28" s="247"/>
    </row>
    <row r="29" spans="1:7" s="214" customFormat="1" ht="13.5" customHeight="1">
      <c r="A29" s="779" t="s">
        <v>347</v>
      </c>
      <c r="B29" s="248" t="s">
        <v>1515</v>
      </c>
      <c r="C29" s="238">
        <f ca="1">ROUND(C21*F27*'数据-取费表'!B21/'数据-取费表'!B20,4)</f>
        <v>1.2999999999999999E-3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86531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9476</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8185</v>
      </c>
      <c r="D34" s="217"/>
      <c r="E34" s="220"/>
      <c r="F34" s="257">
        <f ca="1">IF('数据-取费表'!B24=0,1,IF(B1="",'数据-取费表'!N16,INDIRECT("'数据-取费表'!n"&amp;$G$1)))</f>
        <v>0.49</v>
      </c>
      <c r="G34" s="219" t="s">
        <v>1524</v>
      </c>
    </row>
    <row r="35" spans="1:7" ht="13.5" customHeight="1">
      <c r="A35" s="779" t="s">
        <v>351</v>
      </c>
      <c r="B35" s="215" t="s">
        <v>1525</v>
      </c>
      <c r="C35" s="220">
        <f ca="1">ROUND(C34*F35,0)</f>
        <v>409</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337</v>
      </c>
      <c r="D36" s="220"/>
      <c r="E36" s="220"/>
      <c r="F36" s="259">
        <f>'数据-取费表'!B34</f>
        <v>0.05</v>
      </c>
      <c r="G36" s="260" t="s">
        <v>1528</v>
      </c>
    </row>
    <row r="37" spans="1:7" s="258" customFormat="1" ht="13.5" customHeight="1">
      <c r="A37" s="779" t="s">
        <v>353</v>
      </c>
      <c r="B37" s="215" t="s">
        <v>1529</v>
      </c>
      <c r="C37" s="249">
        <f ca="1">ROUND(E37*D37*F34/10000,0)</f>
        <v>422</v>
      </c>
      <c r="D37" s="217">
        <f ca="1">D19</f>
        <v>43061.14</v>
      </c>
      <c r="E37" s="249">
        <f>'数据-取费表'!B35</f>
        <v>200</v>
      </c>
      <c r="F37" s="259"/>
      <c r="G37" s="261" t="s">
        <v>1530</v>
      </c>
    </row>
    <row r="38" spans="1:7" ht="13.5" customHeight="1">
      <c r="A38" s="779" t="s">
        <v>354</v>
      </c>
      <c r="B38" s="215" t="s">
        <v>1531</v>
      </c>
      <c r="C38" s="220">
        <f ca="1">ROUND(C34*F38,0)</f>
        <v>123</v>
      </c>
      <c r="D38" s="220"/>
      <c r="E38" s="220"/>
      <c r="F38" s="259">
        <f>'数据-取费表'!B36</f>
        <v>1.4999999999999999E-2</v>
      </c>
      <c r="G38" s="219" t="s">
        <v>1526</v>
      </c>
    </row>
    <row r="39" spans="1:7" s="214" customFormat="1" ht="13.5" customHeight="1">
      <c r="A39" s="255" t="s">
        <v>1532</v>
      </c>
      <c r="B39" s="210" t="s">
        <v>1533</v>
      </c>
      <c r="C39" s="232">
        <f ca="1">ROUND(C33*F20,0)</f>
        <v>190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162</v>
      </c>
      <c r="D41" s="235">
        <f ca="1">C44</f>
        <v>2.9999999999999997E-4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159</v>
      </c>
      <c r="D42" s="238"/>
      <c r="E42" s="238"/>
      <c r="F42" s="239"/>
      <c r="G42" s="3686" t="s">
        <v>1542</v>
      </c>
    </row>
    <row r="43" spans="1:7" ht="13.5" customHeight="1">
      <c r="A43" s="779" t="s">
        <v>347</v>
      </c>
      <c r="B43" s="215" t="s">
        <v>1543</v>
      </c>
      <c r="C43" s="238">
        <f ca="1">ROUND(IF('数据-取费表'!B22&lt;=1,C39*F22*'数据-取费表'!B21/2,C39*(POWER((1+F22),'数据-取费表'!B21/2)-1)),0)</f>
        <v>3</v>
      </c>
      <c r="D43" s="238"/>
      <c r="E43" s="238"/>
      <c r="F43" s="239"/>
      <c r="G43" s="3687"/>
    </row>
    <row r="44" spans="1:7" ht="13.5" customHeight="1">
      <c r="A44" s="779" t="s">
        <v>348</v>
      </c>
      <c r="B44" s="215" t="s">
        <v>1544</v>
      </c>
      <c r="C44" s="238">
        <f ca="1">ROUND(IF('数据-取费表'!B22&lt;=1,C40*F22*'数据-取费表'!B21/2,C40*(POWER((1+F22),'数据-取费表'!B21/2)-1)),4)</f>
        <v>2.9999999999999997E-4</v>
      </c>
      <c r="D44" s="238"/>
      <c r="E44" s="238"/>
      <c r="F44" s="239"/>
      <c r="G44" s="3688"/>
    </row>
    <row r="45" spans="1:7" s="214" customFormat="1" ht="13.5" customHeight="1">
      <c r="A45" s="255" t="s">
        <v>1545</v>
      </c>
      <c r="B45" s="244" t="s">
        <v>1511</v>
      </c>
      <c r="C45" s="245">
        <f ca="1">C46</f>
        <v>1257</v>
      </c>
      <c r="D45" s="235">
        <f ca="1">C47</f>
        <v>2.5999999999999999E-3</v>
      </c>
      <c r="E45" s="236" t="s">
        <v>1537</v>
      </c>
      <c r="F45" s="246">
        <f ca="1">F27</f>
        <v>0.13</v>
      </c>
      <c r="G45" s="247" t="s">
        <v>1546</v>
      </c>
    </row>
    <row r="46" spans="1:7" s="214" customFormat="1" ht="13.5" customHeight="1">
      <c r="A46" s="779" t="s">
        <v>346</v>
      </c>
      <c r="B46" s="248" t="s">
        <v>1547</v>
      </c>
      <c r="C46" s="249">
        <f ca="1">ROUND((C33+C39)*F27,0)</f>
        <v>1257</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11988</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11988</v>
      </c>
      <c r="D51" s="232"/>
      <c r="E51" s="232"/>
      <c r="F51" s="264"/>
      <c r="G51" s="234" t="s">
        <v>1558</v>
      </c>
    </row>
    <row r="52" spans="1:7" s="208" customFormat="1" ht="16.5" thickBot="1">
      <c r="A52" s="265" t="s">
        <v>1559</v>
      </c>
      <c r="B52" s="266"/>
      <c r="C52" s="267">
        <f ca="1">C31+C51</f>
        <v>98519</v>
      </c>
      <c r="D52" s="266"/>
      <c r="E52" s="266"/>
      <c r="F52" s="266"/>
      <c r="G52" s="268"/>
    </row>
    <row r="55" spans="1:7" ht="15">
      <c r="B55" s="270" t="s">
        <v>1560</v>
      </c>
      <c r="C55" s="271"/>
    </row>
    <row r="56" spans="1:7">
      <c r="B56" s="273" t="s">
        <v>800</v>
      </c>
      <c r="C56" s="275">
        <f ca="1">1-C57</f>
        <v>0.878</v>
      </c>
    </row>
    <row r="57" spans="1:7">
      <c r="B57" s="273" t="s">
        <v>801</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15982</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693" t="s">
        <v>1768</v>
      </c>
      <c r="D4" s="3705"/>
      <c r="E4" s="3706" t="s">
        <v>1769</v>
      </c>
      <c r="F4" s="3707"/>
      <c r="G4" s="3693" t="s">
        <v>1770</v>
      </c>
      <c r="H4" s="3705"/>
      <c r="I4" s="3693" t="s">
        <v>1771</v>
      </c>
      <c r="J4" s="3705"/>
      <c r="K4" s="559" t="s">
        <v>1772</v>
      </c>
      <c r="L4" s="2710"/>
      <c r="M4" s="2711"/>
      <c r="N4" s="2711"/>
      <c r="O4" s="2711"/>
      <c r="P4" s="3708" t="s">
        <v>1773</v>
      </c>
      <c r="Q4" s="3709"/>
      <c r="R4" s="3714" t="s">
        <v>1769</v>
      </c>
      <c r="S4" s="3715"/>
      <c r="T4" s="3714" t="s">
        <v>1770</v>
      </c>
      <c r="U4" s="3715"/>
      <c r="V4" s="3701" t="s">
        <v>1771</v>
      </c>
      <c r="W4" s="3701"/>
      <c r="X4" s="1352"/>
      <c r="Y4" s="3714" t="s">
        <v>1773</v>
      </c>
      <c r="Z4" s="3715"/>
      <c r="AA4" s="3702" t="s">
        <v>1769</v>
      </c>
      <c r="AB4" s="3703" t="s">
        <v>1770</v>
      </c>
      <c r="AC4" s="3702" t="s">
        <v>1771</v>
      </c>
    </row>
    <row r="5" spans="1:30" ht="15">
      <c r="A5" s="358"/>
      <c r="B5" s="359"/>
      <c r="C5" s="3722" t="s">
        <v>1671</v>
      </c>
      <c r="D5" s="3723"/>
      <c r="E5" s="3729" t="str">
        <f>土地案例!$A$6</f>
        <v>北京市大兴区大兴新城西片区一期A组团土地一级开发项目DX00-0407-0002地块R2二类居住用地</v>
      </c>
      <c r="F5" s="3730"/>
      <c r="G5" s="3722" t="str">
        <f>土地案例!$A$13</f>
        <v>北京市房山区良乡大学城主园区FS00-0120-0023地块R2二类居住用地</v>
      </c>
      <c r="H5" s="3723"/>
      <c r="I5" s="3722" t="str">
        <f>土地案例!$A$14</f>
        <v>北京市门头沟区永定镇南区棚户区改造和环境整治项目MC00-0015-6050地块R2二类居住用地</v>
      </c>
      <c r="J5" s="3723"/>
      <c r="K5" s="559"/>
      <c r="L5" s="2710"/>
      <c r="M5" s="2711"/>
      <c r="N5" s="2711"/>
      <c r="O5" s="2711"/>
      <c r="P5" s="3710"/>
      <c r="Q5" s="3711"/>
      <c r="R5" s="3716"/>
      <c r="S5" s="3717"/>
      <c r="T5" s="3716"/>
      <c r="U5" s="3717"/>
      <c r="V5" s="3701"/>
      <c r="W5" s="3701"/>
      <c r="X5" s="1352"/>
      <c r="Y5" s="3716"/>
      <c r="Z5" s="3717"/>
      <c r="AA5" s="3703"/>
      <c r="AB5" s="3703"/>
      <c r="AC5" s="3703"/>
    </row>
    <row r="6" spans="1:30" ht="15.75" thickBot="1">
      <c r="A6" s="360"/>
      <c r="B6" s="361"/>
      <c r="C6" s="3720" t="s">
        <v>1675</v>
      </c>
      <c r="D6" s="3721"/>
      <c r="E6" s="3727" t="s">
        <v>1675</v>
      </c>
      <c r="F6" s="3728"/>
      <c r="G6" s="3720" t="s">
        <v>1675</v>
      </c>
      <c r="H6" s="3721"/>
      <c r="I6" s="3720" t="s">
        <v>1675</v>
      </c>
      <c r="J6" s="3721"/>
      <c r="K6" s="559" t="s">
        <v>1676</v>
      </c>
      <c r="L6" s="2710"/>
      <c r="M6" s="2711"/>
      <c r="N6" s="2711"/>
      <c r="O6" s="2711"/>
      <c r="P6" s="3712"/>
      <c r="Q6" s="3713"/>
      <c r="R6" s="3716"/>
      <c r="S6" s="3717"/>
      <c r="T6" s="3718"/>
      <c r="U6" s="3719"/>
      <c r="V6" s="3701"/>
      <c r="W6" s="3701"/>
      <c r="X6" s="1352"/>
      <c r="Y6" s="3718"/>
      <c r="Z6" s="3719"/>
      <c r="AA6" s="3704"/>
      <c r="AB6" s="3704"/>
      <c r="AC6" s="3704"/>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24" t="s">
        <v>1678</v>
      </c>
      <c r="Q7" s="3726"/>
      <c r="R7" s="700" t="s">
        <v>14</v>
      </c>
      <c r="S7" s="701">
        <f t="shared" ref="S7:S15" si="0">F7</f>
        <v>99</v>
      </c>
      <c r="T7" s="700" t="s">
        <v>14</v>
      </c>
      <c r="U7" s="701">
        <f t="shared" ref="U7:U15" si="1">H7</f>
        <v>98.5</v>
      </c>
      <c r="V7" s="700" t="s">
        <v>14</v>
      </c>
      <c r="W7" s="701">
        <f t="shared" ref="W7:W15" si="2">J7</f>
        <v>98</v>
      </c>
      <c r="X7" s="702"/>
      <c r="Y7" s="3724" t="s">
        <v>1678</v>
      </c>
      <c r="Z7" s="3725"/>
      <c r="AA7" s="703">
        <f>D7/F7</f>
        <v>1.0101010101010102</v>
      </c>
      <c r="AB7" s="703">
        <f>D7/H7</f>
        <v>1.015228426395939</v>
      </c>
      <c r="AC7" s="703">
        <f>D7/J7</f>
        <v>1.0204081632653061</v>
      </c>
    </row>
    <row r="8" spans="1:30" s="108" customFormat="1" ht="15.75" thickBot="1">
      <c r="A8" s="362" t="s">
        <v>1679</v>
      </c>
      <c r="B8" s="363"/>
      <c r="C8" s="368" t="s">
        <v>1680</v>
      </c>
      <c r="D8" s="365">
        <v>100</v>
      </c>
      <c r="E8" s="368" t="s">
        <v>3398</v>
      </c>
      <c r="F8" s="367">
        <f>SUMIF(72:72,E8,73:73)-SUMIF(72:72,C8,73:73)+100</f>
        <v>100</v>
      </c>
      <c r="G8" s="368" t="s">
        <v>3398</v>
      </c>
      <c r="H8" s="365">
        <f>SUMIF(72:72,G8,73:73)-SUMIF(72:72,C8,73:73)+100</f>
        <v>100</v>
      </c>
      <c r="I8" s="368" t="s">
        <v>3398</v>
      </c>
      <c r="J8" s="365">
        <f>SUMIF(72:72,I8,73:73)-SUMIF(72:72,C8,73:73)+100</f>
        <v>100</v>
      </c>
      <c r="K8" s="560"/>
      <c r="L8" s="2712"/>
      <c r="M8" s="2713"/>
      <c r="N8" s="2713"/>
      <c r="O8" s="2713"/>
      <c r="P8" s="3724" t="s">
        <v>1681</v>
      </c>
      <c r="Q8" s="3725"/>
      <c r="R8" s="700" t="s">
        <v>14</v>
      </c>
      <c r="S8" s="701">
        <f t="shared" si="0"/>
        <v>100</v>
      </c>
      <c r="T8" s="700" t="s">
        <v>14</v>
      </c>
      <c r="U8" s="701">
        <f t="shared" si="1"/>
        <v>100</v>
      </c>
      <c r="V8" s="700" t="s">
        <v>14</v>
      </c>
      <c r="W8" s="701">
        <f t="shared" si="2"/>
        <v>100</v>
      </c>
      <c r="X8" s="702"/>
      <c r="Y8" s="3724" t="s">
        <v>1681</v>
      </c>
      <c r="Z8" s="3725"/>
      <c r="AA8" s="703">
        <f t="shared" ref="AA8:AA45" si="3">D8/F8</f>
        <v>1</v>
      </c>
      <c r="AB8" s="703">
        <f t="shared" ref="AB8:AB45" si="4">D8/H8</f>
        <v>1</v>
      </c>
      <c r="AC8" s="703">
        <f t="shared" ref="AC8:AC45" si="5">D8/J8</f>
        <v>1</v>
      </c>
    </row>
    <row r="9" spans="1:30" s="108" customFormat="1">
      <c r="A9" s="369" t="s">
        <v>1682</v>
      </c>
      <c r="B9" s="63" t="s">
        <v>1683</v>
      </c>
      <c r="C9" s="1972" t="s">
        <v>3385</v>
      </c>
      <c r="D9" s="126">
        <v>100</v>
      </c>
      <c r="E9" s="1972" t="s">
        <v>3385</v>
      </c>
      <c r="F9" s="126">
        <f>SUMIF(74:74,E9,75:75)-SUMIF(74:74,C9,75:75)+100</f>
        <v>100</v>
      </c>
      <c r="G9" s="1972" t="s">
        <v>3385</v>
      </c>
      <c r="H9" s="126">
        <f>SUMIF(74:74,G9,75:75)-SUMIF(74:74,C9,75:75)+100</f>
        <v>100</v>
      </c>
      <c r="I9" s="1972" t="s">
        <v>3385</v>
      </c>
      <c r="J9" s="126">
        <f>SUMIF(74:74,I9,75:75)-SUMIF(74:74,C9,75:75)+100</f>
        <v>100</v>
      </c>
      <c r="K9" s="560"/>
      <c r="L9" s="2712"/>
      <c r="M9" s="2713"/>
      <c r="N9" s="2713"/>
      <c r="O9" s="2767"/>
      <c r="P9" s="3696"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696"/>
      <c r="Q10" s="1340" t="str">
        <f t="shared" si="6"/>
        <v>土地使用年限（年）</v>
      </c>
      <c r="R10" s="700" t="s">
        <v>14</v>
      </c>
      <c r="S10" s="701">
        <f t="shared" si="0"/>
        <v>101</v>
      </c>
      <c r="T10" s="700" t="s">
        <v>14</v>
      </c>
      <c r="U10" s="701">
        <f t="shared" si="1"/>
        <v>101</v>
      </c>
      <c r="V10" s="700" t="s">
        <v>14</v>
      </c>
      <c r="W10" s="701">
        <f t="shared" si="2"/>
        <v>101</v>
      </c>
      <c r="X10" s="702"/>
      <c r="Y10" s="3593"/>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696"/>
      <c r="Q11" s="1340" t="str">
        <f t="shared" si="6"/>
        <v>容积率</v>
      </c>
      <c r="R11" s="700" t="s">
        <v>14</v>
      </c>
      <c r="S11" s="701">
        <f t="shared" si="0"/>
        <v>103</v>
      </c>
      <c r="T11" s="700" t="s">
        <v>14</v>
      </c>
      <c r="U11" s="701">
        <f t="shared" si="1"/>
        <v>97</v>
      </c>
      <c r="V11" s="700" t="s">
        <v>14</v>
      </c>
      <c r="W11" s="701">
        <f t="shared" si="2"/>
        <v>106</v>
      </c>
      <c r="X11" s="702"/>
      <c r="Y11" s="3593"/>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6"/>
      <c r="Q12" s="1340" t="str">
        <f t="shared" si="6"/>
        <v>配建</v>
      </c>
      <c r="R12" s="700" t="s">
        <v>14</v>
      </c>
      <c r="S12" s="701">
        <f t="shared" si="0"/>
        <v>100</v>
      </c>
      <c r="T12" s="700" t="s">
        <v>14</v>
      </c>
      <c r="U12" s="701">
        <f t="shared" si="1"/>
        <v>100</v>
      </c>
      <c r="V12" s="700" t="s">
        <v>14</v>
      </c>
      <c r="W12" s="701">
        <f t="shared" si="2"/>
        <v>100</v>
      </c>
      <c r="X12" s="702"/>
      <c r="Y12" s="3593"/>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6"/>
      <c r="Q13" s="1340">
        <f t="shared" si="6"/>
        <v>111</v>
      </c>
      <c r="R13" s="700" t="s">
        <v>14</v>
      </c>
      <c r="S13" s="701">
        <f t="shared" si="0"/>
        <v>100</v>
      </c>
      <c r="T13" s="700" t="s">
        <v>14</v>
      </c>
      <c r="U13" s="701">
        <f t="shared" si="1"/>
        <v>100</v>
      </c>
      <c r="V13" s="700" t="s">
        <v>14</v>
      </c>
      <c r="W13" s="701">
        <f t="shared" si="2"/>
        <v>100</v>
      </c>
      <c r="X13" s="702"/>
      <c r="Y13" s="3593"/>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6"/>
      <c r="Q14" s="1340">
        <f t="shared" si="6"/>
        <v>111</v>
      </c>
      <c r="R14" s="700" t="s">
        <v>14</v>
      </c>
      <c r="S14" s="701">
        <f t="shared" si="0"/>
        <v>100</v>
      </c>
      <c r="T14" s="700" t="s">
        <v>14</v>
      </c>
      <c r="U14" s="701">
        <f t="shared" si="1"/>
        <v>100</v>
      </c>
      <c r="V14" s="700" t="s">
        <v>14</v>
      </c>
      <c r="W14" s="701">
        <f t="shared" si="2"/>
        <v>100</v>
      </c>
      <c r="X14" s="702"/>
      <c r="Y14" s="3593"/>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697" t="s">
        <v>1689</v>
      </c>
      <c r="Q15" s="1349" t="str">
        <f t="shared" si="6"/>
        <v>居住社区成熟度</v>
      </c>
      <c r="R15" s="704" t="s">
        <v>14</v>
      </c>
      <c r="S15" s="705">
        <f t="shared" si="0"/>
        <v>100</v>
      </c>
      <c r="T15" s="704" t="s">
        <v>14</v>
      </c>
      <c r="U15" s="705">
        <f t="shared" si="1"/>
        <v>110</v>
      </c>
      <c r="V15" s="704" t="s">
        <v>14</v>
      </c>
      <c r="W15" s="705">
        <f t="shared" si="2"/>
        <v>110</v>
      </c>
      <c r="X15" s="1352"/>
      <c r="Y15" s="3697" t="s">
        <v>1689</v>
      </c>
      <c r="Z15" s="1353" t="str">
        <f t="shared" si="7"/>
        <v>居住社区成熟度</v>
      </c>
      <c r="AA15" s="1350">
        <f t="shared" si="3"/>
        <v>1</v>
      </c>
      <c r="AB15" s="1350">
        <f t="shared" si="4"/>
        <v>0.90909090909090906</v>
      </c>
      <c r="AC15" s="1350">
        <f t="shared" si="5"/>
        <v>0.90909090909090906</v>
      </c>
    </row>
    <row r="16" spans="1:30" ht="15">
      <c r="A16" s="379"/>
      <c r="B16" s="397"/>
      <c r="C16" s="398" t="s">
        <v>3404</v>
      </c>
      <c r="D16" s="399"/>
      <c r="E16" s="1894" t="s">
        <v>3404</v>
      </c>
      <c r="F16" s="399"/>
      <c r="G16" s="1894" t="s">
        <v>3420</v>
      </c>
      <c r="H16" s="401"/>
      <c r="I16" s="1893" t="s">
        <v>3420</v>
      </c>
      <c r="J16" s="399"/>
      <c r="K16" s="620"/>
      <c r="L16" s="2717"/>
      <c r="M16" s="2711"/>
      <c r="N16" s="2711"/>
      <c r="O16" s="2769"/>
      <c r="P16" s="3698"/>
      <c r="Q16" s="1349"/>
      <c r="R16" s="704"/>
      <c r="S16" s="705"/>
      <c r="T16" s="704"/>
      <c r="U16" s="705"/>
      <c r="V16" s="704"/>
      <c r="W16" s="705"/>
      <c r="X16" s="1352"/>
      <c r="Y16" s="3698"/>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8"/>
      <c r="Q17" s="1349" t="str">
        <f>B17</f>
        <v>商业繁华度</v>
      </c>
      <c r="R17" s="704" t="s">
        <v>14</v>
      </c>
      <c r="S17" s="705">
        <f>F17</f>
        <v>100</v>
      </c>
      <c r="T17" s="704" t="s">
        <v>14</v>
      </c>
      <c r="U17" s="705">
        <f>H17</f>
        <v>100</v>
      </c>
      <c r="V17" s="704" t="s">
        <v>14</v>
      </c>
      <c r="W17" s="705">
        <f>J17</f>
        <v>100</v>
      </c>
      <c r="X17" s="1352"/>
      <c r="Y17" s="3698"/>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698"/>
      <c r="Q18" s="1349"/>
      <c r="R18" s="704"/>
      <c r="S18" s="705"/>
      <c r="T18" s="704"/>
      <c r="U18" s="705"/>
      <c r="V18" s="704"/>
      <c r="W18" s="705"/>
      <c r="X18" s="1352"/>
      <c r="Y18" s="3698"/>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8"/>
      <c r="Q19" s="1349" t="str">
        <f>B19</f>
        <v>办公集聚程度</v>
      </c>
      <c r="R19" s="704" t="s">
        <v>14</v>
      </c>
      <c r="S19" s="705">
        <f>F19</f>
        <v>100</v>
      </c>
      <c r="T19" s="704" t="s">
        <v>14</v>
      </c>
      <c r="U19" s="705">
        <f>H19</f>
        <v>100</v>
      </c>
      <c r="V19" s="704" t="s">
        <v>14</v>
      </c>
      <c r="W19" s="705">
        <f>J19</f>
        <v>100</v>
      </c>
      <c r="X19" s="1352"/>
      <c r="Y19" s="3698"/>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698"/>
      <c r="Q20" s="1349"/>
      <c r="R20" s="704"/>
      <c r="S20" s="705"/>
      <c r="T20" s="704"/>
      <c r="U20" s="705"/>
      <c r="V20" s="704"/>
      <c r="W20" s="705"/>
      <c r="X20" s="1352"/>
      <c r="Y20" s="3698"/>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698"/>
      <c r="Q21" s="1349" t="str">
        <f>B21</f>
        <v>交通便捷度</v>
      </c>
      <c r="R21" s="704" t="s">
        <v>14</v>
      </c>
      <c r="S21" s="705">
        <f>F21</f>
        <v>100</v>
      </c>
      <c r="T21" s="704" t="s">
        <v>14</v>
      </c>
      <c r="U21" s="705">
        <f>H21</f>
        <v>103</v>
      </c>
      <c r="V21" s="704" t="s">
        <v>14</v>
      </c>
      <c r="W21" s="705">
        <f>J21</f>
        <v>103</v>
      </c>
      <c r="X21" s="1352"/>
      <c r="Y21" s="3698"/>
      <c r="Z21" s="1353" t="str">
        <f>Q21</f>
        <v>交通便捷度</v>
      </c>
      <c r="AA21" s="1350">
        <f t="shared" si="3"/>
        <v>1</v>
      </c>
      <c r="AB21" s="1350">
        <f t="shared" si="4"/>
        <v>0.970873786407767</v>
      </c>
      <c r="AC21" s="1350">
        <f t="shared" si="5"/>
        <v>0.970873786407767</v>
      </c>
    </row>
    <row r="22" spans="1:29" ht="15">
      <c r="A22" s="379"/>
      <c r="B22" s="1129"/>
      <c r="C22" s="398" t="s">
        <v>3403</v>
      </c>
      <c r="D22" s="401"/>
      <c r="E22" s="1894" t="s">
        <v>3403</v>
      </c>
      <c r="F22" s="399"/>
      <c r="G22" s="1894" t="s">
        <v>3420</v>
      </c>
      <c r="H22" s="399"/>
      <c r="I22" s="1894" t="s">
        <v>3420</v>
      </c>
      <c r="J22" s="399"/>
      <c r="K22" s="620"/>
      <c r="L22" s="2717"/>
      <c r="M22" s="2711"/>
      <c r="N22" s="2711"/>
      <c r="O22" s="2769"/>
      <c r="P22" s="3698"/>
      <c r="Q22" s="1349"/>
      <c r="R22" s="704"/>
      <c r="S22" s="705"/>
      <c r="T22" s="704"/>
      <c r="U22" s="705"/>
      <c r="V22" s="704"/>
      <c r="W22" s="705"/>
      <c r="X22" s="1352"/>
      <c r="Y22" s="3698"/>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698"/>
      <c r="Q23" s="1349" t="str">
        <f t="shared" ref="Q23:Q37" si="8">B23</f>
        <v>区域土地利用方向</v>
      </c>
      <c r="R23" s="704" t="s">
        <v>14</v>
      </c>
      <c r="S23" s="705">
        <f>F23</f>
        <v>100</v>
      </c>
      <c r="T23" s="704" t="s">
        <v>14</v>
      </c>
      <c r="U23" s="705">
        <f>H23</f>
        <v>100</v>
      </c>
      <c r="V23" s="704" t="s">
        <v>14</v>
      </c>
      <c r="W23" s="705">
        <f>J23</f>
        <v>100</v>
      </c>
      <c r="X23" s="1352"/>
      <c r="Y23" s="3698"/>
      <c r="Z23" s="1353" t="str">
        <f>Q23</f>
        <v>区域土地利用方向</v>
      </c>
      <c r="AA23" s="1350">
        <f t="shared" si="3"/>
        <v>1</v>
      </c>
      <c r="AB23" s="1350">
        <f t="shared" si="4"/>
        <v>1</v>
      </c>
      <c r="AC23" s="1350">
        <f t="shared" si="5"/>
        <v>1</v>
      </c>
    </row>
    <row r="24" spans="1:29" ht="15">
      <c r="A24" s="358"/>
      <c r="B24" s="407"/>
      <c r="C24" s="565" t="s">
        <v>3420</v>
      </c>
      <c r="D24" s="399"/>
      <c r="E24" s="565" t="s">
        <v>3420</v>
      </c>
      <c r="F24" s="399"/>
      <c r="G24" s="565" t="s">
        <v>3420</v>
      </c>
      <c r="H24" s="399"/>
      <c r="I24" s="565" t="s">
        <v>3420</v>
      </c>
      <c r="J24" s="399"/>
      <c r="K24" s="739"/>
      <c r="L24" s="2717"/>
      <c r="M24" s="2711"/>
      <c r="N24" s="2711"/>
      <c r="O24" s="2769"/>
      <c r="P24" s="3698"/>
      <c r="Q24" s="1349"/>
      <c r="R24" s="704"/>
      <c r="S24" s="705"/>
      <c r="T24" s="704"/>
      <c r="U24" s="705"/>
      <c r="V24" s="704"/>
      <c r="W24" s="705"/>
      <c r="X24" s="1352"/>
      <c r="Y24" s="3698"/>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698"/>
      <c r="Q25" s="1349" t="str">
        <f t="shared" si="8"/>
        <v>自然及人文环境状况</v>
      </c>
      <c r="R25" s="704" t="s">
        <v>14</v>
      </c>
      <c r="S25" s="705">
        <f>F25</f>
        <v>103</v>
      </c>
      <c r="T25" s="704" t="s">
        <v>14</v>
      </c>
      <c r="U25" s="705">
        <f>H25</f>
        <v>103</v>
      </c>
      <c r="V25" s="704" t="s">
        <v>14</v>
      </c>
      <c r="W25" s="705">
        <f>J25</f>
        <v>100</v>
      </c>
      <c r="X25" s="1352"/>
      <c r="Y25" s="3698"/>
      <c r="Z25" s="1353" t="str">
        <f>Q25</f>
        <v>自然及人文环境状况</v>
      </c>
      <c r="AA25" s="1350">
        <f t="shared" si="3"/>
        <v>0.970873786407767</v>
      </c>
      <c r="AB25" s="1350">
        <f t="shared" si="4"/>
        <v>0.970873786407767</v>
      </c>
      <c r="AC25" s="1350">
        <f t="shared" si="5"/>
        <v>1</v>
      </c>
    </row>
    <row r="26" spans="1:29" ht="15">
      <c r="A26" s="358"/>
      <c r="B26" s="407"/>
      <c r="C26" s="398" t="s">
        <v>3403</v>
      </c>
      <c r="D26" s="399"/>
      <c r="E26" s="1900" t="s">
        <v>3420</v>
      </c>
      <c r="F26" s="399"/>
      <c r="G26" s="1900" t="s">
        <v>3420</v>
      </c>
      <c r="H26" s="399"/>
      <c r="I26" s="1900" t="s">
        <v>3403</v>
      </c>
      <c r="J26" s="399"/>
      <c r="K26" s="620"/>
      <c r="L26" s="2717"/>
      <c r="M26" s="2711"/>
      <c r="N26" s="2711"/>
      <c r="O26" s="2769"/>
      <c r="P26" s="3698"/>
      <c r="Q26" s="1349"/>
      <c r="R26" s="704"/>
      <c r="S26" s="705"/>
      <c r="T26" s="704"/>
      <c r="U26" s="705"/>
      <c r="V26" s="704"/>
      <c r="W26" s="705"/>
      <c r="X26" s="1352"/>
      <c r="Y26" s="3698"/>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698"/>
      <c r="Q27" s="1340" t="str">
        <f t="shared" si="8"/>
        <v>公共配套设施</v>
      </c>
      <c r="R27" s="700" t="s">
        <v>14</v>
      </c>
      <c r="S27" s="701">
        <f>F27</f>
        <v>100</v>
      </c>
      <c r="T27" s="700" t="s">
        <v>14</v>
      </c>
      <c r="U27" s="701">
        <f>H27</f>
        <v>103</v>
      </c>
      <c r="V27" s="700" t="s">
        <v>14</v>
      </c>
      <c r="W27" s="701">
        <f>J27</f>
        <v>103</v>
      </c>
      <c r="X27" s="702"/>
      <c r="Y27" s="3698"/>
      <c r="Z27" s="52" t="str">
        <f>Q27</f>
        <v>公共配套设施</v>
      </c>
      <c r="AA27" s="1350">
        <f>D27/F27</f>
        <v>1</v>
      </c>
      <c r="AB27" s="1350">
        <f>D27/H27</f>
        <v>0.970873786407767</v>
      </c>
      <c r="AC27" s="1350">
        <f>D27/J27</f>
        <v>0.970873786407767</v>
      </c>
    </row>
    <row r="28" spans="1:29" s="108" customFormat="1" ht="15">
      <c r="A28" s="597"/>
      <c r="B28" s="407"/>
      <c r="C28" s="1973" t="s">
        <v>3403</v>
      </c>
      <c r="D28" s="399"/>
      <c r="E28" s="1973" t="s">
        <v>3403</v>
      </c>
      <c r="F28" s="399"/>
      <c r="G28" s="1900" t="s">
        <v>3420</v>
      </c>
      <c r="H28" s="399"/>
      <c r="I28" s="1900" t="s">
        <v>3420</v>
      </c>
      <c r="J28" s="399"/>
      <c r="K28" s="620"/>
      <c r="L28" s="2712"/>
      <c r="M28" s="2713"/>
      <c r="N28" s="2713"/>
      <c r="O28" s="2767"/>
      <c r="P28" s="3698"/>
      <c r="Q28" s="1340"/>
      <c r="R28" s="700"/>
      <c r="S28" s="701"/>
      <c r="T28" s="700"/>
      <c r="U28" s="701"/>
      <c r="V28" s="700"/>
      <c r="W28" s="701"/>
      <c r="X28" s="702"/>
      <c r="Y28" s="3698"/>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98"/>
      <c r="Q29" s="1340"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0">
        <f>D29/F29</f>
        <v>1</v>
      </c>
      <c r="AB29" s="1350">
        <f>D29/H29</f>
        <v>1</v>
      </c>
      <c r="AC29" s="1350">
        <f>D29/J29</f>
        <v>1</v>
      </c>
    </row>
    <row r="30" spans="1:29" s="108" customFormat="1" ht="15">
      <c r="A30" s="597"/>
      <c r="B30" s="407"/>
      <c r="C30" s="1973" t="s">
        <v>3405</v>
      </c>
      <c r="D30" s="399"/>
      <c r="E30" s="1973" t="s">
        <v>3405</v>
      </c>
      <c r="F30" s="399"/>
      <c r="G30" s="1973" t="s">
        <v>3405</v>
      </c>
      <c r="H30" s="399"/>
      <c r="I30" s="1973" t="s">
        <v>3405</v>
      </c>
      <c r="J30" s="399"/>
      <c r="K30" s="620"/>
      <c r="L30" s="2712"/>
      <c r="M30" s="2713"/>
      <c r="N30" s="2713"/>
      <c r="O30" s="2767"/>
      <c r="P30" s="3698"/>
      <c r="Q30" s="1340"/>
      <c r="R30" s="700"/>
      <c r="S30" s="701"/>
      <c r="T30" s="700"/>
      <c r="U30" s="701"/>
      <c r="V30" s="700"/>
      <c r="W30" s="701"/>
      <c r="X30" s="702"/>
      <c r="Y30" s="3698"/>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8"/>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698"/>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8"/>
      <c r="Q32" s="1349" t="str">
        <f t="shared" si="8"/>
        <v>毗邻道路的类型与等级</v>
      </c>
      <c r="R32" s="704" t="s">
        <v>14</v>
      </c>
      <c r="S32" s="705">
        <f t="shared" si="10"/>
        <v>100</v>
      </c>
      <c r="T32" s="704" t="s">
        <v>14</v>
      </c>
      <c r="U32" s="705">
        <f t="shared" si="11"/>
        <v>100</v>
      </c>
      <c r="V32" s="704" t="s">
        <v>14</v>
      </c>
      <c r="W32" s="705">
        <f t="shared" si="12"/>
        <v>100</v>
      </c>
      <c r="X32" s="1352"/>
      <c r="Y32" s="3698"/>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698"/>
      <c r="Q33" s="1349"/>
      <c r="R33" s="704"/>
      <c r="S33" s="705"/>
      <c r="T33" s="704"/>
      <c r="U33" s="705"/>
      <c r="V33" s="704"/>
      <c r="W33" s="705"/>
      <c r="X33" s="1352"/>
      <c r="Y33" s="3698"/>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698"/>
      <c r="Q34" s="1349" t="str">
        <f t="shared" si="8"/>
        <v>土地级别</v>
      </c>
      <c r="R34" s="704" t="s">
        <v>14</v>
      </c>
      <c r="S34" s="705">
        <f t="shared" si="10"/>
        <v>102</v>
      </c>
      <c r="T34" s="704" t="s">
        <v>14</v>
      </c>
      <c r="U34" s="705">
        <f t="shared" si="11"/>
        <v>104</v>
      </c>
      <c r="V34" s="704" t="s">
        <v>14</v>
      </c>
      <c r="W34" s="705">
        <f t="shared" si="12"/>
        <v>104</v>
      </c>
      <c r="X34" s="1352"/>
      <c r="Y34" s="3698"/>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8"/>
      <c r="Q35" s="1349">
        <f t="shared" si="8"/>
        <v>111</v>
      </c>
      <c r="R35" s="704" t="s">
        <v>14</v>
      </c>
      <c r="S35" s="705">
        <f t="shared" si="10"/>
        <v>100</v>
      </c>
      <c r="T35" s="704" t="s">
        <v>14</v>
      </c>
      <c r="U35" s="705">
        <f t="shared" si="11"/>
        <v>100</v>
      </c>
      <c r="V35" s="704" t="s">
        <v>14</v>
      </c>
      <c r="W35" s="705">
        <f t="shared" si="12"/>
        <v>100</v>
      </c>
      <c r="X35" s="1352"/>
      <c r="Y35" s="3698"/>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699" t="s">
        <v>1694</v>
      </c>
      <c r="Q36" s="1349">
        <f t="shared" si="8"/>
        <v>111</v>
      </c>
      <c r="R36" s="704" t="s">
        <v>14</v>
      </c>
      <c r="S36" s="705">
        <f t="shared" si="10"/>
        <v>100</v>
      </c>
      <c r="T36" s="704" t="s">
        <v>14</v>
      </c>
      <c r="U36" s="705">
        <f t="shared" si="11"/>
        <v>100</v>
      </c>
      <c r="V36" s="704" t="s">
        <v>14</v>
      </c>
      <c r="W36" s="705">
        <f t="shared" si="12"/>
        <v>100</v>
      </c>
      <c r="X36" s="1352"/>
      <c r="Y36" s="3700"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0"/>
      <c r="Q37" s="1349">
        <f t="shared" si="8"/>
        <v>111</v>
      </c>
      <c r="R37" s="707" t="s">
        <v>14</v>
      </c>
      <c r="S37" s="708">
        <f t="shared" si="10"/>
        <v>100</v>
      </c>
      <c r="T37" s="707" t="s">
        <v>14</v>
      </c>
      <c r="U37" s="708">
        <f t="shared" si="11"/>
        <v>100</v>
      </c>
      <c r="V37" s="707" t="s">
        <v>14</v>
      </c>
      <c r="W37" s="708">
        <f t="shared" si="12"/>
        <v>100</v>
      </c>
      <c r="X37" s="709"/>
      <c r="Y37" s="3700"/>
      <c r="Z37" s="710">
        <f t="shared" si="13"/>
        <v>111</v>
      </c>
      <c r="AA37" s="1350">
        <f t="shared" si="3"/>
        <v>1</v>
      </c>
      <c r="AB37" s="1350">
        <f t="shared" si="4"/>
        <v>1</v>
      </c>
      <c r="AC37" s="1350">
        <f t="shared" si="5"/>
        <v>1</v>
      </c>
    </row>
    <row r="38" spans="1:29" ht="15">
      <c r="A38" s="423" t="s">
        <v>1692</v>
      </c>
      <c r="B38" s="407" t="s">
        <v>1872</v>
      </c>
      <c r="C38" s="3492">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00"/>
      <c r="Q38" s="1349" t="str">
        <f>B38</f>
        <v>宗地面积</v>
      </c>
      <c r="R38" s="704" t="s">
        <v>14</v>
      </c>
      <c r="S38" s="705">
        <f t="shared" si="10"/>
        <v>99</v>
      </c>
      <c r="T38" s="704" t="s">
        <v>14</v>
      </c>
      <c r="U38" s="705">
        <f t="shared" si="11"/>
        <v>99</v>
      </c>
      <c r="V38" s="704" t="s">
        <v>14</v>
      </c>
      <c r="W38" s="705">
        <f t="shared" si="12"/>
        <v>99</v>
      </c>
      <c r="X38" s="1352"/>
      <c r="Y38" s="3700"/>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3589</v>
      </c>
      <c r="D39" s="386">
        <v>100</v>
      </c>
      <c r="E39" s="1902" t="s">
        <v>3589</v>
      </c>
      <c r="F39" s="386">
        <f>SUMIF(118:118,E39,119:119)-SUMIF(118:118,C39,119:119)+100</f>
        <v>100</v>
      </c>
      <c r="G39" s="1902" t="s">
        <v>3589</v>
      </c>
      <c r="H39" s="386">
        <f>SUMIF(118:118,G39,119:119)-SUMIF(118:118,C39,119:119)+100</f>
        <v>100</v>
      </c>
      <c r="I39" s="1902" t="s">
        <v>3589</v>
      </c>
      <c r="J39" s="386">
        <f>SUMIF(118:118,I39,119:119)-SUMIF(118:118,C39,119:119)+100</f>
        <v>100</v>
      </c>
      <c r="K39" s="561">
        <v>2</v>
      </c>
      <c r="L39" s="2717"/>
      <c r="M39" s="2711"/>
      <c r="N39" s="2711"/>
      <c r="O39" s="2769"/>
      <c r="P39" s="3700"/>
      <c r="Q39" s="1349" t="str">
        <f t="shared" ref="Q39:Q45" si="14">B39</f>
        <v>宗地形状</v>
      </c>
      <c r="R39" s="704" t="s">
        <v>14</v>
      </c>
      <c r="S39" s="705">
        <f t="shared" si="10"/>
        <v>100</v>
      </c>
      <c r="T39" s="704" t="s">
        <v>14</v>
      </c>
      <c r="U39" s="705">
        <f t="shared" si="11"/>
        <v>100</v>
      </c>
      <c r="V39" s="704" t="s">
        <v>14</v>
      </c>
      <c r="W39" s="705">
        <f t="shared" si="12"/>
        <v>100</v>
      </c>
      <c r="X39" s="1352"/>
      <c r="Y39" s="3700"/>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00"/>
      <c r="Q40" s="1349" t="str">
        <f t="shared" si="14"/>
        <v>临街宽度及深度</v>
      </c>
      <c r="R40" s="704" t="s">
        <v>14</v>
      </c>
      <c r="S40" s="705">
        <f t="shared" si="10"/>
        <v>100</v>
      </c>
      <c r="T40" s="704" t="s">
        <v>14</v>
      </c>
      <c r="U40" s="705">
        <f t="shared" si="11"/>
        <v>100</v>
      </c>
      <c r="V40" s="704" t="s">
        <v>14</v>
      </c>
      <c r="W40" s="705">
        <f t="shared" si="12"/>
        <v>100</v>
      </c>
      <c r="X40" s="1352"/>
      <c r="Y40" s="3700"/>
      <c r="Z40" s="1353" t="str">
        <f t="shared" si="13"/>
        <v>临街宽度及深度</v>
      </c>
      <c r="AA40" s="1350">
        <f t="shared" si="3"/>
        <v>1</v>
      </c>
      <c r="AB40" s="1350">
        <f t="shared" si="4"/>
        <v>1</v>
      </c>
      <c r="AC40" s="1350">
        <f t="shared" si="5"/>
        <v>1</v>
      </c>
    </row>
    <row r="41" spans="1:29" s="108" customFormat="1" ht="15">
      <c r="A41" s="424"/>
      <c r="B41" s="375" t="s">
        <v>1875</v>
      </c>
      <c r="C41" s="1975" t="s">
        <v>3405</v>
      </c>
      <c r="D41" s="127">
        <v>100</v>
      </c>
      <c r="E41" s="1975" t="s">
        <v>3594</v>
      </c>
      <c r="F41" s="386">
        <f>SUMIF(122:122,E41,123:123)-SUMIF(122:122,C41,123:123)+100</f>
        <v>99</v>
      </c>
      <c r="G41" s="1975" t="s">
        <v>3594</v>
      </c>
      <c r="H41" s="386">
        <f>SUMIF(122:122,G41,123:123)-SUMIF(122:122,C41,123:123)+100</f>
        <v>99</v>
      </c>
      <c r="I41" s="1975" t="s">
        <v>3596</v>
      </c>
      <c r="J41" s="386">
        <f>SUMIF(122:122,I41,123:123)-SUMIF(122:122,C41,123:123)+100</f>
        <v>98</v>
      </c>
      <c r="K41" s="561">
        <v>1</v>
      </c>
      <c r="L41" s="2712"/>
      <c r="M41" s="2713"/>
      <c r="N41" s="2713"/>
      <c r="O41" s="2767"/>
      <c r="P41" s="3700"/>
      <c r="Q41" s="1349" t="str">
        <f t="shared" si="14"/>
        <v>宗地开发程度</v>
      </c>
      <c r="R41" s="700" t="s">
        <v>14</v>
      </c>
      <c r="S41" s="701">
        <f t="shared" si="10"/>
        <v>99</v>
      </c>
      <c r="T41" s="700" t="s">
        <v>14</v>
      </c>
      <c r="U41" s="701">
        <f t="shared" si="11"/>
        <v>99</v>
      </c>
      <c r="V41" s="700" t="s">
        <v>14</v>
      </c>
      <c r="W41" s="701">
        <f t="shared" si="12"/>
        <v>98</v>
      </c>
      <c r="X41" s="702"/>
      <c r="Y41" s="3700"/>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3420</v>
      </c>
      <c r="D42" s="386">
        <v>100</v>
      </c>
      <c r="E42" s="1902" t="s">
        <v>3420</v>
      </c>
      <c r="F42" s="386">
        <f>SUMIF(124:124,E42,125:125)-SUMIF(124:124,C42,125:125)+100</f>
        <v>100</v>
      </c>
      <c r="G42" s="1902" t="s">
        <v>3420</v>
      </c>
      <c r="H42" s="386">
        <f>SUMIF(124:124,G42,125:125)-SUMIF(124:124,C42,125:125)+100</f>
        <v>100</v>
      </c>
      <c r="I42" s="1902" t="s">
        <v>3420</v>
      </c>
      <c r="J42" s="386">
        <f>SUMIF(124:124,I42,125:125)-SUMIF(124:124,C42,125:125)+100</f>
        <v>100</v>
      </c>
      <c r="K42" s="561">
        <v>2</v>
      </c>
      <c r="L42" s="2717"/>
      <c r="M42" s="2711"/>
      <c r="N42" s="2711"/>
      <c r="O42" s="2769"/>
      <c r="P42" s="3700" t="s">
        <v>1694</v>
      </c>
      <c r="Q42" s="1349" t="str">
        <f t="shared" si="14"/>
        <v>工程地质条件</v>
      </c>
      <c r="R42" s="704" t="s">
        <v>14</v>
      </c>
      <c r="S42" s="705">
        <f t="shared" si="10"/>
        <v>100</v>
      </c>
      <c r="T42" s="704" t="s">
        <v>14</v>
      </c>
      <c r="U42" s="705">
        <f t="shared" si="11"/>
        <v>100</v>
      </c>
      <c r="V42" s="704" t="s">
        <v>14</v>
      </c>
      <c r="W42" s="705">
        <f t="shared" si="12"/>
        <v>100</v>
      </c>
      <c r="X42" s="1352"/>
      <c r="Y42" s="3700"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0"/>
      <c r="Q43" s="1349">
        <f t="shared" si="14"/>
        <v>111</v>
      </c>
      <c r="R43" s="704" t="s">
        <v>14</v>
      </c>
      <c r="S43" s="705">
        <f t="shared" si="10"/>
        <v>100</v>
      </c>
      <c r="T43" s="704" t="s">
        <v>14</v>
      </c>
      <c r="U43" s="705">
        <f t="shared" si="11"/>
        <v>100</v>
      </c>
      <c r="V43" s="704" t="s">
        <v>14</v>
      </c>
      <c r="W43" s="705">
        <f t="shared" si="12"/>
        <v>100</v>
      </c>
      <c r="X43" s="1352"/>
      <c r="Y43" s="3700"/>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0"/>
      <c r="Q44" s="1349">
        <f t="shared" si="14"/>
        <v>111</v>
      </c>
      <c r="R44" s="704" t="s">
        <v>14</v>
      </c>
      <c r="S44" s="705">
        <f t="shared" si="10"/>
        <v>100</v>
      </c>
      <c r="T44" s="704" t="s">
        <v>14</v>
      </c>
      <c r="U44" s="705">
        <f t="shared" si="11"/>
        <v>100</v>
      </c>
      <c r="V44" s="704" t="s">
        <v>14</v>
      </c>
      <c r="W44" s="705">
        <f t="shared" si="12"/>
        <v>100</v>
      </c>
      <c r="X44" s="1352"/>
      <c r="Y44" s="3700"/>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0"/>
      <c r="Q45" s="1349">
        <f t="shared" si="14"/>
        <v>111</v>
      </c>
      <c r="R45" s="707" t="s">
        <v>14</v>
      </c>
      <c r="S45" s="708">
        <f t="shared" si="10"/>
        <v>100</v>
      </c>
      <c r="T45" s="707" t="s">
        <v>14</v>
      </c>
      <c r="U45" s="708">
        <f t="shared" si="11"/>
        <v>100</v>
      </c>
      <c r="V45" s="707" t="s">
        <v>14</v>
      </c>
      <c r="W45" s="708">
        <f t="shared" si="12"/>
        <v>100</v>
      </c>
      <c r="X45" s="709"/>
      <c r="Y45" s="3700"/>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696" t="str">
        <f>A46</f>
        <v>成交单价</v>
      </c>
      <c r="Q46" s="3696"/>
      <c r="R46" s="3701">
        <f>E46</f>
        <v>22464</v>
      </c>
      <c r="S46" s="3701"/>
      <c r="T46" s="3701">
        <f>G46</f>
        <v>22029</v>
      </c>
      <c r="U46" s="3701"/>
      <c r="V46" s="3701">
        <f>I46</f>
        <v>24530</v>
      </c>
      <c r="W46" s="3701"/>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696" t="str">
        <f>A47</f>
        <v>比较价值（元/平方米）</v>
      </c>
      <c r="Q47" s="3696"/>
      <c r="R47" s="3689">
        <f>ROUND(PRODUCT(R46,AA7:AA45),0)</f>
        <v>21183</v>
      </c>
      <c r="S47" s="3689"/>
      <c r="T47" s="3689">
        <f>ROUND(PRODUCT(T46,AB7:AB45),0)</f>
        <v>18632</v>
      </c>
      <c r="U47" s="3689"/>
      <c r="V47" s="3689">
        <f>ROUND(PRODUCT(V46,AC7:AC45),0)</f>
        <v>19856</v>
      </c>
      <c r="W47" s="3689"/>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690" t="str">
        <f>A48</f>
        <v>估价对象XX用房的比较价值（楼面单价，元/平方米）</v>
      </c>
      <c r="Q48" s="3691"/>
      <c r="R48" s="3692">
        <f>ROUND(IF(D47="简单平均",AVERAGE(R47:W47),R47*F47+T47*H47+V47*J47),0)</f>
        <v>19890</v>
      </c>
      <c r="S48" s="3692"/>
      <c r="T48" s="3692"/>
      <c r="U48" s="3692"/>
      <c r="V48" s="3692"/>
      <c r="W48" s="3692"/>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693" t="s">
        <v>1885</v>
      </c>
      <c r="H55" s="3694"/>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695"/>
      <c r="H56" s="3696"/>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3576</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3585</v>
      </c>
      <c r="D107" s="3470" t="s">
        <v>3586</v>
      </c>
      <c r="E107" s="3470" t="s">
        <v>3587</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3588</v>
      </c>
      <c r="D118" s="3470" t="s">
        <v>3590</v>
      </c>
      <c r="E118" s="3470" t="s">
        <v>3591</v>
      </c>
      <c r="F118" s="3470" t="s">
        <v>3592</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3593</v>
      </c>
      <c r="D122" s="3469" t="s">
        <v>3595</v>
      </c>
      <c r="E122" s="3469" t="s">
        <v>3597</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3598</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D34" sqref="D3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91286</v>
      </c>
      <c r="C2" s="276" t="s">
        <v>1593</v>
      </c>
      <c r="D2" s="276"/>
      <c r="E2" s="2801"/>
      <c r="F2" s="2801"/>
      <c r="G2" s="2801"/>
      <c r="H2" s="2801"/>
      <c r="I2" s="2801"/>
      <c r="J2" s="2801"/>
      <c r="K2" s="2801"/>
    </row>
    <row r="3" spans="1:33" ht="18" customHeight="1" thickBot="1">
      <c r="A3" s="203" t="s">
        <v>1462</v>
      </c>
      <c r="B3" s="204">
        <f ca="1">ROUND(B2*10000/IF(C1="",'数据-汇总表'!E3,INDIRECT("'数据-取费表'!K"&amp;$K$1)),0)</f>
        <v>21199</v>
      </c>
      <c r="C3" s="276" t="s">
        <v>1594</v>
      </c>
      <c r="D3" s="276"/>
      <c r="E3" s="2801"/>
      <c r="F3" s="2801"/>
      <c r="G3" s="2801"/>
      <c r="H3" s="2801"/>
      <c r="I3" s="2801"/>
      <c r="J3" s="2801"/>
      <c r="K3" s="2801"/>
    </row>
    <row r="4" spans="1:33" s="784" customFormat="1" ht="16.5" customHeight="1">
      <c r="A4" s="781" t="s">
        <v>1595</v>
      </c>
      <c r="B4" s="782"/>
      <c r="C4" s="823">
        <f ca="1">SUM(C8:K8)</f>
        <v>122881</v>
      </c>
      <c r="D4" s="782"/>
      <c r="E4" s="782"/>
      <c r="F4" s="782"/>
      <c r="G4" s="782"/>
      <c r="H4" s="782"/>
      <c r="I4" s="782"/>
      <c r="J4" s="782"/>
      <c r="K4" s="783"/>
    </row>
    <row r="5" spans="1:33" s="788" customFormat="1" ht="15">
      <c r="A5" s="785" t="s">
        <v>1596</v>
      </c>
      <c r="B5" s="786" t="s">
        <v>1597</v>
      </c>
      <c r="C5" s="1857" t="s">
        <v>3385</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34903</v>
      </c>
      <c r="D6" s="790">
        <f ca="1">收益法!B2</f>
        <v>2872</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120009</v>
      </c>
      <c r="D8" s="824">
        <f ca="1">收益法!B2</f>
        <v>2872</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8518</v>
      </c>
      <c r="D11" s="801"/>
      <c r="E11" s="329"/>
      <c r="F11" s="811">
        <f ca="1">1-IF('数据-取费表'!B24=0,1,IF(C1="",'数据-取费表'!N16,INDIRECT("'数据-取费表'!n"&amp;$K$1)))</f>
        <v>0.51</v>
      </c>
      <c r="G11" s="5"/>
      <c r="H11" s="796"/>
      <c r="I11" s="796"/>
      <c r="J11" s="796"/>
      <c r="K11" s="797"/>
    </row>
    <row r="12" spans="1:33" s="802" customFormat="1" ht="13.5" customHeight="1">
      <c r="A12" s="799" t="s">
        <v>636</v>
      </c>
      <c r="B12" s="800" t="s">
        <v>1611</v>
      </c>
      <c r="C12" s="21">
        <f ca="1">ROUND(C11*F12,0)</f>
        <v>426</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351</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439</v>
      </c>
      <c r="D14" s="845">
        <f ca="1">IF(C1="",'数据-汇总表'!E3,INDIRECT("'数据-取费表'!K"&amp;$K$1)+INDIRECT("'数据-取费表'!S"&amp;$K$1))</f>
        <v>43061.14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128</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9862</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43061.14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165</v>
      </c>
      <c r="D20" s="845">
        <f ca="1">IF(C1="",'数据-汇总表'!E6,IF(INDIRECT("'数据-取费表'!c"&amp;$K$1)="住宅",INDIRECT("'数据-取费表'!s"&amp;$K$1),INDIRECT("'数据-取费表'!k"&amp;$K$1)+INDIRECT("'数据-取费表'!s"&amp;$K$1)))</f>
        <v>8677.7000000000044</v>
      </c>
      <c r="E20" s="21">
        <f>'数据-取费表'!B28</f>
        <v>190</v>
      </c>
      <c r="F20" s="803"/>
      <c r="G20" s="12"/>
      <c r="H20" s="808"/>
      <c r="I20" s="808"/>
      <c r="J20" s="808"/>
      <c r="K20" s="809"/>
    </row>
    <row r="21" spans="1:33" s="802" customFormat="1" ht="13.5" customHeight="1">
      <c r="A21" s="789" t="s">
        <v>357</v>
      </c>
      <c r="B21" s="812" t="s">
        <v>1626</v>
      </c>
      <c r="C21" s="813">
        <f ca="1">C16+C17+C18</f>
        <v>9862</v>
      </c>
      <c r="D21" s="814"/>
      <c r="E21" s="281"/>
      <c r="F21" s="281"/>
      <c r="G21" s="131" t="s">
        <v>1627</v>
      </c>
      <c r="H21" s="806"/>
      <c r="I21" s="806"/>
      <c r="J21" s="806"/>
      <c r="K21" s="807"/>
    </row>
    <row r="22" spans="1:33" s="802" customFormat="1" ht="13.5" customHeight="1">
      <c r="A22" s="789" t="s">
        <v>1599</v>
      </c>
      <c r="B22" s="812" t="s">
        <v>1628</v>
      </c>
      <c r="C22" s="813">
        <f ca="1">ROUND(C21*F22,0)</f>
        <v>197</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1253</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197</v>
      </c>
      <c r="D25" s="280">
        <f ca="1">C26</f>
        <v>3.6200000000000003E-2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3.6200000000000003E-2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197</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1471</v>
      </c>
      <c r="D28" s="280">
        <f ca="1">C29</f>
        <v>6.8199999999999997E-2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6.8199999999999997E-2</v>
      </c>
      <c r="D29" s="284"/>
      <c r="E29" s="285"/>
      <c r="F29" s="290"/>
      <c r="G29" s="131" t="s">
        <v>1642</v>
      </c>
      <c r="H29" s="806"/>
      <c r="I29" s="806"/>
      <c r="J29" s="806"/>
      <c r="K29" s="807"/>
    </row>
    <row r="30" spans="1:33" s="291" customFormat="1" ht="13.5" customHeight="1">
      <c r="A30" s="799" t="s">
        <v>359</v>
      </c>
      <c r="B30" s="821" t="s">
        <v>1643</v>
      </c>
      <c r="C30" s="292">
        <f ca="1">ROUND((C21+C22+C23)*F28,0)</f>
        <v>1471</v>
      </c>
      <c r="D30" s="284"/>
      <c r="E30" s="285"/>
      <c r="F30" s="290"/>
      <c r="G30" s="131"/>
      <c r="H30" s="806"/>
      <c r="I30" s="806"/>
      <c r="J30" s="806"/>
      <c r="K30" s="807"/>
    </row>
    <row r="31" spans="1:33" s="802" customFormat="1" ht="13.5" customHeight="1" thickBot="1">
      <c r="A31" s="1863" t="s">
        <v>1644</v>
      </c>
      <c r="B31" s="832" t="s">
        <v>1645</v>
      </c>
      <c r="C31" s="833">
        <f ca="1">ROUND(C4*F31/(1+'数据-取费表'!C42),0)</f>
        <v>6437</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91286</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zoomScaleSheetLayoutView="80" workbookViewId="0">
      <selection activeCell="N24" sqref="N2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3385</v>
      </c>
      <c r="E1" s="3421" t="s">
        <v>4078</v>
      </c>
      <c r="F1" s="1876" t="s">
        <v>3397</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120009</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34903</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693" t="s">
        <v>1665</v>
      </c>
      <c r="D4" s="3705"/>
      <c r="E4" s="3706" t="s">
        <v>1666</v>
      </c>
      <c r="F4" s="3707"/>
      <c r="G4" s="3693" t="s">
        <v>1667</v>
      </c>
      <c r="H4" s="3705"/>
      <c r="I4" s="3693" t="s">
        <v>1668</v>
      </c>
      <c r="J4" s="3705"/>
      <c r="K4" s="1886" t="s">
        <v>1669</v>
      </c>
      <c r="L4" s="2710"/>
      <c r="M4" s="2711"/>
      <c r="N4" s="2711"/>
      <c r="O4" s="2711"/>
      <c r="P4" s="3708" t="s">
        <v>1670</v>
      </c>
      <c r="Q4" s="3709"/>
      <c r="R4" s="3714" t="s">
        <v>1666</v>
      </c>
      <c r="S4" s="3715"/>
      <c r="T4" s="3714" t="s">
        <v>1667</v>
      </c>
      <c r="U4" s="3715"/>
      <c r="V4" s="3701" t="s">
        <v>1668</v>
      </c>
      <c r="W4" s="3701"/>
      <c r="X4" s="1352"/>
      <c r="Y4" s="3714" t="s">
        <v>1670</v>
      </c>
      <c r="Z4" s="3715"/>
      <c r="AA4" s="3702" t="s">
        <v>1666</v>
      </c>
      <c r="AB4" s="3702" t="s">
        <v>1667</v>
      </c>
      <c r="AC4" s="3702" t="s">
        <v>1668</v>
      </c>
    </row>
    <row r="5" spans="1:29" ht="15">
      <c r="A5" s="358"/>
      <c r="B5" s="359"/>
      <c r="C5" s="3722" t="s">
        <v>1671</v>
      </c>
      <c r="D5" s="3723"/>
      <c r="E5" s="3740" t="s">
        <v>3402</v>
      </c>
      <c r="F5" s="3730"/>
      <c r="G5" s="3739" t="s">
        <v>3425</v>
      </c>
      <c r="H5" s="3723"/>
      <c r="I5" s="3739" t="s">
        <v>3426</v>
      </c>
      <c r="J5" s="3723"/>
      <c r="K5" s="1887"/>
      <c r="L5" s="2710"/>
      <c r="M5" s="2711"/>
      <c r="N5" s="2711"/>
      <c r="O5" s="2711"/>
      <c r="P5" s="3710"/>
      <c r="Q5" s="3711"/>
      <c r="R5" s="3716"/>
      <c r="S5" s="3717"/>
      <c r="T5" s="3716"/>
      <c r="U5" s="3717"/>
      <c r="V5" s="3701"/>
      <c r="W5" s="3701"/>
      <c r="X5" s="1352"/>
      <c r="Y5" s="3716"/>
      <c r="Z5" s="3717"/>
      <c r="AA5" s="3703"/>
      <c r="AB5" s="3703"/>
      <c r="AC5" s="3703"/>
    </row>
    <row r="6" spans="1:29" ht="15.75" thickBot="1">
      <c r="A6" s="360"/>
      <c r="B6" s="361"/>
      <c r="C6" s="3720" t="s">
        <v>1675</v>
      </c>
      <c r="D6" s="3721"/>
      <c r="E6" s="3727" t="s">
        <v>1675</v>
      </c>
      <c r="F6" s="3728"/>
      <c r="G6" s="3720" t="s">
        <v>1675</v>
      </c>
      <c r="H6" s="3721"/>
      <c r="I6" s="3720" t="s">
        <v>1675</v>
      </c>
      <c r="J6" s="3721"/>
      <c r="K6" s="1887" t="s">
        <v>1676</v>
      </c>
      <c r="L6" s="2710"/>
      <c r="M6" s="2711"/>
      <c r="N6" s="2711"/>
      <c r="O6" s="2711"/>
      <c r="P6" s="3712"/>
      <c r="Q6" s="3713"/>
      <c r="R6" s="3716"/>
      <c r="S6" s="3717"/>
      <c r="T6" s="3718"/>
      <c r="U6" s="3719"/>
      <c r="V6" s="3701"/>
      <c r="W6" s="3701"/>
      <c r="X6" s="1352"/>
      <c r="Y6" s="3718"/>
      <c r="Z6" s="3719"/>
      <c r="AA6" s="3704"/>
      <c r="AB6" s="3704"/>
      <c r="AC6" s="3704"/>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24" t="s">
        <v>1678</v>
      </c>
      <c r="Q7" s="3726"/>
      <c r="R7" s="700" t="s">
        <v>20</v>
      </c>
      <c r="S7" s="701">
        <f t="shared" ref="S7:S15" si="0">F7</f>
        <v>100</v>
      </c>
      <c r="T7" s="700" t="s">
        <v>20</v>
      </c>
      <c r="U7" s="701">
        <f t="shared" ref="U7:U15" si="1">H7</f>
        <v>100</v>
      </c>
      <c r="V7" s="700" t="s">
        <v>20</v>
      </c>
      <c r="W7" s="701">
        <f t="shared" ref="W7:W15" si="2">J7</f>
        <v>100</v>
      </c>
      <c r="X7" s="702"/>
      <c r="Y7" s="3724" t="s">
        <v>1678</v>
      </c>
      <c r="Z7" s="3725"/>
      <c r="AA7" s="703">
        <f>D7/F7</f>
        <v>1</v>
      </c>
      <c r="AB7" s="703">
        <f>D7/H7</f>
        <v>1</v>
      </c>
      <c r="AC7" s="703">
        <f>D7/J7</f>
        <v>1</v>
      </c>
    </row>
    <row r="8" spans="1:29" s="108" customFormat="1" ht="15.75" thickBot="1">
      <c r="A8" s="362" t="s">
        <v>1679</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88"/>
      <c r="L8" s="2712"/>
      <c r="M8" s="2713"/>
      <c r="N8" s="2713"/>
      <c r="O8" s="2713"/>
      <c r="P8" s="3724" t="s">
        <v>1681</v>
      </c>
      <c r="Q8" s="3725"/>
      <c r="R8" s="700" t="s">
        <v>20</v>
      </c>
      <c r="S8" s="701">
        <f t="shared" si="0"/>
        <v>100</v>
      </c>
      <c r="T8" s="700" t="s">
        <v>20</v>
      </c>
      <c r="U8" s="701">
        <f t="shared" si="1"/>
        <v>100</v>
      </c>
      <c r="V8" s="700" t="s">
        <v>20</v>
      </c>
      <c r="W8" s="701">
        <f t="shared" si="2"/>
        <v>100</v>
      </c>
      <c r="X8" s="702"/>
      <c r="Y8" s="3724" t="s">
        <v>1681</v>
      </c>
      <c r="Z8" s="3725"/>
      <c r="AA8" s="703">
        <f t="shared" ref="AA8:AA19" si="3">D8/F8</f>
        <v>1</v>
      </c>
      <c r="AB8" s="703">
        <f t="shared" ref="AB8:AB19" si="4">D8/H8</f>
        <v>1</v>
      </c>
      <c r="AC8" s="703">
        <f t="shared" ref="AC8:AC19" si="5">D8/J8</f>
        <v>1</v>
      </c>
    </row>
    <row r="9" spans="1:29" s="108" customFormat="1">
      <c r="A9" s="369" t="s">
        <v>1682</v>
      </c>
      <c r="B9" s="63" t="s">
        <v>1683</v>
      </c>
      <c r="C9" s="3467" t="s">
        <v>3399</v>
      </c>
      <c r="D9" s="126">
        <v>100</v>
      </c>
      <c r="E9" s="371" t="s">
        <v>3385</v>
      </c>
      <c r="F9" s="372">
        <f>SUMIF(63:63,E9,64:64)-SUMIF(63:63,C9,64:64)+100</f>
        <v>100</v>
      </c>
      <c r="G9" s="371" t="s">
        <v>3385</v>
      </c>
      <c r="H9" s="126">
        <f>SUMIF(63:63,G9,64:64)-SUMIF(63:63,C9,64:64)+100</f>
        <v>100</v>
      </c>
      <c r="I9" s="371" t="s">
        <v>3385</v>
      </c>
      <c r="J9" s="126">
        <f>SUMIF(63:63,I9,64:64)-SUMIF(63:63,C9,64:64)+100</f>
        <v>100</v>
      </c>
      <c r="K9" s="1888"/>
      <c r="L9" s="2712"/>
      <c r="M9" s="2713"/>
      <c r="N9" s="2713"/>
      <c r="O9" s="2713"/>
      <c r="P9" s="3695"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703">
        <f t="shared" si="5"/>
        <v>1</v>
      </c>
    </row>
    <row r="10" spans="1:29" s="378" customFormat="1" ht="27">
      <c r="A10" s="374"/>
      <c r="B10" s="375" t="s">
        <v>1686</v>
      </c>
      <c r="C10" s="3429" t="s">
        <v>3401</v>
      </c>
      <c r="D10" s="127">
        <v>100</v>
      </c>
      <c r="E10" s="3429" t="s">
        <v>3401</v>
      </c>
      <c r="F10" s="376">
        <f>SUMIF(65:65,E10,66:66)-SUMIF(65:65,C10,66:66)+100</f>
        <v>100</v>
      </c>
      <c r="G10" s="3429" t="s">
        <v>3401</v>
      </c>
      <c r="H10" s="127">
        <f>SUMIF(65:65,G10,66:66)-SUMIF(65:65,C10,66:66)+100</f>
        <v>100</v>
      </c>
      <c r="I10" s="3429" t="s">
        <v>3427</v>
      </c>
      <c r="J10" s="127">
        <f>SUMIF(65:65,I10,66:66)-SUMIF(65:65,C10,66:66)+100</f>
        <v>98</v>
      </c>
      <c r="K10" s="1888"/>
      <c r="L10" s="2714"/>
      <c r="M10" s="2715"/>
      <c r="N10" s="2715"/>
      <c r="O10" s="2715"/>
      <c r="P10" s="3695"/>
      <c r="Q10" s="1340" t="str">
        <f t="shared" si="6"/>
        <v>土地使用年限（年）</v>
      </c>
      <c r="R10" s="700" t="s">
        <v>14</v>
      </c>
      <c r="S10" s="701">
        <f t="shared" si="0"/>
        <v>100</v>
      </c>
      <c r="T10" s="700" t="s">
        <v>14</v>
      </c>
      <c r="U10" s="701">
        <f t="shared" si="1"/>
        <v>100</v>
      </c>
      <c r="V10" s="700" t="s">
        <v>14</v>
      </c>
      <c r="W10" s="701">
        <f t="shared" si="2"/>
        <v>98</v>
      </c>
      <c r="X10" s="702"/>
      <c r="Y10" s="3593"/>
      <c r="Z10" s="52" t="str">
        <f t="shared" si="7"/>
        <v>土地使用年限（年）</v>
      </c>
      <c r="AA10" s="703">
        <f t="shared" si="3"/>
        <v>1</v>
      </c>
      <c r="AB10" s="703">
        <f t="shared" si="4"/>
        <v>1</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5"/>
      <c r="Q11" s="1340" t="str">
        <f t="shared" si="6"/>
        <v>容积率</v>
      </c>
      <c r="R11" s="700" t="s">
        <v>18</v>
      </c>
      <c r="S11" s="701">
        <f t="shared" si="0"/>
        <v>100</v>
      </c>
      <c r="T11" s="700" t="s">
        <v>18</v>
      </c>
      <c r="U11" s="701">
        <f t="shared" si="1"/>
        <v>100</v>
      </c>
      <c r="V11" s="700" t="s">
        <v>18</v>
      </c>
      <c r="W11" s="701">
        <f t="shared" si="2"/>
        <v>100</v>
      </c>
      <c r="X11" s="702"/>
      <c r="Y11" s="3593"/>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695"/>
      <c r="Q12" s="1340">
        <f t="shared" si="6"/>
        <v>111</v>
      </c>
      <c r="R12" s="700" t="s">
        <v>18</v>
      </c>
      <c r="S12" s="701">
        <f t="shared" si="0"/>
        <v>100</v>
      </c>
      <c r="T12" s="700" t="s">
        <v>18</v>
      </c>
      <c r="U12" s="701">
        <f t="shared" si="1"/>
        <v>100</v>
      </c>
      <c r="V12" s="700" t="s">
        <v>18</v>
      </c>
      <c r="W12" s="701">
        <f t="shared" si="2"/>
        <v>100</v>
      </c>
      <c r="X12" s="702"/>
      <c r="Y12" s="359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695"/>
      <c r="Q13" s="1340">
        <f t="shared" si="6"/>
        <v>111</v>
      </c>
      <c r="R13" s="700" t="s">
        <v>18</v>
      </c>
      <c r="S13" s="701">
        <f t="shared" si="0"/>
        <v>100</v>
      </c>
      <c r="T13" s="700" t="s">
        <v>18</v>
      </c>
      <c r="U13" s="701">
        <f t="shared" si="1"/>
        <v>100</v>
      </c>
      <c r="V13" s="700" t="s">
        <v>18</v>
      </c>
      <c r="W13" s="701">
        <f t="shared" si="2"/>
        <v>100</v>
      </c>
      <c r="X13" s="702"/>
      <c r="Y13" s="3593"/>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695"/>
      <c r="Q14" s="1340">
        <f t="shared" si="6"/>
        <v>111</v>
      </c>
      <c r="R14" s="700" t="s">
        <v>18</v>
      </c>
      <c r="S14" s="701">
        <f t="shared" si="0"/>
        <v>100</v>
      </c>
      <c r="T14" s="700" t="s">
        <v>18</v>
      </c>
      <c r="U14" s="701">
        <f t="shared" si="1"/>
        <v>100</v>
      </c>
      <c r="V14" s="700" t="s">
        <v>18</v>
      </c>
      <c r="W14" s="701">
        <f t="shared" si="2"/>
        <v>100</v>
      </c>
      <c r="X14" s="702"/>
      <c r="Y14" s="3593"/>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37" t="s">
        <v>1689</v>
      </c>
      <c r="Q15" s="1349" t="str">
        <f t="shared" si="6"/>
        <v>居住社区成熟度</v>
      </c>
      <c r="R15" s="704" t="s">
        <v>18</v>
      </c>
      <c r="S15" s="705">
        <f t="shared" si="0"/>
        <v>100</v>
      </c>
      <c r="T15" s="704" t="s">
        <v>18</v>
      </c>
      <c r="U15" s="705">
        <f t="shared" si="1"/>
        <v>100</v>
      </c>
      <c r="V15" s="704" t="s">
        <v>18</v>
      </c>
      <c r="W15" s="705">
        <f t="shared" si="2"/>
        <v>100</v>
      </c>
      <c r="X15" s="1352"/>
      <c r="Y15" s="3697" t="s">
        <v>1689</v>
      </c>
      <c r="Z15" s="1353" t="str">
        <f t="shared" si="7"/>
        <v>居住社区成熟度</v>
      </c>
      <c r="AA15" s="1350">
        <f t="shared" si="3"/>
        <v>1</v>
      </c>
      <c r="AB15" s="1350">
        <f t="shared" si="4"/>
        <v>1</v>
      </c>
      <c r="AC15" s="1350">
        <f t="shared" si="5"/>
        <v>1</v>
      </c>
    </row>
    <row r="16" spans="1:29" ht="15">
      <c r="A16" s="379"/>
      <c r="B16" s="397"/>
      <c r="C16" s="398" t="s">
        <v>3404</v>
      </c>
      <c r="D16" s="399"/>
      <c r="E16" s="398" t="s">
        <v>3404</v>
      </c>
      <c r="F16" s="399"/>
      <c r="G16" s="1894" t="s">
        <v>3404</v>
      </c>
      <c r="H16" s="401"/>
      <c r="I16" s="1894" t="s">
        <v>3404</v>
      </c>
      <c r="J16" s="399"/>
      <c r="K16" s="1895"/>
      <c r="L16" s="2717"/>
      <c r="M16" s="2711"/>
      <c r="N16" s="2711"/>
      <c r="O16" s="2711"/>
      <c r="P16" s="3738"/>
      <c r="Q16" s="1349"/>
      <c r="R16" s="704"/>
      <c r="S16" s="705"/>
      <c r="T16" s="704"/>
      <c r="U16" s="705"/>
      <c r="V16" s="704"/>
      <c r="W16" s="705"/>
      <c r="X16" s="1352"/>
      <c r="Y16" s="3698"/>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38"/>
      <c r="Q17" s="1349" t="str">
        <f>B17</f>
        <v>交通便捷度</v>
      </c>
      <c r="R17" s="704" t="s">
        <v>18</v>
      </c>
      <c r="S17" s="705">
        <f>F17</f>
        <v>100</v>
      </c>
      <c r="T17" s="704" t="s">
        <v>18</v>
      </c>
      <c r="U17" s="705">
        <f>H17</f>
        <v>100</v>
      </c>
      <c r="V17" s="704" t="s">
        <v>18</v>
      </c>
      <c r="W17" s="705">
        <f>J17</f>
        <v>100</v>
      </c>
      <c r="X17" s="1352"/>
      <c r="Y17" s="3698"/>
      <c r="Z17" s="1353" t="str">
        <f>Q17</f>
        <v>交通便捷度</v>
      </c>
      <c r="AA17" s="1350">
        <f t="shared" si="3"/>
        <v>1</v>
      </c>
      <c r="AB17" s="1350">
        <f t="shared" si="4"/>
        <v>1</v>
      </c>
      <c r="AC17" s="1350">
        <f t="shared" si="5"/>
        <v>1</v>
      </c>
    </row>
    <row r="18" spans="1:29" ht="15">
      <c r="A18" s="379"/>
      <c r="B18" s="407"/>
      <c r="C18" s="1897" t="s">
        <v>3403</v>
      </c>
      <c r="D18" s="401"/>
      <c r="E18" s="1897" t="s">
        <v>3403</v>
      </c>
      <c r="F18" s="401"/>
      <c r="G18" s="1899" t="s">
        <v>3403</v>
      </c>
      <c r="H18" s="399"/>
      <c r="I18" s="1899" t="s">
        <v>3403</v>
      </c>
      <c r="J18" s="399"/>
      <c r="K18" s="1895"/>
      <c r="L18" s="2717"/>
      <c r="M18" s="2711"/>
      <c r="N18" s="2711"/>
      <c r="O18" s="2711"/>
      <c r="P18" s="3738"/>
      <c r="Q18" s="1349"/>
      <c r="R18" s="704"/>
      <c r="S18" s="705"/>
      <c r="T18" s="704"/>
      <c r="U18" s="705"/>
      <c r="V18" s="704"/>
      <c r="W18" s="705"/>
      <c r="X18" s="1352"/>
      <c r="Y18" s="3698"/>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38"/>
      <c r="Q19" s="1349" t="str">
        <f>B19</f>
        <v>公共配套设施</v>
      </c>
      <c r="R19" s="704" t="s">
        <v>18</v>
      </c>
      <c r="S19" s="705">
        <f>F19</f>
        <v>100</v>
      </c>
      <c r="T19" s="704" t="s">
        <v>18</v>
      </c>
      <c r="U19" s="705">
        <f>H19</f>
        <v>100</v>
      </c>
      <c r="V19" s="704" t="s">
        <v>18</v>
      </c>
      <c r="W19" s="705">
        <f>J19</f>
        <v>100</v>
      </c>
      <c r="X19" s="1352"/>
      <c r="Y19" s="3698"/>
      <c r="Z19" s="1353" t="str">
        <f>Q19</f>
        <v>公共配套设施</v>
      </c>
      <c r="AA19" s="1350">
        <f t="shared" si="3"/>
        <v>1</v>
      </c>
      <c r="AB19" s="1350">
        <f t="shared" si="4"/>
        <v>1</v>
      </c>
      <c r="AC19" s="1350">
        <f t="shared" si="5"/>
        <v>1</v>
      </c>
    </row>
    <row r="20" spans="1:29" ht="15">
      <c r="A20" s="379"/>
      <c r="B20" s="407"/>
      <c r="C20" s="398" t="s">
        <v>3403</v>
      </c>
      <c r="D20" s="399"/>
      <c r="E20" s="398" t="s">
        <v>3403</v>
      </c>
      <c r="F20" s="399"/>
      <c r="G20" s="1894" t="s">
        <v>3403</v>
      </c>
      <c r="H20" s="399"/>
      <c r="I20" s="1894" t="s">
        <v>3403</v>
      </c>
      <c r="J20" s="399"/>
      <c r="K20" s="1895"/>
      <c r="L20" s="2717"/>
      <c r="M20" s="2711"/>
      <c r="N20" s="2711"/>
      <c r="O20" s="2711"/>
      <c r="P20" s="3738"/>
      <c r="Q20" s="1349"/>
      <c r="R20" s="704"/>
      <c r="S20" s="705"/>
      <c r="T20" s="704"/>
      <c r="U20" s="705"/>
      <c r="V20" s="704"/>
      <c r="W20" s="705"/>
      <c r="X20" s="1352"/>
      <c r="Y20" s="3698"/>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38"/>
      <c r="Q21" s="1349" t="str">
        <f>B21</f>
        <v>基础设施水平</v>
      </c>
      <c r="R21" s="704" t="s">
        <v>14</v>
      </c>
      <c r="S21" s="705">
        <f>F21</f>
        <v>100</v>
      </c>
      <c r="T21" s="704" t="s">
        <v>14</v>
      </c>
      <c r="U21" s="705">
        <f>H21</f>
        <v>100</v>
      </c>
      <c r="V21" s="704" t="s">
        <v>14</v>
      </c>
      <c r="W21" s="705">
        <f>J21</f>
        <v>100</v>
      </c>
      <c r="X21" s="1352"/>
      <c r="Y21" s="3698"/>
      <c r="Z21" s="1353" t="str">
        <f>Q21</f>
        <v>基础设施水平</v>
      </c>
      <c r="AA21" s="1350">
        <f t="shared" ref="AA21" si="8">D21/F21</f>
        <v>1</v>
      </c>
      <c r="AB21" s="1350">
        <f t="shared" ref="AB21" si="9">D21/H21</f>
        <v>1</v>
      </c>
      <c r="AC21" s="1350">
        <f t="shared" ref="AC21" si="10">D21/J21</f>
        <v>1</v>
      </c>
    </row>
    <row r="22" spans="1:29" ht="15">
      <c r="A22" s="379"/>
      <c r="B22" s="1129"/>
      <c r="C22" s="1897" t="s">
        <v>3405</v>
      </c>
      <c r="D22" s="399"/>
      <c r="E22" s="1897" t="s">
        <v>3405</v>
      </c>
      <c r="F22" s="399"/>
      <c r="G22" s="1897" t="s">
        <v>3405</v>
      </c>
      <c r="H22" s="399"/>
      <c r="I22" s="1897" t="s">
        <v>3405</v>
      </c>
      <c r="J22" s="399"/>
      <c r="K22" s="1901"/>
      <c r="L22" s="2717"/>
      <c r="M22" s="2711"/>
      <c r="N22" s="2711"/>
      <c r="O22" s="2711"/>
      <c r="P22" s="3738"/>
      <c r="Q22" s="1349"/>
      <c r="R22" s="704"/>
      <c r="S22" s="705"/>
      <c r="T22" s="704"/>
      <c r="U22" s="705"/>
      <c r="V22" s="704"/>
      <c r="W22" s="705"/>
      <c r="X22" s="1352"/>
      <c r="Y22" s="3698"/>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38"/>
      <c r="Q23" s="1349" t="str">
        <f>B23</f>
        <v>自然及人文环境</v>
      </c>
      <c r="R23" s="704" t="s">
        <v>18</v>
      </c>
      <c r="S23" s="705">
        <f>F23</f>
        <v>100</v>
      </c>
      <c r="T23" s="704" t="s">
        <v>18</v>
      </c>
      <c r="U23" s="705">
        <f>H23</f>
        <v>100</v>
      </c>
      <c r="V23" s="704" t="s">
        <v>18</v>
      </c>
      <c r="W23" s="705">
        <f>J23</f>
        <v>100</v>
      </c>
      <c r="X23" s="1352"/>
      <c r="Y23" s="3698"/>
      <c r="Z23" s="1353" t="str">
        <f>Q23</f>
        <v>自然及人文环境</v>
      </c>
      <c r="AA23" s="1350">
        <f>D23/F23</f>
        <v>1</v>
      </c>
      <c r="AB23" s="1350">
        <f>D23/H23</f>
        <v>1</v>
      </c>
      <c r="AC23" s="1350">
        <f>D23/J23</f>
        <v>1</v>
      </c>
    </row>
    <row r="24" spans="1:29" ht="15">
      <c r="A24" s="379"/>
      <c r="B24" s="407"/>
      <c r="C24" s="398" t="s">
        <v>3403</v>
      </c>
      <c r="D24" s="399"/>
      <c r="E24" s="398" t="s">
        <v>3403</v>
      </c>
      <c r="F24" s="399"/>
      <c r="G24" s="1894" t="s">
        <v>3403</v>
      </c>
      <c r="H24" s="399"/>
      <c r="I24" s="1894" t="s">
        <v>3403</v>
      </c>
      <c r="J24" s="399"/>
      <c r="K24" s="1895"/>
      <c r="L24" s="2717"/>
      <c r="M24" s="2711"/>
      <c r="N24" s="2711"/>
      <c r="O24" s="2711"/>
      <c r="P24" s="3738"/>
      <c r="Q24" s="1349"/>
      <c r="R24" s="704"/>
      <c r="S24" s="705"/>
      <c r="T24" s="704"/>
      <c r="U24" s="705"/>
      <c r="V24" s="704"/>
      <c r="W24" s="705"/>
      <c r="X24" s="1352"/>
      <c r="Y24" s="3698"/>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38"/>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698"/>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38"/>
      <c r="Q26" s="1349" t="str">
        <f t="shared" si="11"/>
        <v>朝向</v>
      </c>
      <c r="R26" s="704" t="s">
        <v>18</v>
      </c>
      <c r="S26" s="705">
        <f t="shared" si="12"/>
        <v>100</v>
      </c>
      <c r="T26" s="704" t="s">
        <v>18</v>
      </c>
      <c r="U26" s="705">
        <f t="shared" si="13"/>
        <v>100</v>
      </c>
      <c r="V26" s="704" t="s">
        <v>18</v>
      </c>
      <c r="W26" s="705">
        <f t="shared" si="14"/>
        <v>100</v>
      </c>
      <c r="X26" s="1352"/>
      <c r="Y26" s="3698"/>
      <c r="Z26" s="1353" t="str">
        <f>Q26</f>
        <v>朝向</v>
      </c>
      <c r="AA26" s="1350">
        <f t="shared" si="15"/>
        <v>1</v>
      </c>
      <c r="AB26" s="1350">
        <f t="shared" si="16"/>
        <v>1</v>
      </c>
      <c r="AC26" s="1350">
        <f t="shared" si="17"/>
        <v>1</v>
      </c>
    </row>
    <row r="27" spans="1:29" s="108" customFormat="1" ht="15">
      <c r="A27" s="382"/>
      <c r="B27" s="3471" t="s">
        <v>3601</v>
      </c>
      <c r="C27" s="3479" t="s">
        <v>3602</v>
      </c>
      <c r="D27" s="413">
        <v>100</v>
      </c>
      <c r="E27" s="3479" t="s">
        <v>3602</v>
      </c>
      <c r="F27" s="413">
        <f>SUMIF(90:90,E27,91:91)-SUMIF(90:90,C27,91:91)+100</f>
        <v>100</v>
      </c>
      <c r="G27" s="3479" t="s">
        <v>3602</v>
      </c>
      <c r="H27" s="413">
        <f>SUMIF(90:90,G27,91:91)-SUMIF(90:90,C27,91:91)+100</f>
        <v>100</v>
      </c>
      <c r="I27" s="3479" t="s">
        <v>3602</v>
      </c>
      <c r="J27" s="413">
        <f>SUMIF(90:90,I27,91:91)-SUMIF(90:90,C27,91:91)+100</f>
        <v>100</v>
      </c>
      <c r="K27" s="1890"/>
      <c r="L27" s="2712"/>
      <c r="M27" s="2713"/>
      <c r="N27" s="2713"/>
      <c r="O27" s="2713"/>
      <c r="P27" s="3738"/>
      <c r="Q27" s="1340" t="str">
        <f t="shared" si="11"/>
        <v>楼层</v>
      </c>
      <c r="R27" s="700" t="s">
        <v>18</v>
      </c>
      <c r="S27" s="701">
        <f t="shared" si="12"/>
        <v>100</v>
      </c>
      <c r="T27" s="700" t="s">
        <v>18</v>
      </c>
      <c r="U27" s="701">
        <f t="shared" si="13"/>
        <v>100</v>
      </c>
      <c r="V27" s="700" t="s">
        <v>18</v>
      </c>
      <c r="W27" s="701">
        <f t="shared" si="14"/>
        <v>100</v>
      </c>
      <c r="X27" s="702"/>
      <c r="Y27" s="3698"/>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38"/>
      <c r="Q28" s="1349">
        <f t="shared" si="11"/>
        <v>111</v>
      </c>
      <c r="R28" s="704" t="s">
        <v>18</v>
      </c>
      <c r="S28" s="705">
        <f t="shared" si="12"/>
        <v>100</v>
      </c>
      <c r="T28" s="704" t="s">
        <v>18</v>
      </c>
      <c r="U28" s="705">
        <f t="shared" si="13"/>
        <v>100</v>
      </c>
      <c r="V28" s="704" t="s">
        <v>18</v>
      </c>
      <c r="W28" s="705">
        <f t="shared" si="14"/>
        <v>100</v>
      </c>
      <c r="X28" s="1352"/>
      <c r="Y28" s="3698"/>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38"/>
      <c r="Q29" s="1349">
        <f t="shared" si="11"/>
        <v>111</v>
      </c>
      <c r="R29" s="704" t="s">
        <v>18</v>
      </c>
      <c r="S29" s="705">
        <f t="shared" si="12"/>
        <v>100</v>
      </c>
      <c r="T29" s="704" t="s">
        <v>18</v>
      </c>
      <c r="U29" s="705">
        <f t="shared" si="13"/>
        <v>100</v>
      </c>
      <c r="V29" s="704" t="s">
        <v>18</v>
      </c>
      <c r="W29" s="705">
        <f t="shared" si="14"/>
        <v>100</v>
      </c>
      <c r="X29" s="1352"/>
      <c r="Y29" s="3698"/>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38"/>
      <c r="Q30" s="1349">
        <f t="shared" si="11"/>
        <v>111</v>
      </c>
      <c r="R30" s="704" t="s">
        <v>18</v>
      </c>
      <c r="S30" s="705">
        <f t="shared" si="12"/>
        <v>100</v>
      </c>
      <c r="T30" s="704" t="s">
        <v>18</v>
      </c>
      <c r="U30" s="705">
        <f t="shared" si="13"/>
        <v>100</v>
      </c>
      <c r="V30" s="704" t="s">
        <v>18</v>
      </c>
      <c r="W30" s="705">
        <f t="shared" si="14"/>
        <v>100</v>
      </c>
      <c r="X30" s="1352"/>
      <c r="Y30" s="3698"/>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38"/>
      <c r="Q31" s="1349">
        <f t="shared" si="11"/>
        <v>111</v>
      </c>
      <c r="R31" s="704" t="s">
        <v>18</v>
      </c>
      <c r="S31" s="705">
        <f t="shared" si="12"/>
        <v>100</v>
      </c>
      <c r="T31" s="704" t="s">
        <v>18</v>
      </c>
      <c r="U31" s="705">
        <f t="shared" si="13"/>
        <v>100</v>
      </c>
      <c r="V31" s="704" t="s">
        <v>18</v>
      </c>
      <c r="W31" s="705">
        <f t="shared" si="14"/>
        <v>100</v>
      </c>
      <c r="X31" s="1352"/>
      <c r="Y31" s="3698"/>
      <c r="Z31" s="1353">
        <f t="shared" si="18"/>
        <v>111</v>
      </c>
      <c r="AA31" s="1350">
        <f t="shared" si="15"/>
        <v>1</v>
      </c>
      <c r="AB31" s="1350">
        <f t="shared" si="16"/>
        <v>1</v>
      </c>
      <c r="AC31" s="1350">
        <f t="shared" si="17"/>
        <v>1</v>
      </c>
    </row>
    <row r="32" spans="1:29" ht="15">
      <c r="A32" s="391" t="s">
        <v>1692</v>
      </c>
      <c r="B32" s="63" t="s">
        <v>1693</v>
      </c>
      <c r="C32" s="1906" t="s">
        <v>3406</v>
      </c>
      <c r="D32" s="418">
        <v>100</v>
      </c>
      <c r="E32" s="1906" t="s">
        <v>3406</v>
      </c>
      <c r="F32" s="412">
        <f>SUMIF(100:100,E32,101:101)-SUMIF(100:100,C32,101:101)+100</f>
        <v>100</v>
      </c>
      <c r="G32" s="1906" t="s">
        <v>3408</v>
      </c>
      <c r="H32" s="418">
        <f>SUMIF(100:100,G32,101:101)-SUMIF(100:100,C32,101:101)+100</f>
        <v>98</v>
      </c>
      <c r="I32" s="1907" t="s">
        <v>3408</v>
      </c>
      <c r="J32" s="386">
        <f>SUMIF(100:100,I32,101:101)-SUMIF(100:100,C32,101:101)+100</f>
        <v>98</v>
      </c>
      <c r="K32" s="377">
        <v>2</v>
      </c>
      <c r="L32" s="2717"/>
      <c r="M32" s="2711"/>
      <c r="N32" s="2711"/>
      <c r="O32" s="2711"/>
      <c r="P32" s="3733" t="s">
        <v>1694</v>
      </c>
      <c r="Q32" s="1349" t="str">
        <f t="shared" si="11"/>
        <v>建筑类型</v>
      </c>
      <c r="R32" s="704" t="s">
        <v>18</v>
      </c>
      <c r="S32" s="705">
        <f t="shared" si="12"/>
        <v>100</v>
      </c>
      <c r="T32" s="704" t="s">
        <v>18</v>
      </c>
      <c r="U32" s="705">
        <f t="shared" si="13"/>
        <v>98</v>
      </c>
      <c r="V32" s="704" t="s">
        <v>18</v>
      </c>
      <c r="W32" s="705">
        <f t="shared" si="14"/>
        <v>98</v>
      </c>
      <c r="X32" s="1352"/>
      <c r="Y32" s="3700"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4"/>
      <c r="Q33" s="706" t="str">
        <f t="shared" si="11"/>
        <v>项目建筑规模</v>
      </c>
      <c r="R33" s="707" t="s">
        <v>18</v>
      </c>
      <c r="S33" s="708">
        <f t="shared" si="12"/>
        <v>103</v>
      </c>
      <c r="T33" s="707" t="s">
        <v>18</v>
      </c>
      <c r="U33" s="708">
        <f t="shared" si="13"/>
        <v>102</v>
      </c>
      <c r="V33" s="707" t="s">
        <v>18</v>
      </c>
      <c r="W33" s="708">
        <f t="shared" si="14"/>
        <v>103</v>
      </c>
      <c r="X33" s="709"/>
      <c r="Y33" s="3700"/>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3393</v>
      </c>
      <c r="D34" s="386">
        <v>100</v>
      </c>
      <c r="E34" s="1908" t="s">
        <v>3393</v>
      </c>
      <c r="F34" s="412">
        <f>SUMIF(105:105,E34,106:106)-SUMIF(105:105,C34,106:106)+100</f>
        <v>100</v>
      </c>
      <c r="G34" s="1908" t="s">
        <v>3393</v>
      </c>
      <c r="H34" s="386">
        <f>SUMIF(105:105,G34,106:106)-SUMIF(105:105,C34,106:106)+100</f>
        <v>100</v>
      </c>
      <c r="I34" s="1908" t="s">
        <v>3393</v>
      </c>
      <c r="J34" s="386">
        <f>SUMIF(105:105,I34,106:106)-SUMIF(105:105,C34,106:106)+100</f>
        <v>100</v>
      </c>
      <c r="K34" s="377">
        <v>2</v>
      </c>
      <c r="L34" s="2717"/>
      <c r="M34" s="2711"/>
      <c r="N34" s="2711"/>
      <c r="O34" s="2711"/>
      <c r="P34" s="3734"/>
      <c r="Q34" s="1349" t="str">
        <f t="shared" si="11"/>
        <v>建筑结构</v>
      </c>
      <c r="R34" s="704" t="s">
        <v>18</v>
      </c>
      <c r="S34" s="705">
        <f t="shared" si="12"/>
        <v>100</v>
      </c>
      <c r="T34" s="704" t="s">
        <v>18</v>
      </c>
      <c r="U34" s="705">
        <f t="shared" si="13"/>
        <v>100</v>
      </c>
      <c r="V34" s="704" t="s">
        <v>18</v>
      </c>
      <c r="W34" s="705">
        <f t="shared" si="14"/>
        <v>100</v>
      </c>
      <c r="X34" s="1352"/>
      <c r="Y34" s="3700"/>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4"/>
      <c r="Q35" s="1349" t="str">
        <f t="shared" si="11"/>
        <v>建筑品质</v>
      </c>
      <c r="R35" s="704" t="s">
        <v>18</v>
      </c>
      <c r="S35" s="705">
        <f t="shared" si="12"/>
        <v>100</v>
      </c>
      <c r="T35" s="704" t="s">
        <v>18</v>
      </c>
      <c r="U35" s="705">
        <f t="shared" si="13"/>
        <v>100</v>
      </c>
      <c r="V35" s="704" t="s">
        <v>18</v>
      </c>
      <c r="W35" s="705">
        <f t="shared" si="14"/>
        <v>100</v>
      </c>
      <c r="X35" s="1352"/>
      <c r="Y35" s="3700"/>
      <c r="Z35" s="1353" t="str">
        <f t="shared" si="18"/>
        <v>建筑品质</v>
      </c>
      <c r="AA35" s="1350">
        <f t="shared" si="15"/>
        <v>1</v>
      </c>
      <c r="AB35" s="1350">
        <f t="shared" si="16"/>
        <v>1</v>
      </c>
      <c r="AC35" s="1350">
        <f t="shared" si="17"/>
        <v>1</v>
      </c>
    </row>
    <row r="36" spans="1:29" ht="15">
      <c r="A36" s="423"/>
      <c r="B36" s="375" t="s">
        <v>1698</v>
      </c>
      <c r="C36" s="1902" t="s">
        <v>3411</v>
      </c>
      <c r="D36" s="386">
        <v>100</v>
      </c>
      <c r="E36" s="1902" t="s">
        <v>3411</v>
      </c>
      <c r="F36" s="412">
        <f>SUMIF(109:109,E36,110:110)-SUMIF(109:109,C36,110:110)+100</f>
        <v>100</v>
      </c>
      <c r="G36" s="1902" t="s">
        <v>3411</v>
      </c>
      <c r="H36" s="386">
        <f>SUMIF(109:109,G36,110:110)-SUMIF(109:109,C36,110:110)+100</f>
        <v>100</v>
      </c>
      <c r="I36" s="1902" t="s">
        <v>3411</v>
      </c>
      <c r="J36" s="386">
        <f>SUMIF(109:109,I36,110:110)-SUMIF(109:109,C36,110:110)+100</f>
        <v>100</v>
      </c>
      <c r="K36" s="377">
        <v>2</v>
      </c>
      <c r="L36" s="2717"/>
      <c r="M36" s="2711"/>
      <c r="N36" s="2711"/>
      <c r="O36" s="2711"/>
      <c r="P36" s="3734"/>
      <c r="Q36" s="1349" t="str">
        <f t="shared" si="11"/>
        <v>公共部分装修</v>
      </c>
      <c r="R36" s="704" t="s">
        <v>18</v>
      </c>
      <c r="S36" s="705">
        <f t="shared" si="12"/>
        <v>100</v>
      </c>
      <c r="T36" s="704" t="s">
        <v>18</v>
      </c>
      <c r="U36" s="705">
        <f t="shared" si="13"/>
        <v>100</v>
      </c>
      <c r="V36" s="704" t="s">
        <v>18</v>
      </c>
      <c r="W36" s="705">
        <f t="shared" si="14"/>
        <v>100</v>
      </c>
      <c r="X36" s="1352"/>
      <c r="Y36" s="3700"/>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4"/>
      <c r="Q37" s="1340" t="str">
        <f t="shared" si="11"/>
        <v>成新度</v>
      </c>
      <c r="R37" s="700" t="s">
        <v>18</v>
      </c>
      <c r="S37" s="701">
        <f t="shared" si="12"/>
        <v>100</v>
      </c>
      <c r="T37" s="700" t="s">
        <v>18</v>
      </c>
      <c r="U37" s="701">
        <f t="shared" si="13"/>
        <v>100</v>
      </c>
      <c r="V37" s="700" t="s">
        <v>18</v>
      </c>
      <c r="W37" s="701">
        <f t="shared" si="14"/>
        <v>100</v>
      </c>
      <c r="X37" s="702"/>
      <c r="Y37" s="3700"/>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4" t="s">
        <v>1694</v>
      </c>
      <c r="Q38" s="1349" t="str">
        <f t="shared" si="11"/>
        <v>物业管理</v>
      </c>
      <c r="R38" s="704" t="s">
        <v>18</v>
      </c>
      <c r="S38" s="705">
        <f t="shared" si="12"/>
        <v>100</v>
      </c>
      <c r="T38" s="704" t="s">
        <v>18</v>
      </c>
      <c r="U38" s="705">
        <f t="shared" si="13"/>
        <v>100</v>
      </c>
      <c r="V38" s="704" t="s">
        <v>18</v>
      </c>
      <c r="W38" s="705">
        <f t="shared" si="14"/>
        <v>100</v>
      </c>
      <c r="X38" s="1352"/>
      <c r="Y38" s="3700" t="s">
        <v>1694</v>
      </c>
      <c r="Z38" s="1353" t="str">
        <f t="shared" si="18"/>
        <v>物业管理</v>
      </c>
      <c r="AA38" s="1350">
        <f t="shared" si="15"/>
        <v>1</v>
      </c>
      <c r="AB38" s="1350">
        <f t="shared" si="16"/>
        <v>1</v>
      </c>
      <c r="AC38" s="1350">
        <f t="shared" si="17"/>
        <v>1</v>
      </c>
    </row>
    <row r="39" spans="1:29" ht="15">
      <c r="A39" s="423"/>
      <c r="B39" s="375" t="s">
        <v>1701</v>
      </c>
      <c r="C39" s="1902" t="s">
        <v>3405</v>
      </c>
      <c r="D39" s="386">
        <v>100</v>
      </c>
      <c r="E39" s="1902" t="s">
        <v>3405</v>
      </c>
      <c r="F39" s="412">
        <f>SUMIF(116:116,E39,117:117)-SUMIF(116:116,C39,117:117)+100</f>
        <v>100</v>
      </c>
      <c r="G39" s="1902" t="s">
        <v>3405</v>
      </c>
      <c r="H39" s="386">
        <f>SUMIF(116:116,G39,117:117)-SUMIF(116:116,C39,117:117)+100</f>
        <v>100</v>
      </c>
      <c r="I39" s="1902" t="s">
        <v>3405</v>
      </c>
      <c r="J39" s="386">
        <f>SUMIF(116:116,I39,117:117)-SUMIF(116:116,C39,117:117)+100</f>
        <v>100</v>
      </c>
      <c r="K39" s="377">
        <v>1</v>
      </c>
      <c r="L39" s="2717"/>
      <c r="M39" s="2711"/>
      <c r="N39" s="2711"/>
      <c r="O39" s="2711"/>
      <c r="P39" s="3734"/>
      <c r="Q39" s="1349" t="str">
        <f t="shared" si="11"/>
        <v>市政基础设施</v>
      </c>
      <c r="R39" s="704" t="s">
        <v>18</v>
      </c>
      <c r="S39" s="705">
        <f t="shared" si="12"/>
        <v>100</v>
      </c>
      <c r="T39" s="704" t="s">
        <v>18</v>
      </c>
      <c r="U39" s="705">
        <f t="shared" si="13"/>
        <v>100</v>
      </c>
      <c r="V39" s="704" t="s">
        <v>18</v>
      </c>
      <c r="W39" s="705">
        <f t="shared" si="14"/>
        <v>100</v>
      </c>
      <c r="X39" s="1352"/>
      <c r="Y39" s="3700"/>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4"/>
      <c r="Q40" s="1349" t="str">
        <f t="shared" si="11"/>
        <v>房型</v>
      </c>
      <c r="R40" s="704" t="s">
        <v>18</v>
      </c>
      <c r="S40" s="705">
        <f t="shared" si="12"/>
        <v>100</v>
      </c>
      <c r="T40" s="704" t="s">
        <v>18</v>
      </c>
      <c r="U40" s="705">
        <f t="shared" si="13"/>
        <v>100</v>
      </c>
      <c r="V40" s="704" t="s">
        <v>18</v>
      </c>
      <c r="W40" s="705">
        <f t="shared" si="14"/>
        <v>100</v>
      </c>
      <c r="X40" s="1352"/>
      <c r="Y40" s="3700"/>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4"/>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0">
        <f t="shared" si="15"/>
        <v>1</v>
      </c>
      <c r="AB41" s="1350">
        <f t="shared" si="16"/>
        <v>1</v>
      </c>
      <c r="AC41" s="1350">
        <f t="shared" si="17"/>
        <v>1</v>
      </c>
    </row>
    <row r="42" spans="1:29" ht="15">
      <c r="A42" s="423"/>
      <c r="B42" s="375" t="s">
        <v>1704</v>
      </c>
      <c r="C42" s="1902" t="s">
        <v>3414</v>
      </c>
      <c r="D42" s="386">
        <v>100</v>
      </c>
      <c r="E42" s="1903" t="s">
        <v>3418</v>
      </c>
      <c r="F42" s="412">
        <f>SUMIF(122:122,E42,123:123)-SUMIF(122:122,C42,123:123)+100</f>
        <v>97</v>
      </c>
      <c r="G42" s="1902" t="s">
        <v>3414</v>
      </c>
      <c r="H42" s="386">
        <f>SUMIF(122:122,G42,123:123)-SUMIF(122:122,C42,123:123)+100</f>
        <v>100</v>
      </c>
      <c r="I42" s="1903" t="s">
        <v>3418</v>
      </c>
      <c r="J42" s="386">
        <f>SUMIF(122:122,I42,123:123)-SUMIF(122:122,C42,123:123)+100</f>
        <v>97</v>
      </c>
      <c r="K42" s="377">
        <v>1</v>
      </c>
      <c r="L42" s="2717"/>
      <c r="M42" s="2711"/>
      <c r="N42" s="2711"/>
      <c r="O42" s="2711"/>
      <c r="P42" s="3734"/>
      <c r="Q42" s="1349" t="str">
        <f t="shared" si="11"/>
        <v>内部装修</v>
      </c>
      <c r="R42" s="704" t="s">
        <v>18</v>
      </c>
      <c r="S42" s="705">
        <f t="shared" si="12"/>
        <v>97</v>
      </c>
      <c r="T42" s="704" t="s">
        <v>18</v>
      </c>
      <c r="U42" s="705">
        <f t="shared" si="13"/>
        <v>100</v>
      </c>
      <c r="V42" s="704" t="s">
        <v>18</v>
      </c>
      <c r="W42" s="705">
        <f t="shared" si="14"/>
        <v>97</v>
      </c>
      <c r="X42" s="1352"/>
      <c r="Y42" s="3700"/>
      <c r="Z42" s="1353" t="str">
        <f t="shared" si="18"/>
        <v>内部装修</v>
      </c>
      <c r="AA42" s="1350">
        <f t="shared" si="15"/>
        <v>1.0309278350515463</v>
      </c>
      <c r="AB42" s="1350">
        <f t="shared" si="16"/>
        <v>1</v>
      </c>
      <c r="AC42" s="1350">
        <f t="shared" si="17"/>
        <v>1.0309278350515463</v>
      </c>
    </row>
    <row r="43" spans="1:29" ht="15">
      <c r="A43" s="423"/>
      <c r="B43" s="375" t="s">
        <v>1705</v>
      </c>
      <c r="C43" s="1902" t="s">
        <v>3420</v>
      </c>
      <c r="D43" s="386">
        <v>100</v>
      </c>
      <c r="E43" s="1902" t="s">
        <v>3420</v>
      </c>
      <c r="F43" s="412">
        <f>SUMIF(124:124,E43,125:125)-SUMIF(124:124,C43,125:125)+100</f>
        <v>100</v>
      </c>
      <c r="G43" s="1902" t="s">
        <v>3420</v>
      </c>
      <c r="H43" s="386">
        <f>SUMIF(124:124,G43,125:125)-SUMIF(124:124,C43,125:125)+100</f>
        <v>100</v>
      </c>
      <c r="I43" s="1902" t="s">
        <v>3420</v>
      </c>
      <c r="J43" s="386">
        <f>SUMIF(124:124,I43,125:125)-SUMIF(124:124,C43,125:125)+100</f>
        <v>100</v>
      </c>
      <c r="K43" s="377">
        <v>2</v>
      </c>
      <c r="L43" s="2717"/>
      <c r="M43" s="2711"/>
      <c r="N43" s="2711"/>
      <c r="O43" s="2711"/>
      <c r="P43" s="3734"/>
      <c r="Q43" s="1349" t="str">
        <f t="shared" si="11"/>
        <v>内部装修维护情况</v>
      </c>
      <c r="R43" s="704" t="s">
        <v>18</v>
      </c>
      <c r="S43" s="705">
        <f t="shared" si="12"/>
        <v>100</v>
      </c>
      <c r="T43" s="704" t="s">
        <v>18</v>
      </c>
      <c r="U43" s="705">
        <f t="shared" si="13"/>
        <v>100</v>
      </c>
      <c r="V43" s="704" t="s">
        <v>18</v>
      </c>
      <c r="W43" s="705">
        <f t="shared" si="14"/>
        <v>100</v>
      </c>
      <c r="X43" s="1352"/>
      <c r="Y43" s="3700"/>
      <c r="Z43" s="1353" t="str">
        <f t="shared" si="18"/>
        <v>内部装修维护情况</v>
      </c>
      <c r="AA43" s="1350">
        <f t="shared" si="15"/>
        <v>1</v>
      </c>
      <c r="AB43" s="1350">
        <f t="shared" si="16"/>
        <v>1</v>
      </c>
      <c r="AC43" s="1350">
        <f t="shared" si="17"/>
        <v>1</v>
      </c>
    </row>
    <row r="44" spans="1:29" s="108" customFormat="1" ht="15">
      <c r="A44" s="424"/>
      <c r="B44" s="3471" t="s">
        <v>3421</v>
      </c>
      <c r="C44" s="3472" t="s">
        <v>3422</v>
      </c>
      <c r="D44" s="127">
        <v>100</v>
      </c>
      <c r="E44" s="3472" t="s">
        <v>3423</v>
      </c>
      <c r="F44" s="376">
        <f>SUMIF(126:126,E44,127:127)-SUMIF(126:126,C44,127:127)+100</f>
        <v>98</v>
      </c>
      <c r="G44" s="3472" t="s">
        <v>3423</v>
      </c>
      <c r="H44" s="127">
        <f>SUMIF(126:126,G44,127:127)-SUMIF(126:126,C44,127:127)+100</f>
        <v>98</v>
      </c>
      <c r="I44" s="3472" t="s">
        <v>3422</v>
      </c>
      <c r="J44" s="127">
        <f>SUMIF(126:126,I44,127:127)-SUMIF(126:126,C44,127:127)+100</f>
        <v>100</v>
      </c>
      <c r="K44" s="1890"/>
      <c r="L44" s="2712"/>
      <c r="M44" s="2713"/>
      <c r="N44" s="2713"/>
      <c r="O44" s="2713"/>
      <c r="P44" s="3734"/>
      <c r="Q44" s="1340" t="str">
        <f t="shared" si="11"/>
        <v>尾盘</v>
      </c>
      <c r="R44" s="700" t="s">
        <v>18</v>
      </c>
      <c r="S44" s="701">
        <f t="shared" si="12"/>
        <v>98</v>
      </c>
      <c r="T44" s="700" t="s">
        <v>18</v>
      </c>
      <c r="U44" s="701">
        <f t="shared" si="13"/>
        <v>98</v>
      </c>
      <c r="V44" s="700" t="s">
        <v>18</v>
      </c>
      <c r="W44" s="701">
        <f t="shared" si="14"/>
        <v>100</v>
      </c>
      <c r="X44" s="702"/>
      <c r="Y44" s="3700"/>
      <c r="Z44" s="52" t="str">
        <f t="shared" si="18"/>
        <v>尾盘</v>
      </c>
      <c r="AA44" s="703">
        <f t="shared" si="15"/>
        <v>1.0204081632653061</v>
      </c>
      <c r="AB44" s="703">
        <f t="shared" si="16"/>
        <v>1.0204081632653061</v>
      </c>
      <c r="AC44" s="703">
        <f t="shared" si="17"/>
        <v>1</v>
      </c>
    </row>
    <row r="45" spans="1:29" ht="15">
      <c r="A45" s="423"/>
      <c r="B45" s="3471" t="s">
        <v>3424</v>
      </c>
      <c r="C45" s="3472" t="s">
        <v>3422</v>
      </c>
      <c r="D45" s="386">
        <v>100</v>
      </c>
      <c r="E45" s="3473" t="s">
        <v>3423</v>
      </c>
      <c r="F45" s="412">
        <f>SUMIF(128:128,E45,129:129)-SUMIF(128:128,C45,129:129)+100</f>
        <v>102</v>
      </c>
      <c r="G45" s="3473" t="s">
        <v>3423</v>
      </c>
      <c r="H45" s="386">
        <f>SUMIF(128:128,G45,129:129)-SUMIF(128:128,C45,129:129)+100</f>
        <v>102</v>
      </c>
      <c r="I45" s="3473" t="s">
        <v>3423</v>
      </c>
      <c r="J45" s="386">
        <f>SUMIF(128:128,I45,129:129)-SUMIF(128:128,C45,129:129)+100</f>
        <v>102</v>
      </c>
      <c r="K45" s="1890"/>
      <c r="L45" s="2717"/>
      <c r="M45" s="2711"/>
      <c r="N45" s="2711"/>
      <c r="O45" s="2711"/>
      <c r="P45" s="3734"/>
      <c r="Q45" s="1349" t="str">
        <f t="shared" si="11"/>
        <v>现房</v>
      </c>
      <c r="R45" s="704" t="s">
        <v>18</v>
      </c>
      <c r="S45" s="705">
        <f t="shared" si="12"/>
        <v>102</v>
      </c>
      <c r="T45" s="704" t="s">
        <v>18</v>
      </c>
      <c r="U45" s="705">
        <f t="shared" si="13"/>
        <v>102</v>
      </c>
      <c r="V45" s="704" t="s">
        <v>18</v>
      </c>
      <c r="W45" s="705">
        <f t="shared" si="14"/>
        <v>102</v>
      </c>
      <c r="X45" s="1352"/>
      <c r="Y45" s="3700"/>
      <c r="Z45" s="1353" t="str">
        <f t="shared" si="18"/>
        <v>现房</v>
      </c>
      <c r="AA45" s="1350">
        <f t="shared" si="15"/>
        <v>0.98039215686274506</v>
      </c>
      <c r="AB45" s="1350">
        <f t="shared" si="16"/>
        <v>0.98039215686274506</v>
      </c>
      <c r="AC45" s="1350">
        <f t="shared" si="17"/>
        <v>0.98039215686274506</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5"/>
      <c r="Q46" s="1349">
        <f t="shared" si="11"/>
        <v>111</v>
      </c>
      <c r="R46" s="704" t="s">
        <v>17</v>
      </c>
      <c r="S46" s="705">
        <f t="shared" si="12"/>
        <v>100</v>
      </c>
      <c r="T46" s="704" t="s">
        <v>17</v>
      </c>
      <c r="U46" s="705">
        <f t="shared" si="13"/>
        <v>100</v>
      </c>
      <c r="V46" s="704" t="s">
        <v>17</v>
      </c>
      <c r="W46" s="705">
        <f t="shared" si="14"/>
        <v>100</v>
      </c>
      <c r="X46" s="1352"/>
      <c r="Y46" s="3736"/>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696" t="str">
        <f>A47</f>
        <v>成交单价（元/平方米）</v>
      </c>
      <c r="Q47" s="3696"/>
      <c r="R47" s="3732">
        <f>E47</f>
        <v>38379</v>
      </c>
      <c r="S47" s="3732"/>
      <c r="T47" s="3732">
        <f>G47</f>
        <v>35578</v>
      </c>
      <c r="U47" s="3732"/>
      <c r="V47" s="3732">
        <f>I47</f>
        <v>30022</v>
      </c>
      <c r="W47" s="3732"/>
      <c r="X47" s="689"/>
      <c r="Y47" s="711"/>
      <c r="Z47" s="689"/>
      <c r="AA47" s="689"/>
      <c r="AB47" s="689"/>
      <c r="AC47" s="689"/>
    </row>
    <row r="48" spans="1:29" ht="15.75" thickBot="1">
      <c r="A48" s="437" t="s">
        <v>1707</v>
      </c>
      <c r="B48" s="438"/>
      <c r="C48" s="1158">
        <f>R49</f>
        <v>34903</v>
      </c>
      <c r="D48" s="2312" t="s">
        <v>2135</v>
      </c>
      <c r="E48" s="1159">
        <f>R48</f>
        <v>38429</v>
      </c>
      <c r="F48" s="2313"/>
      <c r="G48" s="1158">
        <f>T48</f>
        <v>35606</v>
      </c>
      <c r="H48" s="2313"/>
      <c r="I48" s="1159">
        <f>V48</f>
        <v>30675</v>
      </c>
      <c r="J48" s="2313"/>
      <c r="K48" s="2314">
        <f>F48+H48+J48</f>
        <v>0</v>
      </c>
      <c r="L48" s="2719"/>
      <c r="M48" s="2720"/>
      <c r="N48" s="2720"/>
      <c r="O48" s="2720"/>
      <c r="P48" s="3696" t="str">
        <f>A48</f>
        <v>比较价值（元/平方米）</v>
      </c>
      <c r="Q48" s="3696"/>
      <c r="R48" s="3732">
        <f>IF(F1="售价",ROUND(PRODUCT(R47,AA7:AA46),0),ROUND(PRODUCT(R47,AA7:AA46),1))</f>
        <v>38429</v>
      </c>
      <c r="S48" s="3732"/>
      <c r="T48" s="3732">
        <f>IF(F1="售价",ROUND(PRODUCT(T47,AB7:AB46),0),ROUND(PRODUCT(T47,AB7:AB46),1))</f>
        <v>35606</v>
      </c>
      <c r="U48" s="3732"/>
      <c r="V48" s="3732">
        <f>IF(F1="售价",ROUND(PRODUCT(V47,AC7:AC46),0),ROUND(PRODUCT(V47,AC7:AC46),1))</f>
        <v>30675</v>
      </c>
      <c r="W48" s="3732"/>
      <c r="X48" s="689"/>
      <c r="Y48" s="689"/>
      <c r="Z48" s="689"/>
      <c r="AA48" s="689"/>
      <c r="AB48" s="689"/>
      <c r="AC48" s="689"/>
    </row>
    <row r="49" spans="1:29" ht="15.75" thickBot="1">
      <c r="A49" s="441" t="s">
        <v>1708</v>
      </c>
      <c r="B49" s="442"/>
      <c r="C49" s="1160">
        <f>R49</f>
        <v>34903</v>
      </c>
      <c r="D49" s="1161"/>
      <c r="E49" s="1161"/>
      <c r="F49" s="1161"/>
      <c r="G49" s="1161"/>
      <c r="H49" s="1161"/>
      <c r="I49" s="1161"/>
      <c r="J49" s="1161"/>
      <c r="K49" s="1910"/>
      <c r="L49" s="2719"/>
      <c r="M49" s="2720"/>
      <c r="N49" s="2720"/>
      <c r="O49" s="2720"/>
      <c r="P49" s="3690" t="str">
        <f>A49</f>
        <v>估价对象XX用房的比较价值（楼面单价，元/平方米）</v>
      </c>
      <c r="Q49" s="3691"/>
      <c r="R49" s="3731">
        <f>IF(F1="售价",ROUND(IF(D48="简单平均",AVERAGE(R48:V48),R48*F48+T48*H48+V48*J48),0),ROUND(IF(D48="简单平均",AVERAGE(R48:V48),R48*F48+T48*H48+V48*J48),1))</f>
        <v>34903</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1.302795799786427E-3</v>
      </c>
      <c r="F52" s="449" t="str">
        <f>IF(OR(E52&gt;=0.3,E52&lt;=-0.3),"超过30%","")</f>
        <v/>
      </c>
      <c r="G52" s="448">
        <f>IF(G47&lt;G48,G48/G47-1,G47/G48-1)</f>
        <v>7.8700320422742109E-4</v>
      </c>
      <c r="H52" s="449" t="str">
        <f>IF(OR(G52&gt;=0.3,G52&lt;=-0.3),"超过30%","")</f>
        <v/>
      </c>
      <c r="I52" s="448">
        <f>IF(I47&lt;I48,I48/I47-1,I47/I48-1)</f>
        <v>2.1750716141496262E-2</v>
      </c>
      <c r="J52" s="449" t="str">
        <f>IF(OR(I52&gt;=0.3,I52&lt;=-0.3),"超过30%","")</f>
        <v/>
      </c>
      <c r="K52" s="2725"/>
      <c r="L52" s="2721"/>
      <c r="M52" s="2720"/>
      <c r="N52" s="2720"/>
      <c r="O52" s="2720"/>
    </row>
    <row r="53" spans="1:29" ht="13.5" customHeight="1">
      <c r="A53" s="2720"/>
      <c r="B53" s="2720"/>
      <c r="C53" s="446" t="s">
        <v>1710</v>
      </c>
      <c r="D53" s="450"/>
      <c r="E53" s="448">
        <f>IF(E48&lt;G48,G48/E48-1,E48/G48-1)</f>
        <v>7.9284390271302518E-2</v>
      </c>
      <c r="F53" s="449" t="str">
        <f>IF(OR(E53&gt;=0.2,E53&lt;=-0.2),"超过20%","")</f>
        <v/>
      </c>
      <c r="G53" s="448">
        <f>IF(G48&lt;I48,I48/G48-1,G48/I48-1)</f>
        <v>0.16074979625101871</v>
      </c>
      <c r="H53" s="449" t="str">
        <f>IF(OR(G53&gt;=0.2,G53&lt;=-0.2),"超过20%","")</f>
        <v/>
      </c>
      <c r="I53" s="448">
        <f>IF(I48&lt;E48,E48/I48-1,I48/E48-1)</f>
        <v>0.25277913610431946</v>
      </c>
      <c r="J53" s="449" t="str">
        <f>IF(OR(I53&gt;=0.2,I53&lt;=-0.2),"超过20%","")</f>
        <v>超过20%</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3400</v>
      </c>
      <c r="D65" s="532" t="s">
        <v>3428</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3603</v>
      </c>
      <c r="D90" s="3469" t="s">
        <v>3602</v>
      </c>
      <c r="E90" s="3469" t="s">
        <v>3604</v>
      </c>
      <c r="F90" s="3469" t="s">
        <v>3605</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3407</v>
      </c>
      <c r="D100" s="3468" t="s">
        <v>3409</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3410</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3412</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3413</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3415</v>
      </c>
      <c r="D122" s="3469" t="s">
        <v>3416</v>
      </c>
      <c r="E122" s="3469" t="s">
        <v>3417</v>
      </c>
      <c r="F122" s="3470" t="s">
        <v>3419</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3422</v>
      </c>
      <c r="D126" s="3469" t="s">
        <v>3423</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4076</v>
      </c>
      <c r="D128" s="3469" t="s">
        <v>4077</v>
      </c>
      <c r="E128" s="503"/>
      <c r="F128" s="503"/>
      <c r="G128" s="532"/>
      <c r="H128" s="532"/>
      <c r="I128" s="532"/>
      <c r="J128" s="532"/>
      <c r="K128" s="533"/>
      <c r="L128" s="534"/>
      <c r="M128" s="535"/>
      <c r="N128" s="932"/>
      <c r="O128" s="932"/>
      <c r="P128" s="1917"/>
      <c r="Q128" s="453"/>
    </row>
    <row r="129" spans="1:17" ht="15.75" thickBot="1">
      <c r="A129" s="483"/>
      <c r="B129" s="492"/>
      <c r="C129" s="509">
        <v>100</v>
      </c>
      <c r="D129" s="509">
        <v>98</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L42:T233"/>
  <sheetViews>
    <sheetView topLeftCell="A205" zoomScale="90" zoomScaleNormal="90" workbookViewId="0">
      <selection activeCell="T12" sqref="T12"/>
    </sheetView>
  </sheetViews>
  <sheetFormatPr defaultColWidth="9"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3385</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116529.75199999999</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33891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709902679.5999999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5157516</v>
      </c>
      <c r="D8" s="222"/>
      <c r="E8" s="220"/>
      <c r="F8" s="221"/>
      <c r="G8" s="1853" t="s">
        <v>3599</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34383.439999999995</v>
      </c>
      <c r="E19" s="211">
        <f>'数据-取费表'!B31</f>
        <v>200</v>
      </c>
      <c r="F19" s="231"/>
      <c r="G19" s="1853" t="s">
        <v>3600</v>
      </c>
    </row>
    <row r="20" spans="1:7" s="214" customFormat="1" ht="13.5" customHeight="1">
      <c r="A20" s="255" t="s">
        <v>1572</v>
      </c>
      <c r="B20" s="210" t="s">
        <v>1573</v>
      </c>
      <c r="C20" s="232">
        <f ca="1">ROUND((C5+C19)*F20,0)</f>
        <v>14198054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50318080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49828247</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489833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108615110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108615110</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955767858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160226830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137533760</v>
      </c>
      <c r="D34" s="217"/>
      <c r="E34" s="220"/>
      <c r="F34" s="257"/>
      <c r="G34" s="219"/>
    </row>
    <row r="35" spans="1:7" ht="13.5" customHeight="1">
      <c r="A35" s="779" t="s">
        <v>351</v>
      </c>
      <c r="B35" s="215" t="s">
        <v>1525</v>
      </c>
      <c r="C35" s="220">
        <f ca="1">ROUND(C34*F35,0)</f>
        <v>6876688</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6876688</v>
      </c>
      <c r="D37" s="217">
        <f ca="1">D19</f>
        <v>34383.439999999995</v>
      </c>
      <c r="E37" s="249">
        <f>'数据-取费表'!B35</f>
        <v>200</v>
      </c>
      <c r="F37" s="259"/>
      <c r="G37" s="261"/>
    </row>
    <row r="38" spans="1:7" ht="13.5" customHeight="1">
      <c r="A38" s="779" t="s">
        <v>354</v>
      </c>
      <c r="B38" s="215" t="s">
        <v>1531</v>
      </c>
      <c r="C38" s="220">
        <f ca="1">ROUND(C34*F38,0)</f>
        <v>2063006</v>
      </c>
      <c r="D38" s="220"/>
      <c r="E38" s="220"/>
      <c r="F38" s="259">
        <f>'数据-取费表'!B36</f>
        <v>1.4999999999999999E-2</v>
      </c>
      <c r="G38" s="219" t="s">
        <v>1526</v>
      </c>
    </row>
    <row r="39" spans="1:7" s="214" customFormat="1" ht="13.5" customHeight="1">
      <c r="A39" s="255" t="s">
        <v>1532</v>
      </c>
      <c r="B39" s="210" t="s">
        <v>1533</v>
      </c>
      <c r="C39" s="232">
        <f ca="1">ROUND(C33*F20,0)</f>
        <v>3204537</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5638383</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5527826</v>
      </c>
      <c r="D42" s="238"/>
      <c r="E42" s="238"/>
      <c r="F42" s="239"/>
      <c r="G42" s="3686" t="s">
        <v>1589</v>
      </c>
    </row>
    <row r="43" spans="1:7" ht="13.5" customHeight="1">
      <c r="A43" s="779" t="s">
        <v>347</v>
      </c>
      <c r="B43" s="215" t="s">
        <v>1543</v>
      </c>
      <c r="C43" s="238">
        <f ca="1">ROUND(IF('数据-取费表'!B22&lt;=1,C39*F22*'数据-取费表'!B20/2,C39*(POWER((1+F22),'数据-取费表'!B20/2)-1)),0)</f>
        <v>110557</v>
      </c>
      <c r="D43" s="238"/>
      <c r="E43" s="238"/>
      <c r="F43" s="239"/>
      <c r="G43" s="3687"/>
    </row>
    <row r="44" spans="1:7" ht="13.5" customHeight="1">
      <c r="A44" s="779" t="s">
        <v>348</v>
      </c>
      <c r="B44" s="215" t="s">
        <v>1544</v>
      </c>
      <c r="C44" s="238">
        <f ca="1">ROUND(IF('数据-取费表'!B22&lt;=1,C40*F22*'数据-取费表'!B20/2,C40*(POWER((1+F22),'数据-取费表'!B20/2)-1)),4)</f>
        <v>6.9999999999999999E-4</v>
      </c>
      <c r="D44" s="238"/>
      <c r="E44" s="238"/>
      <c r="F44" s="239"/>
      <c r="G44" s="3688"/>
    </row>
    <row r="45" spans="1:7" s="214" customFormat="1" ht="13.5" customHeight="1">
      <c r="A45" s="255" t="s">
        <v>1545</v>
      </c>
      <c r="B45" s="244" t="s">
        <v>1511</v>
      </c>
      <c r="C45" s="245">
        <f ca="1">C46</f>
        <v>24514705</v>
      </c>
      <c r="D45" s="235">
        <f ca="1">C47</f>
        <v>3.0000000000000001E-3</v>
      </c>
      <c r="E45" s="236" t="s">
        <v>1537</v>
      </c>
      <c r="F45" s="246">
        <f ca="1">F27</f>
        <v>0.15</v>
      </c>
      <c r="G45" s="247" t="s">
        <v>1546</v>
      </c>
    </row>
    <row r="46" spans="1:7" s="214" customFormat="1" ht="13.5" customHeight="1">
      <c r="A46" s="779" t="s">
        <v>346</v>
      </c>
      <c r="B46" s="248" t="s">
        <v>1547</v>
      </c>
      <c r="C46" s="249">
        <f ca="1">ROUND((C33+C39)*F27,0)</f>
        <v>24514705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209529662</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209529662</v>
      </c>
      <c r="D51" s="232"/>
      <c r="E51" s="232"/>
      <c r="F51" s="264"/>
      <c r="G51" s="234" t="s">
        <v>1558</v>
      </c>
    </row>
    <row r="52" spans="1:7" s="208" customFormat="1" ht="16.5" thickBot="1">
      <c r="A52" s="265" t="s">
        <v>1559</v>
      </c>
      <c r="B52" s="266"/>
      <c r="C52" s="267">
        <f ca="1">C31+C51</f>
        <v>1165297520</v>
      </c>
      <c r="D52" s="266"/>
      <c r="E52" s="266"/>
      <c r="F52" s="266"/>
      <c r="G52" s="268"/>
    </row>
    <row r="55" spans="1:7" ht="15">
      <c r="B55" s="270" t="s">
        <v>1560</v>
      </c>
      <c r="C55" s="271"/>
    </row>
    <row r="56" spans="1:7">
      <c r="B56" s="273" t="s">
        <v>800</v>
      </c>
      <c r="C56" s="275">
        <f ca="1">1-C57</f>
        <v>0.82000000000000006</v>
      </c>
    </row>
    <row r="57" spans="1:7">
      <c r="B57" s="273" t="s">
        <v>801</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30"/>
  <sheetViews>
    <sheetView topLeftCell="D16" zoomScale="80" zoomScaleNormal="80" workbookViewId="0">
      <selection activeCell="J31" sqref="J31"/>
    </sheetView>
  </sheetViews>
  <sheetFormatPr defaultColWidth="9"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3430</v>
      </c>
      <c r="B1" s="3474" t="s">
        <v>3431</v>
      </c>
      <c r="C1" s="3474" t="s">
        <v>3432</v>
      </c>
      <c r="D1" s="3474" t="s">
        <v>3433</v>
      </c>
      <c r="E1" s="3474" t="s">
        <v>3434</v>
      </c>
      <c r="F1" s="3474" t="s">
        <v>3435</v>
      </c>
      <c r="G1" s="3474" t="s">
        <v>3436</v>
      </c>
      <c r="H1" s="3474" t="s">
        <v>3437</v>
      </c>
      <c r="I1" s="3474" t="s">
        <v>3438</v>
      </c>
      <c r="J1" s="3474" t="s">
        <v>3439</v>
      </c>
      <c r="K1" s="3474" t="s">
        <v>3440</v>
      </c>
      <c r="L1" s="3474" t="s">
        <v>3441</v>
      </c>
      <c r="M1" s="3474" t="s">
        <v>3442</v>
      </c>
      <c r="N1" s="3474" t="s">
        <v>3443</v>
      </c>
      <c r="O1" s="3474" t="s">
        <v>3444</v>
      </c>
      <c r="P1" s="3474" t="s">
        <v>3445</v>
      </c>
      <c r="Q1" s="3474" t="s">
        <v>3446</v>
      </c>
      <c r="R1" s="3474" t="s">
        <v>3447</v>
      </c>
      <c r="S1" s="3474" t="s">
        <v>3448</v>
      </c>
      <c r="T1" s="3474" t="s">
        <v>3449</v>
      </c>
      <c r="U1" s="3474" t="s">
        <v>3450</v>
      </c>
      <c r="V1" s="3474" t="s">
        <v>3451</v>
      </c>
      <c r="W1" s="3474" t="s">
        <v>3452</v>
      </c>
      <c r="X1" s="3474" t="s">
        <v>3453</v>
      </c>
      <c r="Y1" s="3474" t="s">
        <v>3454</v>
      </c>
      <c r="Z1" s="3474" t="s">
        <v>3455</v>
      </c>
    </row>
    <row r="2" spans="1:26">
      <c r="A2" s="3474" t="s">
        <v>3456</v>
      </c>
      <c r="B2" s="3474" t="s">
        <v>3378</v>
      </c>
      <c r="C2" s="3474" t="s">
        <v>3457</v>
      </c>
      <c r="D2" s="3474" t="s">
        <v>3458</v>
      </c>
      <c r="E2" s="3474">
        <v>69837.09</v>
      </c>
      <c r="F2" s="3474">
        <v>104756</v>
      </c>
      <c r="G2" s="3474">
        <v>1.5</v>
      </c>
      <c r="H2" s="3474" t="s">
        <v>3459</v>
      </c>
      <c r="I2" s="3474" t="s">
        <v>3460</v>
      </c>
      <c r="J2" s="3474" t="s">
        <v>3461</v>
      </c>
      <c r="K2" s="3475">
        <v>45195.000497685185</v>
      </c>
      <c r="L2" s="3475">
        <v>45195.000497685185</v>
      </c>
      <c r="M2" s="3474" t="s">
        <v>3462</v>
      </c>
      <c r="N2" s="3474" t="s">
        <v>3463</v>
      </c>
      <c r="O2" s="3474">
        <v>120000</v>
      </c>
      <c r="P2" s="3474">
        <v>24000</v>
      </c>
      <c r="Q2" s="3474" t="s">
        <v>633</v>
      </c>
      <c r="R2" s="3474">
        <v>120000</v>
      </c>
      <c r="S2" s="3474">
        <v>17182.84</v>
      </c>
      <c r="T2" s="3474">
        <v>11455</v>
      </c>
      <c r="U2" s="3474">
        <v>0</v>
      </c>
      <c r="V2" s="3474" t="s">
        <v>3464</v>
      </c>
      <c r="W2" s="3474">
        <v>138000</v>
      </c>
      <c r="X2" s="3474" t="s">
        <v>3465</v>
      </c>
      <c r="Y2" s="3474" t="s">
        <v>3466</v>
      </c>
      <c r="Z2" s="3474" t="s">
        <v>3467</v>
      </c>
    </row>
    <row r="3" spans="1:26">
      <c r="A3" s="3474" t="s">
        <v>3468</v>
      </c>
      <c r="B3" s="3474" t="s">
        <v>3378</v>
      </c>
      <c r="C3" s="3474" t="s">
        <v>3469</v>
      </c>
      <c r="D3" s="3474" t="s">
        <v>3458</v>
      </c>
      <c r="E3" s="3474">
        <v>45954.22</v>
      </c>
      <c r="F3" s="3474">
        <v>91908.44</v>
      </c>
      <c r="G3" s="3474">
        <v>2</v>
      </c>
      <c r="H3" s="3474" t="s">
        <v>3459</v>
      </c>
      <c r="I3" s="3474" t="s">
        <v>3460</v>
      </c>
      <c r="J3" s="3474" t="s">
        <v>3461</v>
      </c>
      <c r="K3" s="3475">
        <v>45141.000497685185</v>
      </c>
      <c r="L3" s="3475">
        <v>45141.000497685185</v>
      </c>
      <c r="M3" s="3474" t="s">
        <v>3462</v>
      </c>
      <c r="N3" s="3474" t="s">
        <v>3470</v>
      </c>
      <c r="O3" s="3474">
        <v>250000</v>
      </c>
      <c r="P3" s="3474">
        <v>50000</v>
      </c>
      <c r="Q3" s="3474" t="s">
        <v>633</v>
      </c>
      <c r="R3" s="3474">
        <v>287500</v>
      </c>
      <c r="S3" s="3474">
        <v>62562.26</v>
      </c>
      <c r="T3" s="3474">
        <v>31281</v>
      </c>
      <c r="U3" s="3474">
        <v>15</v>
      </c>
      <c r="V3" s="3474" t="s">
        <v>3464</v>
      </c>
      <c r="W3" s="3474">
        <v>287500</v>
      </c>
      <c r="X3" s="3474" t="s">
        <v>3471</v>
      </c>
      <c r="Y3" s="3474">
        <v>59000</v>
      </c>
      <c r="Z3" s="3474">
        <v>59000</v>
      </c>
    </row>
    <row r="4" spans="1:26">
      <c r="A4" s="3474" t="s">
        <v>3472</v>
      </c>
      <c r="B4" s="3474" t="s">
        <v>3378</v>
      </c>
      <c r="C4" s="3474" t="s">
        <v>3473</v>
      </c>
      <c r="D4" s="3474" t="s">
        <v>3458</v>
      </c>
      <c r="E4" s="3474">
        <v>57292.65</v>
      </c>
      <c r="F4" s="3474">
        <v>134221.63</v>
      </c>
      <c r="G4" s="3474" t="s">
        <v>3474</v>
      </c>
      <c r="H4" s="3474" t="s">
        <v>3459</v>
      </c>
      <c r="I4" s="3474" t="s">
        <v>3475</v>
      </c>
      <c r="J4" s="3474" t="s">
        <v>3461</v>
      </c>
      <c r="K4" s="3475">
        <v>45132.000497685185</v>
      </c>
      <c r="L4" s="3475">
        <v>45132.000497685185</v>
      </c>
      <c r="M4" s="3474" t="s">
        <v>3462</v>
      </c>
      <c r="N4" s="3474" t="s">
        <v>3476</v>
      </c>
      <c r="O4" s="3474">
        <v>470000</v>
      </c>
      <c r="P4" s="3474">
        <v>94000</v>
      </c>
      <c r="Q4" s="3474" t="s">
        <v>3477</v>
      </c>
      <c r="R4" s="3474">
        <v>540500</v>
      </c>
      <c r="S4" s="3474">
        <v>94340.19</v>
      </c>
      <c r="T4" s="3474">
        <v>40269</v>
      </c>
      <c r="U4" s="3474">
        <v>15</v>
      </c>
      <c r="V4" s="3474" t="s">
        <v>3464</v>
      </c>
      <c r="W4" s="3474">
        <v>540500</v>
      </c>
      <c r="X4" s="3474" t="s">
        <v>3471</v>
      </c>
      <c r="Y4" s="3474">
        <v>66000</v>
      </c>
      <c r="Z4" s="3474">
        <v>66000</v>
      </c>
    </row>
    <row r="5" spans="1:26">
      <c r="A5" s="3474" t="s">
        <v>3478</v>
      </c>
      <c r="B5" s="3474" t="s">
        <v>3378</v>
      </c>
      <c r="C5" s="3474" t="s">
        <v>3479</v>
      </c>
      <c r="D5" s="3474" t="s">
        <v>3458</v>
      </c>
      <c r="E5" s="3474">
        <v>31558.240000000002</v>
      </c>
      <c r="F5" s="3474">
        <v>88363.07</v>
      </c>
      <c r="G5" s="3474" t="s">
        <v>3480</v>
      </c>
      <c r="H5" s="3474" t="s">
        <v>3459</v>
      </c>
      <c r="I5" s="3474" t="s">
        <v>3460</v>
      </c>
      <c r="J5" s="3474" t="s">
        <v>3461</v>
      </c>
      <c r="K5" s="3475">
        <v>45107.000497685185</v>
      </c>
      <c r="L5" s="3475">
        <v>45107.000497685185</v>
      </c>
      <c r="M5" s="3474" t="s">
        <v>3462</v>
      </c>
      <c r="N5" s="3474" t="s">
        <v>3481</v>
      </c>
      <c r="O5" s="3474">
        <v>88100</v>
      </c>
      <c r="P5" s="3474">
        <v>18000</v>
      </c>
      <c r="Q5" s="3474" t="s">
        <v>3482</v>
      </c>
      <c r="R5" s="3474">
        <v>88100</v>
      </c>
      <c r="S5" s="3474">
        <v>27916.63</v>
      </c>
      <c r="T5" s="3474">
        <v>9970</v>
      </c>
      <c r="U5" s="3474">
        <v>0</v>
      </c>
      <c r="V5" s="3474" t="s">
        <v>3464</v>
      </c>
      <c r="W5" s="3474">
        <v>101315</v>
      </c>
      <c r="X5" s="3474" t="s">
        <v>3465</v>
      </c>
      <c r="Y5" s="3474">
        <v>27000</v>
      </c>
      <c r="Z5" s="3474">
        <v>27000</v>
      </c>
    </row>
    <row r="6" spans="1:26" s="3476" customFormat="1">
      <c r="A6" s="3476" t="s">
        <v>3483</v>
      </c>
      <c r="B6" s="3476" t="s">
        <v>3378</v>
      </c>
      <c r="C6" s="3476" t="s">
        <v>3484</v>
      </c>
      <c r="D6" s="3476" t="s">
        <v>3458</v>
      </c>
      <c r="E6" s="3476">
        <v>27822.39</v>
      </c>
      <c r="F6" s="3476">
        <v>44515.82</v>
      </c>
      <c r="G6" s="3476">
        <v>1.6</v>
      </c>
      <c r="H6" s="3476" t="s">
        <v>3459</v>
      </c>
      <c r="I6" s="3476" t="s">
        <v>3460</v>
      </c>
      <c r="J6" s="3476" t="s">
        <v>3461</v>
      </c>
      <c r="K6" s="3477">
        <v>45097.000497685185</v>
      </c>
      <c r="L6" s="3477">
        <v>45097.000497685185</v>
      </c>
      <c r="M6" s="3476" t="s">
        <v>3462</v>
      </c>
      <c r="N6" s="3476" t="s">
        <v>3485</v>
      </c>
      <c r="O6" s="3476">
        <v>100000</v>
      </c>
      <c r="P6" s="3476">
        <v>20000</v>
      </c>
      <c r="Q6" s="3476" t="s">
        <v>633</v>
      </c>
      <c r="R6" s="3476">
        <v>100000</v>
      </c>
      <c r="S6" s="3476">
        <v>35942.269999999997</v>
      </c>
      <c r="T6" s="3476">
        <v>22464</v>
      </c>
      <c r="U6" s="3476">
        <v>0</v>
      </c>
      <c r="V6" s="3476" t="s">
        <v>3486</v>
      </c>
      <c r="W6" s="3476">
        <v>115000</v>
      </c>
      <c r="X6" s="3476" t="s">
        <v>3465</v>
      </c>
      <c r="Y6" s="3476">
        <v>50000</v>
      </c>
      <c r="Z6" s="3476">
        <v>50000</v>
      </c>
    </row>
    <row r="7" spans="1:26">
      <c r="A7" s="3474" t="s">
        <v>3487</v>
      </c>
      <c r="B7" s="3474" t="s">
        <v>3378</v>
      </c>
      <c r="C7" s="3474" t="s">
        <v>3488</v>
      </c>
      <c r="D7" s="3474" t="s">
        <v>3458</v>
      </c>
      <c r="E7" s="3474">
        <v>45880.63</v>
      </c>
      <c r="F7" s="3474">
        <v>100937.39</v>
      </c>
      <c r="G7" s="3474">
        <v>2.2000000000000002</v>
      </c>
      <c r="H7" s="3474" t="s">
        <v>3459</v>
      </c>
      <c r="I7" s="3474" t="s">
        <v>3460</v>
      </c>
      <c r="J7" s="3474" t="s">
        <v>3461</v>
      </c>
      <c r="K7" s="3475">
        <v>45097.000497685185</v>
      </c>
      <c r="L7" s="3475">
        <v>45097.000497685185</v>
      </c>
      <c r="M7" s="3474" t="s">
        <v>3462</v>
      </c>
      <c r="N7" s="3474" t="s">
        <v>3489</v>
      </c>
      <c r="O7" s="3474">
        <v>259000</v>
      </c>
      <c r="P7" s="3474">
        <v>52000</v>
      </c>
      <c r="Q7" s="3474" t="s">
        <v>633</v>
      </c>
      <c r="R7" s="3474">
        <v>259000</v>
      </c>
      <c r="S7" s="3474">
        <v>56450.83</v>
      </c>
      <c r="T7" s="3474">
        <v>25659</v>
      </c>
      <c r="U7" s="3474">
        <v>0</v>
      </c>
      <c r="V7" s="3474" t="s">
        <v>3486</v>
      </c>
      <c r="W7" s="3474">
        <v>297850</v>
      </c>
      <c r="X7" s="3474" t="s">
        <v>3465</v>
      </c>
      <c r="Y7" s="3474">
        <v>55000</v>
      </c>
      <c r="Z7" s="3474">
        <v>55000</v>
      </c>
    </row>
    <row r="8" spans="1:26">
      <c r="A8" s="3474" t="s">
        <v>3490</v>
      </c>
      <c r="B8" s="3474" t="s">
        <v>3378</v>
      </c>
      <c r="C8" s="3474" t="s">
        <v>3491</v>
      </c>
      <c r="D8" s="3474" t="s">
        <v>3458</v>
      </c>
      <c r="E8" s="3474">
        <v>77391.100000000006</v>
      </c>
      <c r="F8" s="3474">
        <v>177999.53</v>
      </c>
      <c r="G8" s="3474">
        <v>2.2999999999999998</v>
      </c>
      <c r="H8" s="3474" t="s">
        <v>3459</v>
      </c>
      <c r="I8" s="3474" t="s">
        <v>3460</v>
      </c>
      <c r="J8" s="3474" t="s">
        <v>3461</v>
      </c>
      <c r="K8" s="3475">
        <v>45093.000497685185</v>
      </c>
      <c r="L8" s="3475">
        <v>45093.000497685185</v>
      </c>
      <c r="M8" s="3474" t="s">
        <v>3462</v>
      </c>
      <c r="N8" s="3474" t="s">
        <v>3492</v>
      </c>
      <c r="O8" s="3474">
        <v>688000</v>
      </c>
      <c r="P8" s="3474">
        <v>138000</v>
      </c>
      <c r="Q8" s="3474" t="s">
        <v>633</v>
      </c>
      <c r="R8" s="3474">
        <v>791200</v>
      </c>
      <c r="S8" s="3474">
        <v>102233.98</v>
      </c>
      <c r="T8" s="3474">
        <v>44450</v>
      </c>
      <c r="U8" s="3474">
        <v>15</v>
      </c>
      <c r="V8" s="3474" t="s">
        <v>3493</v>
      </c>
      <c r="W8" s="3474">
        <v>791200</v>
      </c>
      <c r="X8" s="3474" t="s">
        <v>3471</v>
      </c>
      <c r="Y8" s="3474">
        <v>77000</v>
      </c>
      <c r="Z8" s="3474">
        <v>77000</v>
      </c>
    </row>
    <row r="9" spans="1:26">
      <c r="A9" s="3474" t="s">
        <v>3494</v>
      </c>
      <c r="B9" s="3474" t="s">
        <v>3378</v>
      </c>
      <c r="C9" s="3474" t="s">
        <v>3495</v>
      </c>
      <c r="D9" s="3474" t="s">
        <v>3458</v>
      </c>
      <c r="E9" s="3474">
        <v>43400</v>
      </c>
      <c r="F9" s="3474">
        <v>86800</v>
      </c>
      <c r="G9" s="3474">
        <v>2</v>
      </c>
      <c r="H9" s="3474" t="s">
        <v>3459</v>
      </c>
      <c r="I9" s="3474" t="s">
        <v>3460</v>
      </c>
      <c r="J9" s="3474" t="s">
        <v>3461</v>
      </c>
      <c r="K9" s="3475">
        <v>45078.000497685185</v>
      </c>
      <c r="L9" s="3475">
        <v>45078.000497685185</v>
      </c>
      <c r="M9" s="3474" t="s">
        <v>3462</v>
      </c>
      <c r="N9" s="3474" t="s">
        <v>3496</v>
      </c>
      <c r="O9" s="3474">
        <v>287000</v>
      </c>
      <c r="P9" s="3474">
        <v>58000</v>
      </c>
      <c r="Q9" s="3474" t="s">
        <v>633</v>
      </c>
      <c r="R9" s="3474">
        <v>330050</v>
      </c>
      <c r="S9" s="3474">
        <v>76048.39</v>
      </c>
      <c r="T9" s="3474">
        <v>38024</v>
      </c>
      <c r="U9" s="3474">
        <v>15</v>
      </c>
      <c r="V9" s="3474" t="s">
        <v>3464</v>
      </c>
      <c r="W9" s="3474">
        <v>330050</v>
      </c>
      <c r="X9" s="3474" t="s">
        <v>3471</v>
      </c>
      <c r="Y9" s="3474">
        <v>58000</v>
      </c>
      <c r="Z9" s="3474">
        <v>58000</v>
      </c>
    </row>
    <row r="10" spans="1:26">
      <c r="A10" s="3474" t="s">
        <v>3497</v>
      </c>
      <c r="B10" s="3474" t="s">
        <v>3378</v>
      </c>
      <c r="C10" s="3474" t="s">
        <v>3498</v>
      </c>
      <c r="D10" s="3474" t="s">
        <v>3458</v>
      </c>
      <c r="E10" s="3474">
        <v>29561.58</v>
      </c>
      <c r="F10" s="3474">
        <v>65035.47</v>
      </c>
      <c r="G10" s="3474">
        <v>2.2000000000000002</v>
      </c>
      <c r="H10" s="3474" t="s">
        <v>3459</v>
      </c>
      <c r="I10" s="3474" t="s">
        <v>3460</v>
      </c>
      <c r="J10" s="3474" t="s">
        <v>3461</v>
      </c>
      <c r="K10" s="3475">
        <v>45044.000497685185</v>
      </c>
      <c r="L10" s="3475">
        <v>45044.000497685185</v>
      </c>
      <c r="M10" s="3474" t="s">
        <v>3462</v>
      </c>
      <c r="N10" s="3474" t="s">
        <v>3496</v>
      </c>
      <c r="O10" s="3474">
        <v>202000</v>
      </c>
      <c r="P10" s="3474">
        <v>41000</v>
      </c>
      <c r="Q10" s="3474" t="s">
        <v>3499</v>
      </c>
      <c r="R10" s="3474">
        <v>232000</v>
      </c>
      <c r="S10" s="3474">
        <v>78480.240000000005</v>
      </c>
      <c r="T10" s="3474">
        <v>35673</v>
      </c>
      <c r="U10" s="3474">
        <v>14.85</v>
      </c>
      <c r="V10" s="3474" t="s">
        <v>3500</v>
      </c>
      <c r="W10" s="3474">
        <v>232000</v>
      </c>
      <c r="X10" s="3474" t="s">
        <v>3471</v>
      </c>
      <c r="Y10" s="3474">
        <v>62000</v>
      </c>
      <c r="Z10" s="3474">
        <v>62000</v>
      </c>
    </row>
    <row r="11" spans="1:26">
      <c r="A11" s="3474" t="s">
        <v>3501</v>
      </c>
      <c r="B11" s="3474" t="s">
        <v>3378</v>
      </c>
      <c r="C11" s="3474" t="s">
        <v>3502</v>
      </c>
      <c r="D11" s="3474" t="s">
        <v>3458</v>
      </c>
      <c r="E11" s="3474">
        <v>59523.360000000001</v>
      </c>
      <c r="F11" s="3474">
        <v>130951.38</v>
      </c>
      <c r="G11" s="3474">
        <v>2.2000000000000002</v>
      </c>
      <c r="H11" s="3474" t="s">
        <v>3459</v>
      </c>
      <c r="I11" s="3474" t="s">
        <v>3503</v>
      </c>
      <c r="J11" s="3474" t="s">
        <v>3461</v>
      </c>
      <c r="K11" s="3475">
        <v>45039.000497685185</v>
      </c>
      <c r="L11" s="3475">
        <v>45039.000497685185</v>
      </c>
      <c r="M11" s="3474" t="s">
        <v>3462</v>
      </c>
      <c r="N11" s="3474" t="s">
        <v>3504</v>
      </c>
      <c r="O11" s="3474">
        <v>188205.82</v>
      </c>
      <c r="P11" s="3474">
        <v>57000</v>
      </c>
      <c r="Q11" s="3474" t="s">
        <v>633</v>
      </c>
      <c r="R11" s="3474">
        <v>188205.82</v>
      </c>
      <c r="S11" s="3474">
        <v>31618.81</v>
      </c>
      <c r="T11" s="3474">
        <v>14372</v>
      </c>
      <c r="U11" s="3474">
        <v>0</v>
      </c>
      <c r="V11" s="3474" t="s">
        <v>3505</v>
      </c>
      <c r="W11" s="3474" t="s">
        <v>3466</v>
      </c>
      <c r="X11" s="3474" t="s">
        <v>3467</v>
      </c>
      <c r="Y11" s="3474">
        <v>29000</v>
      </c>
      <c r="Z11" s="3474">
        <v>29000</v>
      </c>
    </row>
    <row r="12" spans="1:26">
      <c r="A12" s="3474" t="s">
        <v>3506</v>
      </c>
      <c r="B12" s="3474" t="s">
        <v>3378</v>
      </c>
      <c r="C12" s="3474" t="s">
        <v>3507</v>
      </c>
      <c r="D12" s="3474" t="s">
        <v>3458</v>
      </c>
      <c r="E12" s="3474">
        <v>87287.8</v>
      </c>
      <c r="F12" s="3474">
        <v>192033.17</v>
      </c>
      <c r="G12" s="3474">
        <v>2.2000000000000002</v>
      </c>
      <c r="H12" s="3474" t="s">
        <v>3459</v>
      </c>
      <c r="I12" s="3474" t="s">
        <v>3503</v>
      </c>
      <c r="J12" s="3474" t="s">
        <v>3461</v>
      </c>
      <c r="K12" s="3475">
        <v>45040.000497685185</v>
      </c>
      <c r="L12" s="3475">
        <v>45040.000497685185</v>
      </c>
      <c r="M12" s="3474" t="s">
        <v>3462</v>
      </c>
      <c r="N12" s="3474" t="s">
        <v>3508</v>
      </c>
      <c r="O12" s="3474">
        <v>275143.78999999998</v>
      </c>
      <c r="P12" s="3474">
        <v>83000</v>
      </c>
      <c r="Q12" s="3474" t="s">
        <v>633</v>
      </c>
      <c r="R12" s="3474">
        <v>275143.78999999998</v>
      </c>
      <c r="S12" s="3474">
        <v>31521.45</v>
      </c>
      <c r="T12" s="3474">
        <v>14328</v>
      </c>
      <c r="U12" s="3474">
        <v>0</v>
      </c>
      <c r="V12" s="3474" t="s">
        <v>3505</v>
      </c>
      <c r="W12" s="3474" t="s">
        <v>3466</v>
      </c>
      <c r="X12" s="3474" t="s">
        <v>3467</v>
      </c>
      <c r="Y12" s="3474">
        <v>29000</v>
      </c>
      <c r="Z12" s="3474" t="s">
        <v>3467</v>
      </c>
    </row>
    <row r="13" spans="1:26" s="3476" customFormat="1">
      <c r="A13" s="3476" t="s">
        <v>3509</v>
      </c>
      <c r="B13" s="3476" t="s">
        <v>3378</v>
      </c>
      <c r="C13" s="3476" t="s">
        <v>3510</v>
      </c>
      <c r="D13" s="3476" t="s">
        <v>3458</v>
      </c>
      <c r="E13" s="3476">
        <v>31231.38</v>
      </c>
      <c r="F13" s="3476">
        <v>78078.45</v>
      </c>
      <c r="G13" s="3476">
        <v>2.5</v>
      </c>
      <c r="H13" s="3476" t="s">
        <v>3459</v>
      </c>
      <c r="I13" s="3476" t="s">
        <v>3460</v>
      </c>
      <c r="J13" s="3476" t="s">
        <v>3511</v>
      </c>
      <c r="K13" s="3477">
        <v>44964.000497685185</v>
      </c>
      <c r="L13" s="3477">
        <v>44964.000497685185</v>
      </c>
      <c r="M13" s="3476" t="s">
        <v>3462</v>
      </c>
      <c r="N13" s="3476" t="s">
        <v>3512</v>
      </c>
      <c r="O13" s="3476">
        <v>172000</v>
      </c>
      <c r="P13" s="3476">
        <v>35000</v>
      </c>
      <c r="Q13" s="3476" t="s">
        <v>3513</v>
      </c>
      <c r="R13" s="3476">
        <v>172000</v>
      </c>
      <c r="S13" s="3476">
        <v>55072.81</v>
      </c>
      <c r="T13" s="3476">
        <v>22029</v>
      </c>
      <c r="U13" s="3476">
        <v>0</v>
      </c>
      <c r="V13" s="3476" t="s">
        <v>3486</v>
      </c>
      <c r="W13" s="3476">
        <v>197800</v>
      </c>
      <c r="X13" s="3476" t="s">
        <v>3465</v>
      </c>
      <c r="Y13" s="3476">
        <v>45000</v>
      </c>
      <c r="Z13" s="3476">
        <v>45000</v>
      </c>
    </row>
    <row r="14" spans="1:26" s="3476" customFormat="1">
      <c r="A14" s="3476" t="s">
        <v>3514</v>
      </c>
      <c r="B14" s="3476" t="s">
        <v>3378</v>
      </c>
      <c r="C14" s="3476" t="s">
        <v>3515</v>
      </c>
      <c r="D14" s="3476" t="s">
        <v>3458</v>
      </c>
      <c r="E14" s="3476">
        <v>23004.15</v>
      </c>
      <c r="F14" s="3476">
        <v>32205.81</v>
      </c>
      <c r="G14" s="3476">
        <v>1.4</v>
      </c>
      <c r="H14" s="3476" t="s">
        <v>3459</v>
      </c>
      <c r="I14" s="3476" t="s">
        <v>3460</v>
      </c>
      <c r="J14" s="3476" t="s">
        <v>3516</v>
      </c>
      <c r="K14" s="3477">
        <v>44893.000497685185</v>
      </c>
      <c r="L14" s="3477">
        <v>44893.000497685185</v>
      </c>
      <c r="M14" s="3476" t="s">
        <v>3462</v>
      </c>
      <c r="N14" s="3476" t="s">
        <v>3517</v>
      </c>
      <c r="O14" s="3476">
        <v>79000</v>
      </c>
      <c r="P14" s="3476">
        <v>16000</v>
      </c>
      <c r="Q14" s="3476" t="s">
        <v>3518</v>
      </c>
      <c r="R14" s="3476">
        <v>79000</v>
      </c>
      <c r="S14" s="3476">
        <v>34341.629999999997</v>
      </c>
      <c r="T14" s="3476">
        <v>24530</v>
      </c>
      <c r="U14" s="3476">
        <v>0</v>
      </c>
      <c r="V14" s="3476" t="s">
        <v>3464</v>
      </c>
      <c r="W14" s="3476">
        <v>90850</v>
      </c>
      <c r="X14" s="3476" t="s">
        <v>3465</v>
      </c>
      <c r="Y14" s="3476">
        <v>61000</v>
      </c>
      <c r="Z14" s="3476">
        <v>61000</v>
      </c>
    </row>
    <row r="15" spans="1:26">
      <c r="A15" s="3474" t="s">
        <v>3519</v>
      </c>
      <c r="B15" s="3474" t="s">
        <v>3378</v>
      </c>
      <c r="C15" s="3474" t="s">
        <v>3520</v>
      </c>
      <c r="D15" s="3474" t="s">
        <v>3458</v>
      </c>
      <c r="E15" s="3474">
        <v>24837.200000000001</v>
      </c>
      <c r="F15" s="3474">
        <v>49674.400000000001</v>
      </c>
      <c r="G15" s="3474">
        <v>2</v>
      </c>
      <c r="H15" s="3474" t="s">
        <v>3459</v>
      </c>
      <c r="I15" s="3474" t="s">
        <v>3460</v>
      </c>
      <c r="J15" s="3474" t="s">
        <v>3516</v>
      </c>
      <c r="K15" s="3475">
        <v>44893.000497685185</v>
      </c>
      <c r="L15" s="3475">
        <v>44893.000497685185</v>
      </c>
      <c r="M15" s="3474" t="s">
        <v>3462</v>
      </c>
      <c r="N15" s="3474" t="s">
        <v>3521</v>
      </c>
      <c r="O15" s="3474">
        <v>166000</v>
      </c>
      <c r="P15" s="3474">
        <v>34000</v>
      </c>
      <c r="Q15" s="3474" t="s">
        <v>3518</v>
      </c>
      <c r="R15" s="3474">
        <v>166900</v>
      </c>
      <c r="S15" s="3474">
        <v>67197.59</v>
      </c>
      <c r="T15" s="3474">
        <v>33599</v>
      </c>
      <c r="U15" s="3474">
        <v>0.54</v>
      </c>
      <c r="V15" s="3474" t="s">
        <v>3522</v>
      </c>
      <c r="W15" s="3474">
        <v>190900</v>
      </c>
      <c r="X15" s="3474" t="s">
        <v>3465</v>
      </c>
      <c r="Y15" s="3474">
        <v>65000</v>
      </c>
      <c r="Z15" s="3474">
        <v>65000</v>
      </c>
    </row>
    <row r="16" spans="1:26">
      <c r="A16" s="3474" t="s">
        <v>3523</v>
      </c>
      <c r="B16" s="3474" t="s">
        <v>3378</v>
      </c>
      <c r="C16" s="3474" t="s">
        <v>3524</v>
      </c>
      <c r="D16" s="3474" t="s">
        <v>3458</v>
      </c>
      <c r="E16" s="3474">
        <v>21625</v>
      </c>
      <c r="F16" s="3474">
        <v>43250</v>
      </c>
      <c r="G16" s="3474" t="s">
        <v>3525</v>
      </c>
      <c r="H16" s="3474" t="s">
        <v>3459</v>
      </c>
      <c r="I16" s="3474" t="s">
        <v>3460</v>
      </c>
      <c r="J16" s="3474" t="s">
        <v>3526</v>
      </c>
      <c r="K16" s="3475">
        <v>44826.000497685185</v>
      </c>
      <c r="L16" s="3475">
        <v>44826.000497685185</v>
      </c>
      <c r="M16" s="3474" t="s">
        <v>3462</v>
      </c>
      <c r="N16" s="3474" t="s">
        <v>3527</v>
      </c>
      <c r="O16" s="3474">
        <v>143000</v>
      </c>
      <c r="P16" s="3474">
        <v>29000</v>
      </c>
      <c r="Q16" s="3474" t="s">
        <v>3528</v>
      </c>
      <c r="R16" s="3474">
        <v>143000</v>
      </c>
      <c r="S16" s="3474">
        <v>66127.16</v>
      </c>
      <c r="T16" s="3474">
        <v>33064</v>
      </c>
      <c r="U16" s="3474">
        <v>0</v>
      </c>
      <c r="V16" s="3474" t="s">
        <v>3486</v>
      </c>
      <c r="W16" s="3474">
        <v>164450</v>
      </c>
      <c r="X16" s="3474" t="s">
        <v>3465</v>
      </c>
      <c r="Y16" s="3474" t="s">
        <v>3466</v>
      </c>
      <c r="Z16" s="3474">
        <v>59000</v>
      </c>
    </row>
    <row r="17" spans="1:26">
      <c r="A17" s="3474" t="s">
        <v>3529</v>
      </c>
      <c r="B17" s="3474" t="s">
        <v>3378</v>
      </c>
      <c r="C17" s="3474" t="s">
        <v>3530</v>
      </c>
      <c r="D17" s="3474" t="s">
        <v>3458</v>
      </c>
      <c r="E17" s="3474">
        <v>22115.200000000001</v>
      </c>
      <c r="F17" s="3474">
        <v>44230.400000000001</v>
      </c>
      <c r="G17" s="3474">
        <v>2</v>
      </c>
      <c r="H17" s="3474" t="s">
        <v>3459</v>
      </c>
      <c r="I17" s="3474" t="s">
        <v>3460</v>
      </c>
      <c r="J17" s="3474" t="s">
        <v>3531</v>
      </c>
      <c r="K17" s="3475">
        <v>44608.000497685185</v>
      </c>
      <c r="L17" s="3475">
        <v>44609.000497685185</v>
      </c>
      <c r="M17" s="3474" t="s">
        <v>3462</v>
      </c>
      <c r="N17" s="3474" t="s">
        <v>3532</v>
      </c>
      <c r="O17" s="3474">
        <v>146000</v>
      </c>
      <c r="P17" s="3474">
        <v>30000</v>
      </c>
      <c r="Q17" s="3474" t="s">
        <v>3533</v>
      </c>
      <c r="R17" s="3474">
        <v>147600</v>
      </c>
      <c r="S17" s="3474">
        <v>66741.429999999993</v>
      </c>
      <c r="T17" s="3474">
        <v>33371</v>
      </c>
      <c r="U17" s="3474">
        <v>1.1000000000000001</v>
      </c>
      <c r="V17" s="3474" t="s">
        <v>3505</v>
      </c>
      <c r="W17" s="3474">
        <v>153300</v>
      </c>
      <c r="X17" s="3474" t="s">
        <v>3465</v>
      </c>
      <c r="Y17" s="3474">
        <v>58000</v>
      </c>
      <c r="Z17" s="3474">
        <v>58000</v>
      </c>
    </row>
    <row r="18" spans="1:26">
      <c r="A18" s="3474" t="s">
        <v>3534</v>
      </c>
      <c r="B18" s="3474" t="s">
        <v>3378</v>
      </c>
      <c r="C18" s="3474" t="s">
        <v>3535</v>
      </c>
      <c r="D18" s="3474" t="s">
        <v>3458</v>
      </c>
      <c r="E18" s="3474">
        <v>32057.19</v>
      </c>
      <c r="F18" s="3474">
        <v>51292</v>
      </c>
      <c r="G18" s="3474">
        <v>1.6</v>
      </c>
      <c r="H18" s="3474" t="s">
        <v>3459</v>
      </c>
      <c r="I18" s="3474" t="s">
        <v>3460</v>
      </c>
      <c r="J18" s="3474" t="s">
        <v>3531</v>
      </c>
      <c r="K18" s="3475">
        <v>44608.000497685185</v>
      </c>
      <c r="L18" s="3475">
        <v>44608.000497685185</v>
      </c>
      <c r="M18" s="3474" t="s">
        <v>3462</v>
      </c>
      <c r="N18" s="3474" t="s">
        <v>3512</v>
      </c>
      <c r="O18" s="3474">
        <v>81000</v>
      </c>
      <c r="P18" s="3474">
        <v>17000</v>
      </c>
      <c r="Q18" s="3474" t="s">
        <v>3533</v>
      </c>
      <c r="R18" s="3474">
        <v>81000</v>
      </c>
      <c r="S18" s="3474">
        <v>25267.34</v>
      </c>
      <c r="T18" s="3474">
        <v>15792</v>
      </c>
      <c r="U18" s="3474">
        <v>0</v>
      </c>
      <c r="V18" s="3474" t="s">
        <v>3505</v>
      </c>
      <c r="W18" s="3474">
        <v>93150</v>
      </c>
      <c r="X18" s="3474" t="s">
        <v>3465</v>
      </c>
      <c r="Y18" s="3474">
        <v>45000</v>
      </c>
      <c r="Z18" s="3474">
        <v>45000</v>
      </c>
    </row>
    <row r="19" spans="1:26">
      <c r="A19" s="3474" t="s">
        <v>3536</v>
      </c>
      <c r="B19" s="3474" t="s">
        <v>3378</v>
      </c>
      <c r="C19" s="3474" t="s">
        <v>3537</v>
      </c>
      <c r="D19" s="3474" t="s">
        <v>3458</v>
      </c>
      <c r="E19" s="3474">
        <v>23519.8</v>
      </c>
      <c r="F19" s="3474">
        <v>58799.5</v>
      </c>
      <c r="G19" s="3474">
        <v>2.5</v>
      </c>
      <c r="H19" s="3474" t="s">
        <v>3459</v>
      </c>
      <c r="I19" s="3474" t="s">
        <v>3460</v>
      </c>
      <c r="J19" s="3474" t="s">
        <v>3531</v>
      </c>
      <c r="K19" s="3475">
        <v>44608.000497685185</v>
      </c>
      <c r="L19" s="3475">
        <v>44609.000497685185</v>
      </c>
      <c r="M19" s="3474" t="s">
        <v>3462</v>
      </c>
      <c r="N19" s="3474" t="s">
        <v>3538</v>
      </c>
      <c r="O19" s="3474">
        <v>223000</v>
      </c>
      <c r="P19" s="3474">
        <v>45000</v>
      </c>
      <c r="Q19" s="3474" t="s">
        <v>3533</v>
      </c>
      <c r="R19" s="3474">
        <v>248000</v>
      </c>
      <c r="S19" s="3474">
        <v>105443.07</v>
      </c>
      <c r="T19" s="3474">
        <v>42177</v>
      </c>
      <c r="U19" s="3474">
        <v>11.21</v>
      </c>
      <c r="V19" s="3474" t="s">
        <v>3505</v>
      </c>
      <c r="W19" s="3474">
        <v>256450</v>
      </c>
      <c r="X19" s="3474" t="s">
        <v>3465</v>
      </c>
      <c r="Y19" s="3474">
        <v>73000</v>
      </c>
      <c r="Z19" s="3474">
        <v>73000</v>
      </c>
    </row>
    <row r="20" spans="1:26">
      <c r="A20" s="3474" t="s">
        <v>3539</v>
      </c>
      <c r="B20" s="3474" t="s">
        <v>3378</v>
      </c>
      <c r="C20" s="3474" t="s">
        <v>3540</v>
      </c>
      <c r="D20" s="3474" t="s">
        <v>3458</v>
      </c>
      <c r="E20" s="3474">
        <v>45509.77</v>
      </c>
      <c r="F20" s="3474">
        <v>113774</v>
      </c>
      <c r="G20" s="3474">
        <v>2.5</v>
      </c>
      <c r="H20" s="3474" t="s">
        <v>3459</v>
      </c>
      <c r="I20" s="3474" t="s">
        <v>3460</v>
      </c>
      <c r="J20" s="3474" t="s">
        <v>3541</v>
      </c>
      <c r="K20" s="3475">
        <v>44554.000497685185</v>
      </c>
      <c r="L20" s="3475">
        <v>44557.000497685185</v>
      </c>
      <c r="M20" s="3474" t="s">
        <v>3462</v>
      </c>
      <c r="N20" s="3474" t="s">
        <v>3512</v>
      </c>
      <c r="O20" s="3474">
        <v>162000</v>
      </c>
      <c r="P20" s="3474">
        <v>33000</v>
      </c>
      <c r="Q20" s="3474" t="s">
        <v>3542</v>
      </c>
      <c r="R20" s="3474">
        <v>186300</v>
      </c>
      <c r="S20" s="3474">
        <v>40936.26</v>
      </c>
      <c r="T20" s="3474">
        <v>16375</v>
      </c>
      <c r="U20" s="3474">
        <v>15</v>
      </c>
      <c r="V20" s="3474" t="s">
        <v>3543</v>
      </c>
      <c r="W20" s="3474">
        <v>186300</v>
      </c>
      <c r="X20" s="3474" t="s">
        <v>3471</v>
      </c>
      <c r="Y20" s="3474">
        <v>45000</v>
      </c>
      <c r="Z20" s="3474">
        <v>45000</v>
      </c>
    </row>
    <row r="21" spans="1:26">
      <c r="A21" s="3474" t="s">
        <v>3544</v>
      </c>
      <c r="B21" s="3474" t="s">
        <v>3378</v>
      </c>
      <c r="C21" s="3474" t="s">
        <v>3545</v>
      </c>
      <c r="D21" s="3474" t="s">
        <v>3458</v>
      </c>
      <c r="E21" s="3474">
        <v>25036.44</v>
      </c>
      <c r="F21" s="3474">
        <v>67598.39</v>
      </c>
      <c r="G21" s="3474">
        <v>2.7</v>
      </c>
      <c r="H21" s="3474" t="s">
        <v>3459</v>
      </c>
      <c r="I21" s="3474" t="s">
        <v>3460</v>
      </c>
      <c r="J21" s="3474" t="s">
        <v>3541</v>
      </c>
      <c r="K21" s="3475">
        <v>44554.000497685185</v>
      </c>
      <c r="L21" s="3475">
        <v>44554.000497685185</v>
      </c>
      <c r="M21" s="3474" t="s">
        <v>3462</v>
      </c>
      <c r="N21" s="3474" t="s">
        <v>3546</v>
      </c>
      <c r="O21" s="3474">
        <v>146000</v>
      </c>
      <c r="P21" s="3474">
        <v>30000</v>
      </c>
      <c r="Q21" s="3474" t="s">
        <v>3542</v>
      </c>
      <c r="R21" s="3474">
        <v>148400</v>
      </c>
      <c r="S21" s="3474">
        <v>59273.599999999999</v>
      </c>
      <c r="T21" s="3474">
        <v>21953</v>
      </c>
      <c r="U21" s="3474">
        <v>1.64</v>
      </c>
      <c r="V21" s="3474" t="s">
        <v>3547</v>
      </c>
      <c r="W21" s="3474">
        <v>167900</v>
      </c>
      <c r="X21" s="3474" t="s">
        <v>3465</v>
      </c>
      <c r="Y21" s="3474">
        <v>61000</v>
      </c>
      <c r="Z21" s="3474">
        <v>61000</v>
      </c>
    </row>
    <row r="22" spans="1:26">
      <c r="A22" s="3474" t="s">
        <v>3548</v>
      </c>
      <c r="B22" s="3474" t="s">
        <v>3378</v>
      </c>
      <c r="C22" s="3474" t="s">
        <v>3549</v>
      </c>
      <c r="D22" s="3474" t="s">
        <v>3458</v>
      </c>
      <c r="E22" s="3474">
        <v>26791.21</v>
      </c>
      <c r="F22" s="3474">
        <v>53582.42</v>
      </c>
      <c r="G22" s="3474">
        <v>2</v>
      </c>
      <c r="H22" s="3474" t="s">
        <v>3459</v>
      </c>
      <c r="I22" s="3474" t="s">
        <v>3460</v>
      </c>
      <c r="J22" s="3474" t="s">
        <v>3541</v>
      </c>
      <c r="K22" s="3475">
        <v>44554.000497685185</v>
      </c>
      <c r="L22" s="3475">
        <v>44554.000497685185</v>
      </c>
      <c r="M22" s="3474" t="s">
        <v>3462</v>
      </c>
      <c r="N22" s="3474" t="s">
        <v>3550</v>
      </c>
      <c r="O22" s="3474">
        <v>115000</v>
      </c>
      <c r="P22" s="3474">
        <v>23000</v>
      </c>
      <c r="Q22" s="3474" t="s">
        <v>3542</v>
      </c>
      <c r="R22" s="3474">
        <v>116800</v>
      </c>
      <c r="S22" s="3474">
        <v>43596.38</v>
      </c>
      <c r="T22" s="3474">
        <v>21798</v>
      </c>
      <c r="U22" s="3474">
        <v>1.57</v>
      </c>
      <c r="V22" s="3474" t="s">
        <v>3551</v>
      </c>
      <c r="W22" s="3474">
        <v>132250</v>
      </c>
      <c r="X22" s="3474" t="s">
        <v>3465</v>
      </c>
      <c r="Y22" s="3474">
        <v>61000</v>
      </c>
      <c r="Z22" s="3474">
        <v>61000</v>
      </c>
    </row>
    <row r="23" spans="1:26">
      <c r="A23" s="3474" t="s">
        <v>3552</v>
      </c>
      <c r="B23" s="3474" t="s">
        <v>3378</v>
      </c>
      <c r="C23" s="3474" t="s">
        <v>3553</v>
      </c>
      <c r="D23" s="3474" t="s">
        <v>3458</v>
      </c>
      <c r="E23" s="3474">
        <v>40082.199999999997</v>
      </c>
      <c r="F23" s="3474">
        <v>60123.3</v>
      </c>
      <c r="G23" s="3474">
        <v>1.5</v>
      </c>
      <c r="H23" s="3474" t="s">
        <v>3459</v>
      </c>
      <c r="I23" s="3474" t="s">
        <v>3554</v>
      </c>
      <c r="J23" s="3474" t="s">
        <v>3461</v>
      </c>
      <c r="K23" s="3475">
        <v>44550.000497685185</v>
      </c>
      <c r="L23" s="3475">
        <v>44550.000497685185</v>
      </c>
      <c r="M23" s="3474" t="s">
        <v>3462</v>
      </c>
      <c r="N23" s="3474" t="s">
        <v>3555</v>
      </c>
      <c r="O23" s="3474">
        <v>81924.009999999995</v>
      </c>
      <c r="P23" s="3474">
        <v>16400</v>
      </c>
      <c r="Q23" s="3474" t="s">
        <v>633</v>
      </c>
      <c r="R23" s="3474">
        <v>81924.009999999995</v>
      </c>
      <c r="S23" s="3474">
        <v>20439</v>
      </c>
      <c r="T23" s="3474">
        <v>13626</v>
      </c>
      <c r="U23" s="3474">
        <v>0</v>
      </c>
      <c r="V23" s="3474">
        <v>50</v>
      </c>
      <c r="W23" s="3474" t="s">
        <v>3466</v>
      </c>
      <c r="X23" s="3474" t="s">
        <v>3467</v>
      </c>
      <c r="Y23" s="3474" t="s">
        <v>3466</v>
      </c>
      <c r="Z23" s="3474" t="s">
        <v>3467</v>
      </c>
    </row>
    <row r="24" spans="1:26">
      <c r="A24" s="3474" t="s">
        <v>3556</v>
      </c>
      <c r="B24" s="3474" t="s">
        <v>3378</v>
      </c>
      <c r="C24" s="3474" t="s">
        <v>3557</v>
      </c>
      <c r="D24" s="3474" t="s">
        <v>3458</v>
      </c>
      <c r="E24" s="3474">
        <v>71316.899999999994</v>
      </c>
      <c r="F24" s="3474">
        <v>178292.25</v>
      </c>
      <c r="G24" s="3474" t="s">
        <v>3558</v>
      </c>
      <c r="H24" s="3474" t="s">
        <v>3459</v>
      </c>
      <c r="I24" s="3474" t="s">
        <v>3460</v>
      </c>
      <c r="J24" s="3474" t="s">
        <v>3559</v>
      </c>
      <c r="K24" s="3475">
        <v>44481.000497685185</v>
      </c>
      <c r="L24" s="3475">
        <v>44481.000497685185</v>
      </c>
      <c r="M24" s="3474" t="s">
        <v>3462</v>
      </c>
      <c r="N24" s="3474" t="s">
        <v>3560</v>
      </c>
      <c r="O24" s="3474">
        <v>685000</v>
      </c>
      <c r="P24" s="3474">
        <v>137000</v>
      </c>
      <c r="Q24" s="3474" t="s">
        <v>3561</v>
      </c>
      <c r="R24" s="3474">
        <v>685000</v>
      </c>
      <c r="S24" s="3474">
        <v>96050.16</v>
      </c>
      <c r="T24" s="3474">
        <v>38420</v>
      </c>
      <c r="U24" s="3474">
        <v>0</v>
      </c>
      <c r="V24" s="3474" t="s">
        <v>3562</v>
      </c>
      <c r="W24" s="3474">
        <v>787750</v>
      </c>
      <c r="X24" s="3474" t="s">
        <v>3465</v>
      </c>
      <c r="Y24" s="3474">
        <v>66000</v>
      </c>
      <c r="Z24" s="3474">
        <v>66000</v>
      </c>
    </row>
    <row r="25" spans="1:26">
      <c r="A25" s="3474" t="s">
        <v>3563</v>
      </c>
      <c r="B25" s="3474" t="s">
        <v>3378</v>
      </c>
      <c r="C25" s="3474" t="s">
        <v>3564</v>
      </c>
      <c r="D25" s="3474" t="s">
        <v>3458</v>
      </c>
      <c r="E25" s="3474">
        <v>72250</v>
      </c>
      <c r="F25" s="3474">
        <v>79475</v>
      </c>
      <c r="G25" s="3474">
        <v>1.1000000000000001</v>
      </c>
      <c r="H25" s="3474" t="s">
        <v>3459</v>
      </c>
      <c r="I25" s="3474" t="s">
        <v>3460</v>
      </c>
      <c r="J25" s="3474" t="s">
        <v>3559</v>
      </c>
      <c r="K25" s="3475">
        <v>44481.000497685185</v>
      </c>
      <c r="L25" s="3475">
        <v>44481.000497685185</v>
      </c>
      <c r="M25" s="3474" t="s">
        <v>3462</v>
      </c>
      <c r="N25" s="3474" t="s">
        <v>3565</v>
      </c>
      <c r="O25" s="3474">
        <v>98300</v>
      </c>
      <c r="P25" s="3474">
        <v>20000</v>
      </c>
      <c r="Q25" s="3474" t="s">
        <v>3561</v>
      </c>
      <c r="R25" s="3474">
        <v>98300</v>
      </c>
      <c r="S25" s="3474">
        <v>13605.53</v>
      </c>
      <c r="T25" s="3474">
        <v>12369</v>
      </c>
      <c r="U25" s="3474">
        <v>0</v>
      </c>
      <c r="V25" s="3474" t="s">
        <v>3505</v>
      </c>
      <c r="W25" s="3474">
        <v>103215</v>
      </c>
      <c r="X25" s="3474" t="s">
        <v>3465</v>
      </c>
      <c r="Y25" s="3474">
        <v>27000</v>
      </c>
      <c r="Z25" s="3474">
        <v>27000</v>
      </c>
    </row>
    <row r="26" spans="1:26">
      <c r="A26" s="3474" t="s">
        <v>3566</v>
      </c>
      <c r="B26" s="3474" t="s">
        <v>3378</v>
      </c>
      <c r="C26" s="3474" t="s">
        <v>3567</v>
      </c>
      <c r="D26" s="3474" t="s">
        <v>3458</v>
      </c>
      <c r="E26" s="3474">
        <v>48407.51</v>
      </c>
      <c r="F26" s="3474">
        <v>96815.01</v>
      </c>
      <c r="G26" s="3474" t="s">
        <v>3525</v>
      </c>
      <c r="H26" s="3474" t="s">
        <v>3459</v>
      </c>
      <c r="I26" s="3474" t="s">
        <v>3460</v>
      </c>
      <c r="J26" s="3474" t="s">
        <v>3568</v>
      </c>
      <c r="K26" s="3475">
        <v>44324.000497685185</v>
      </c>
      <c r="L26" s="3475">
        <v>44324.000497685185</v>
      </c>
      <c r="M26" s="3474" t="s">
        <v>3462</v>
      </c>
      <c r="N26" s="3474" t="s">
        <v>3569</v>
      </c>
      <c r="O26" s="3474">
        <v>145800</v>
      </c>
      <c r="P26" s="3474">
        <v>30000</v>
      </c>
      <c r="Q26" s="3474" t="s">
        <v>3570</v>
      </c>
      <c r="R26" s="3474">
        <v>145800</v>
      </c>
      <c r="S26" s="3474">
        <v>30119.29</v>
      </c>
      <c r="T26" s="3474">
        <v>15060</v>
      </c>
      <c r="U26" s="3474">
        <v>0</v>
      </c>
      <c r="V26" s="3474" t="s">
        <v>3493</v>
      </c>
      <c r="W26" s="3474">
        <v>167600</v>
      </c>
      <c r="X26" s="3474" t="s">
        <v>3465</v>
      </c>
      <c r="Y26" s="3474" t="s">
        <v>3466</v>
      </c>
      <c r="Z26" s="3474" t="s">
        <v>3467</v>
      </c>
    </row>
    <row r="27" spans="1:26">
      <c r="A27" s="3474" t="s">
        <v>3571</v>
      </c>
      <c r="B27" s="3474" t="s">
        <v>3378</v>
      </c>
      <c r="C27" s="3474" t="s">
        <v>3572</v>
      </c>
      <c r="D27" s="3474" t="s">
        <v>3458</v>
      </c>
      <c r="E27" s="3474">
        <v>56860.73</v>
      </c>
      <c r="F27" s="3474">
        <v>133065.75</v>
      </c>
      <c r="G27" s="3474" t="s">
        <v>3573</v>
      </c>
      <c r="H27" s="3474" t="s">
        <v>3459</v>
      </c>
      <c r="I27" s="3474" t="s">
        <v>3460</v>
      </c>
      <c r="J27" s="3474" t="s">
        <v>3461</v>
      </c>
      <c r="K27" s="3475">
        <v>44222.000497685185</v>
      </c>
      <c r="L27" s="3475">
        <v>44222.000497685185</v>
      </c>
      <c r="M27" s="3474" t="s">
        <v>3462</v>
      </c>
      <c r="N27" s="3474" t="s">
        <v>3574</v>
      </c>
      <c r="O27" s="3474">
        <v>420000</v>
      </c>
      <c r="P27" s="3474">
        <v>85000</v>
      </c>
      <c r="Q27" s="3474" t="s">
        <v>3575</v>
      </c>
      <c r="R27" s="3474">
        <v>465700</v>
      </c>
      <c r="S27" s="3474">
        <v>81901.87</v>
      </c>
      <c r="T27" s="3474">
        <v>34998</v>
      </c>
      <c r="U27" s="3474">
        <v>10.88</v>
      </c>
      <c r="V27" s="3474" t="s">
        <v>3493</v>
      </c>
      <c r="W27" s="3474" t="s">
        <v>3466</v>
      </c>
      <c r="X27" s="3474" t="s">
        <v>3467</v>
      </c>
      <c r="Y27" s="3474" t="s">
        <v>3466</v>
      </c>
      <c r="Z27" s="3474" t="s">
        <v>3467</v>
      </c>
    </row>
    <row r="29" spans="1:26" s="3478" customFormat="1">
      <c r="A29" s="3741" t="s">
        <v>3430</v>
      </c>
      <c r="B29" s="3741" t="s">
        <v>3431</v>
      </c>
      <c r="C29" s="3741" t="s">
        <v>3432</v>
      </c>
      <c r="D29" s="3741" t="s">
        <v>3433</v>
      </c>
      <c r="E29" s="3741" t="s">
        <v>3434</v>
      </c>
      <c r="F29" s="3741" t="s">
        <v>3435</v>
      </c>
      <c r="G29" s="3741" t="s">
        <v>3436</v>
      </c>
      <c r="H29" s="3741" t="s">
        <v>3437</v>
      </c>
      <c r="I29" s="3741" t="s">
        <v>3438</v>
      </c>
      <c r="J29" s="3741" t="s">
        <v>3439</v>
      </c>
      <c r="K29" s="3741" t="s">
        <v>3441</v>
      </c>
      <c r="L29" s="3741" t="s">
        <v>3442</v>
      </c>
      <c r="M29" s="3741" t="s">
        <v>3443</v>
      </c>
      <c r="N29" s="3741" t="s">
        <v>3444</v>
      </c>
      <c r="O29" s="3741" t="s">
        <v>3445</v>
      </c>
      <c r="P29" s="3741" t="s">
        <v>3446</v>
      </c>
      <c r="Q29" s="3741" t="s">
        <v>3447</v>
      </c>
      <c r="R29" s="3741" t="s">
        <v>3449</v>
      </c>
      <c r="S29" s="3741" t="s">
        <v>3450</v>
      </c>
      <c r="T29" s="3741" t="s">
        <v>3452</v>
      </c>
      <c r="U29" s="3741" t="s">
        <v>3453</v>
      </c>
      <c r="V29" s="3741" t="s">
        <v>3584</v>
      </c>
      <c r="W29" s="3741" t="s">
        <v>3455</v>
      </c>
    </row>
    <row r="30" spans="1:26" s="3478" customFormat="1">
      <c r="A30" s="3741" t="s">
        <v>3583</v>
      </c>
      <c r="B30" s="3741" t="s">
        <v>3378</v>
      </c>
      <c r="C30" s="3741" t="s">
        <v>3582</v>
      </c>
      <c r="D30" s="3741" t="s">
        <v>3581</v>
      </c>
      <c r="E30" s="3741">
        <v>88404.4</v>
      </c>
      <c r="F30" s="3741">
        <v>173209</v>
      </c>
      <c r="G30" s="3741" t="s">
        <v>3580</v>
      </c>
      <c r="H30" s="3741" t="s">
        <v>3459</v>
      </c>
      <c r="I30" s="3741" t="s">
        <v>3579</v>
      </c>
      <c r="J30" s="3741" t="s">
        <v>3461</v>
      </c>
      <c r="K30" s="3742">
        <v>43733.000497685185</v>
      </c>
      <c r="L30" s="3741" t="s">
        <v>3462</v>
      </c>
      <c r="M30" s="3741" t="s">
        <v>3578</v>
      </c>
      <c r="N30" s="3741">
        <v>330000</v>
      </c>
      <c r="O30" s="3741">
        <v>66000</v>
      </c>
      <c r="P30" s="3741" t="s">
        <v>3577</v>
      </c>
      <c r="Q30" s="3741">
        <v>330000</v>
      </c>
      <c r="R30" s="3741">
        <v>19052</v>
      </c>
      <c r="S30" s="3741">
        <v>0</v>
      </c>
      <c r="T30" s="3741" t="s">
        <v>3466</v>
      </c>
      <c r="U30" s="3741" t="s">
        <v>3467</v>
      </c>
      <c r="V30" s="3741" t="s">
        <v>3467</v>
      </c>
      <c r="W30" s="3741" t="s">
        <v>3467</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2872</v>
      </c>
      <c r="C2" s="1384" t="s">
        <v>803</v>
      </c>
      <c r="D2" s="1384"/>
      <c r="E2" s="1385"/>
      <c r="F2" s="1386"/>
      <c r="G2" s="2701"/>
      <c r="H2" s="2690"/>
      <c r="I2" s="2690"/>
      <c r="J2" s="2690"/>
      <c r="K2" s="2691"/>
      <c r="L2" s="2690"/>
      <c r="M2" s="2690"/>
    </row>
    <row r="3" spans="1:37" ht="18" customHeight="1" thickBot="1">
      <c r="A3" s="1387" t="s">
        <v>804</v>
      </c>
      <c r="B3" s="1388">
        <f ca="1">IF(ISERROR(B2*10000/F43),0,ROUND(B2*10000/F43,0))</f>
        <v>3310</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171</v>
      </c>
      <c r="D5" s="1361" t="s">
        <v>691</v>
      </c>
      <c r="E5" s="1069"/>
      <c r="F5" s="1070"/>
      <c r="G5" s="1381"/>
      <c r="H5" s="299">
        <v>1</v>
      </c>
      <c r="I5" s="300" t="s">
        <v>690</v>
      </c>
      <c r="J5" s="1068">
        <f ca="1">J6+J10+J12</f>
        <v>0</v>
      </c>
      <c r="K5" s="1361" t="s">
        <v>691</v>
      </c>
      <c r="L5" s="1069"/>
      <c r="M5" s="1070"/>
    </row>
    <row r="6" spans="1:37" ht="18" customHeight="1">
      <c r="A6" s="1067" t="s">
        <v>398</v>
      </c>
      <c r="B6" s="3745" t="s">
        <v>692</v>
      </c>
      <c r="C6" s="1072">
        <f ca="1">ROUND(F6*F8*F7*(1-F9)/10000,0)</f>
        <v>171</v>
      </c>
      <c r="D6" s="155" t="s">
        <v>2106</v>
      </c>
      <c r="E6" s="302" t="s">
        <v>694</v>
      </c>
      <c r="F6" s="303">
        <f ca="1">INDIRECT("'数据-取费表'!u"&amp;$G$1)</f>
        <v>173340</v>
      </c>
      <c r="G6" s="1381"/>
      <c r="H6" s="1067" t="s">
        <v>398</v>
      </c>
      <c r="I6" s="3745" t="s">
        <v>692</v>
      </c>
      <c r="J6" s="301">
        <f ca="1">ROUND(M6*M8*M7*(1-M9)/10000,0)</f>
        <v>0</v>
      </c>
      <c r="K6" s="155" t="s">
        <v>2105</v>
      </c>
      <c r="L6" s="302" t="s">
        <v>694</v>
      </c>
      <c r="M6" s="303">
        <f ca="1">INDIRECT("'数据-取费表'!z"&amp;$G$1)</f>
        <v>0</v>
      </c>
    </row>
    <row r="7" spans="1:37" ht="18" customHeight="1">
      <c r="A7" s="1071"/>
      <c r="B7" s="3746"/>
      <c r="C7" s="1073"/>
      <c r="D7" s="307"/>
      <c r="E7" s="1074" t="s">
        <v>695</v>
      </c>
      <c r="F7" s="303">
        <f ca="1">IF(INDIRECT("'数据-取费表'!ah"&amp;$G$1)="",INDIRECT("'数据-取费表'!k"&amp;$G$1),INDIRECT("'数据-取费表'!ah"&amp;$G$1))</f>
        <v>1</v>
      </c>
      <c r="G7" s="1381"/>
      <c r="H7" s="304"/>
      <c r="I7" s="3746"/>
      <c r="J7" s="306"/>
      <c r="K7" s="307"/>
      <c r="L7" s="302" t="s">
        <v>695</v>
      </c>
      <c r="M7" s="303">
        <f ca="1">F7</f>
        <v>1</v>
      </c>
    </row>
    <row r="8" spans="1:37" ht="18" customHeight="1">
      <c r="A8" s="304"/>
      <c r="B8" s="3746"/>
      <c r="C8" s="306"/>
      <c r="D8" s="307"/>
      <c r="E8" s="302" t="s">
        <v>696</v>
      </c>
      <c r="F8" s="303">
        <f ca="1">INDIRECT("'数据-取费表'!ai"&amp;$G$1)</f>
        <v>12</v>
      </c>
      <c r="G8" s="1381"/>
      <c r="H8" s="304"/>
      <c r="I8" s="3746"/>
      <c r="J8" s="306"/>
      <c r="K8" s="307"/>
      <c r="L8" s="302" t="s">
        <v>696</v>
      </c>
      <c r="M8" s="303">
        <f ca="1">INDIRECT("'数据-取费表'!ai"&amp;$G$1)</f>
        <v>12</v>
      </c>
    </row>
    <row r="9" spans="1:37" ht="18" customHeight="1">
      <c r="A9" s="304"/>
      <c r="B9" s="3747"/>
      <c r="C9" s="306"/>
      <c r="D9" s="307"/>
      <c r="E9" s="302" t="s">
        <v>697</v>
      </c>
      <c r="F9" s="312">
        <f ca="1">INDIRECT("'数据-取费表'!w"&amp;$G$1)</f>
        <v>0.18</v>
      </c>
      <c r="G9" s="1381"/>
      <c r="H9" s="304"/>
      <c r="I9" s="3747"/>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3392</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3960</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2950</v>
      </c>
      <c r="D14" s="1342" t="s">
        <v>706</v>
      </c>
      <c r="E14" s="1339"/>
      <c r="F14" s="319"/>
      <c r="G14" s="1381"/>
      <c r="H14" s="981" t="s">
        <v>398</v>
      </c>
      <c r="I14" s="302" t="s">
        <v>707</v>
      </c>
      <c r="J14" s="21">
        <f ca="1">C29</f>
        <v>3960</v>
      </c>
      <c r="K14" s="12"/>
      <c r="L14" s="806"/>
      <c r="M14" s="807"/>
    </row>
    <row r="15" spans="1:37" s="1394" customFormat="1" ht="18" customHeight="1" thickBot="1">
      <c r="A15" s="981" t="s">
        <v>399</v>
      </c>
      <c r="B15" s="302" t="s">
        <v>708</v>
      </c>
      <c r="C15" s="21">
        <f ca="1">ROUND(C14*F15,0)</f>
        <v>148</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20</v>
      </c>
      <c r="K16" s="1085" t="s">
        <v>713</v>
      </c>
      <c r="L16" s="1086"/>
      <c r="M16" s="1070"/>
    </row>
    <row r="17" spans="1:37" s="1394" customFormat="1" ht="18" customHeight="1">
      <c r="A17" s="981" t="s">
        <v>679</v>
      </c>
      <c r="B17" s="302" t="s">
        <v>714</v>
      </c>
      <c r="C17" s="21">
        <f ca="1">ROUND(F17*(F43+INDIRECT("'数据-取费表'!S"&amp;$G$1))/10000,0)</f>
        <v>174</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3456.21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19.8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-20</v>
      </c>
      <c r="K25" s="1093" t="s">
        <v>751</v>
      </c>
      <c r="L25" s="1094"/>
      <c r="M25" s="1095"/>
    </row>
    <row r="26" spans="1:37">
      <c r="A26" s="981" t="s">
        <v>397</v>
      </c>
      <c r="B26" s="302" t="s">
        <v>752</v>
      </c>
      <c r="C26" s="21">
        <f ca="1">ROUND((C19+C20)*F26,0)</f>
        <v>169</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3960</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54</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29.02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8.9600000000000009</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19.54</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3456.21</v>
      </c>
      <c r="G35" s="1381"/>
      <c r="H35" s="2692"/>
      <c r="I35" s="1395"/>
      <c r="J35" s="1396"/>
      <c r="K35" s="2696"/>
      <c r="L35" s="2695"/>
      <c r="M35" s="2695"/>
    </row>
    <row r="36" spans="1:18" ht="18" customHeight="1">
      <c r="A36" s="1100" t="s">
        <v>402</v>
      </c>
      <c r="B36" s="302" t="s">
        <v>736</v>
      </c>
      <c r="C36" s="21">
        <f ca="1">ROUND(C29*F36,2)</f>
        <v>19.8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3.96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0.86</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117</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2872</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3310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-3319</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2872</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3960</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-3306</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3" t="s">
        <v>835</v>
      </c>
      <c r="L53" s="3744"/>
      <c r="O53" s="1415" t="s">
        <v>409</v>
      </c>
      <c r="P53" s="1416" t="s">
        <v>836</v>
      </c>
      <c r="Q53" s="1417">
        <f ca="1">Q47+Q48</f>
        <v>2872</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3960</v>
      </c>
      <c r="D56" s="1444"/>
      <c r="E56" s="1445"/>
      <c r="F56" s="1437"/>
      <c r="I56" s="1446" t="s">
        <v>840</v>
      </c>
      <c r="J56" s="1447" t="s">
        <v>3383</v>
      </c>
      <c r="K56" s="1418" t="s">
        <v>841</v>
      </c>
      <c r="L56" s="1421" t="str">
        <f ca="1">IF(L48&lt;J51,"——",L48-J53)</f>
        <v>——</v>
      </c>
      <c r="O56" s="1415" t="s">
        <v>403</v>
      </c>
      <c r="P56" s="1416" t="s">
        <v>815</v>
      </c>
      <c r="Q56" s="1417">
        <f ca="1">C40+J29</f>
        <v>2872</v>
      </c>
      <c r="R56" s="1417" t="s">
        <v>816</v>
      </c>
    </row>
    <row r="57" spans="1:18" s="1381" customFormat="1" ht="24.75" thickBot="1">
      <c r="A57" s="1448"/>
      <c r="B57" s="949" t="s">
        <v>765</v>
      </c>
      <c r="C57" s="238">
        <f ca="1">C29</f>
        <v>3960</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25</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2872</v>
      </c>
      <c r="R62" s="1417" t="s">
        <v>410</v>
      </c>
    </row>
    <row r="63" spans="1:18" s="1381" customFormat="1" ht="13.5" thickBot="1">
      <c r="A63" s="326"/>
      <c r="B63" s="955"/>
      <c r="C63" s="26"/>
      <c r="D63" s="965"/>
      <c r="E63" s="949" t="s">
        <v>786</v>
      </c>
      <c r="F63" s="303">
        <f t="shared" ca="1" si="0"/>
        <v>3456.21</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19.8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3.96</v>
      </c>
      <c r="D65" s="963" t="s">
        <v>741</v>
      </c>
      <c r="E65" s="949" t="s">
        <v>742</v>
      </c>
      <c r="F65" s="330">
        <f t="shared" ca="1" si="0"/>
        <v>1E-3</v>
      </c>
      <c r="I65" s="1459" t="s">
        <v>865</v>
      </c>
      <c r="J65" s="1460">
        <v>40</v>
      </c>
      <c r="K65" s="1460">
        <v>30</v>
      </c>
      <c r="L65" s="1460">
        <v>50</v>
      </c>
      <c r="M65" s="1462">
        <v>0.02</v>
      </c>
      <c r="O65" s="1415" t="s">
        <v>403</v>
      </c>
      <c r="P65" s="1416" t="s">
        <v>866</v>
      </c>
      <c r="Q65" s="1417">
        <f ca="1">C40+J29</f>
        <v>2872</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-25</v>
      </c>
      <c r="D67" s="962" t="s">
        <v>751</v>
      </c>
      <c r="E67" s="967"/>
      <c r="F67" s="968"/>
      <c r="O67" s="1425" t="s">
        <v>405</v>
      </c>
      <c r="P67" s="1416" t="s">
        <v>848</v>
      </c>
      <c r="Q67" s="1463">
        <f ca="1">L51</f>
        <v>-3306</v>
      </c>
      <c r="R67" s="1417" t="s">
        <v>868</v>
      </c>
    </row>
    <row r="68" spans="1:18" s="1381" customFormat="1" ht="16.5" thickBot="1">
      <c r="A68" s="946" t="s">
        <v>395</v>
      </c>
      <c r="B68" s="947" t="s">
        <v>772</v>
      </c>
      <c r="C68" s="301">
        <f ca="1">ROUND(C67*(1-((1+F70)/(1+F68))^F69)/(F68-F70),0)</f>
        <v>-447</v>
      </c>
      <c r="D68" s="964" t="s">
        <v>756</v>
      </c>
      <c r="E68" s="949" t="s">
        <v>757</v>
      </c>
      <c r="F68" s="312">
        <f ca="1">F40</f>
        <v>0.05</v>
      </c>
      <c r="O68" s="1425" t="s">
        <v>406</v>
      </c>
      <c r="P68" s="1464" t="s">
        <v>869</v>
      </c>
      <c r="Q68" s="1417">
        <f ca="1">ROUND(Q69-Q70*Q71,0)</f>
        <v>-160</v>
      </c>
      <c r="R68" s="1417" t="s">
        <v>414</v>
      </c>
    </row>
    <row r="69" spans="1:18" s="1381" customFormat="1" ht="13.5" thickBot="1">
      <c r="A69" s="950"/>
      <c r="B69" s="951"/>
      <c r="C69" s="306"/>
      <c r="D69" s="969" t="s">
        <v>760</v>
      </c>
      <c r="E69" s="949" t="s">
        <v>761</v>
      </c>
      <c r="F69" s="333">
        <f ca="1">F41</f>
        <v>46</v>
      </c>
      <c r="O69" s="1425" t="s">
        <v>411</v>
      </c>
      <c r="P69" s="1464" t="s">
        <v>870</v>
      </c>
      <c r="Q69" s="1417">
        <f ca="1">C39</f>
        <v>117</v>
      </c>
      <c r="R69" s="1417" t="s">
        <v>816</v>
      </c>
    </row>
    <row r="70" spans="1:18" s="1381" customFormat="1" ht="13.5" thickBot="1">
      <c r="A70" s="953"/>
      <c r="B70" s="954"/>
      <c r="C70" s="310"/>
      <c r="D70" s="965"/>
      <c r="E70" s="949" t="s">
        <v>764</v>
      </c>
      <c r="F70" s="1052"/>
      <c r="O70" s="1425" t="s">
        <v>412</v>
      </c>
      <c r="P70" s="1464" t="s">
        <v>871</v>
      </c>
      <c r="Q70" s="1417">
        <f ca="1">C13</f>
        <v>3960</v>
      </c>
      <c r="R70" s="1417" t="s">
        <v>816</v>
      </c>
    </row>
    <row r="71" spans="1:18" s="1381" customFormat="1" ht="13.5" thickBot="1">
      <c r="A71" s="970" t="s">
        <v>396</v>
      </c>
      <c r="B71" s="971" t="s">
        <v>774</v>
      </c>
      <c r="C71" s="336">
        <f ca="1">ROUND(C68*10000/F71,0)</f>
        <v>-515</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v>
      </c>
      <c r="D75" s="1381"/>
      <c r="E75" s="1381"/>
      <c r="F75" s="1381"/>
      <c r="K75" s="1399"/>
      <c r="L75" s="1381"/>
      <c r="O75" s="1415" t="s">
        <v>409</v>
      </c>
      <c r="P75" s="1416" t="s">
        <v>836</v>
      </c>
      <c r="Q75" s="1417">
        <f ca="1">Q65+Q66</f>
        <v>2872</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-1.3679999999999999</v>
      </c>
    </row>
    <row r="80" spans="1:18">
      <c r="B80" s="340" t="s">
        <v>798</v>
      </c>
      <c r="C80" s="274">
        <f ca="1">ROUND(C75/C39,3)</f>
        <v>2.3679999999999999</v>
      </c>
    </row>
    <row r="81" spans="2:3">
      <c r="B81" s="270" t="s">
        <v>799</v>
      </c>
      <c r="C81" s="238"/>
    </row>
    <row r="82" spans="2:3">
      <c r="B82" s="273" t="s">
        <v>800</v>
      </c>
      <c r="C82" s="275">
        <f ca="1">1-C83</f>
        <v>-0.379</v>
      </c>
    </row>
    <row r="83" spans="2:3">
      <c r="B83" s="273" t="s">
        <v>801</v>
      </c>
      <c r="C83" s="274">
        <f ca="1">ROUND(C13/C40,3)</f>
        <v>1.379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8" t="s">
        <v>2082</v>
      </c>
      <c r="D1" s="3749"/>
      <c r="E1" s="3749"/>
      <c r="F1" s="3749"/>
      <c r="G1" s="3749"/>
      <c r="H1" s="3749"/>
      <c r="I1" s="3749"/>
      <c r="J1" s="3749"/>
      <c r="K1" s="3749"/>
      <c r="L1" s="3749"/>
      <c r="M1" s="3749"/>
      <c r="N1" s="3749"/>
      <c r="O1" s="3749"/>
      <c r="P1" s="3749"/>
      <c r="Q1" s="3749"/>
      <c r="R1" s="3749"/>
      <c r="S1" s="3750"/>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1" t="s">
        <v>27</v>
      </c>
      <c r="D22" s="3752"/>
      <c r="E22" s="3752"/>
      <c r="F22" s="3752"/>
      <c r="G22" s="3752"/>
      <c r="H22" s="3752"/>
      <c r="I22" s="3752"/>
      <c r="J22" s="3752"/>
      <c r="K22" s="3752"/>
      <c r="L22" s="3752"/>
      <c r="M22" s="3752"/>
      <c r="N22" s="3752"/>
      <c r="O22" s="3752"/>
      <c r="P22" s="3752"/>
      <c r="Q22" s="3753"/>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3387</v>
      </c>
      <c r="Q24" s="2805">
        <v>1</v>
      </c>
      <c r="R24" s="667">
        <f ca="1">结果表!G20</f>
        <v>22039</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6" t="str">
        <f>项目基本情况!S2</f>
        <v>北京市房地产</v>
      </c>
      <c r="B2" s="3627"/>
      <c r="C2" s="3627"/>
      <c r="D2" s="3627"/>
      <c r="E2" s="3627"/>
      <c r="F2" s="3627"/>
      <c r="G2" s="3627"/>
      <c r="H2" s="3627"/>
      <c r="I2" s="3628"/>
    </row>
    <row r="3" spans="1:12" ht="12.75">
      <c r="A3" s="3630" t="s">
        <v>1262</v>
      </c>
      <c r="B3" s="3631"/>
      <c r="C3" s="3631"/>
      <c r="D3" s="3631"/>
      <c r="E3" s="3631"/>
      <c r="F3" s="3631"/>
      <c r="G3" s="3631"/>
      <c r="H3" s="3631"/>
      <c r="I3" s="3631"/>
    </row>
    <row r="4" spans="1:12" ht="14.25">
      <c r="A4" s="1751" t="s">
        <v>1263</v>
      </c>
      <c r="B4" s="1752" t="s">
        <v>1264</v>
      </c>
      <c r="C4" s="1753" t="s">
        <v>3607</v>
      </c>
      <c r="D4" s="1753" t="s">
        <v>3391</v>
      </c>
      <c r="E4" s="3632" t="s">
        <v>1265</v>
      </c>
      <c r="F4" s="3633"/>
      <c r="G4" s="3633"/>
      <c r="H4" s="3633"/>
      <c r="I4" s="3634"/>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6" t="s">
        <v>1266</v>
      </c>
      <c r="B5" s="3593">
        <v>25</v>
      </c>
      <c r="C5" s="3609"/>
      <c r="D5" s="3629"/>
      <c r="E5" s="131" t="s">
        <v>1267</v>
      </c>
      <c r="F5" s="1754"/>
      <c r="G5" s="1754"/>
      <c r="H5" s="1754"/>
      <c r="I5" s="1370"/>
    </row>
    <row r="6" spans="1:12" ht="12.75">
      <c r="A6" s="3606"/>
      <c r="B6" s="3593"/>
      <c r="C6" s="3610"/>
      <c r="D6" s="3629"/>
      <c r="E6" s="131" t="s">
        <v>1268</v>
      </c>
      <c r="F6" s="1754"/>
      <c r="G6" s="1754"/>
      <c r="H6" s="1754"/>
      <c r="I6" s="1370"/>
    </row>
    <row r="7" spans="1:12" ht="12.75">
      <c r="A7" s="3606"/>
      <c r="B7" s="3593"/>
      <c r="C7" s="3611"/>
      <c r="D7" s="3629"/>
      <c r="E7" s="131" t="s">
        <v>1269</v>
      </c>
      <c r="F7" s="1754"/>
      <c r="G7" s="1754"/>
      <c r="H7" s="1754"/>
      <c r="I7" s="1370"/>
    </row>
    <row r="8" spans="1:12" ht="12.75">
      <c r="A8" s="3606" t="s">
        <v>1270</v>
      </c>
      <c r="B8" s="3593">
        <v>15</v>
      </c>
      <c r="C8" s="3609"/>
      <c r="D8" s="3629"/>
      <c r="E8" s="131" t="s">
        <v>1271</v>
      </c>
      <c r="F8" s="1754"/>
      <c r="G8" s="1754"/>
      <c r="H8" s="1754"/>
      <c r="I8" s="1370"/>
    </row>
    <row r="9" spans="1:12" ht="12.75">
      <c r="A9" s="3606"/>
      <c r="B9" s="3593"/>
      <c r="C9" s="3611"/>
      <c r="D9" s="3629"/>
      <c r="E9" s="131" t="s">
        <v>1272</v>
      </c>
      <c r="F9" s="1754"/>
      <c r="G9" s="1754"/>
      <c r="H9" s="1754"/>
      <c r="I9" s="1370"/>
    </row>
    <row r="10" spans="1:12" ht="12.75">
      <c r="A10" s="3606" t="s">
        <v>1273</v>
      </c>
      <c r="B10" s="3593">
        <v>15</v>
      </c>
      <c r="C10" s="3609"/>
      <c r="D10" s="3629"/>
      <c r="E10" s="131" t="s">
        <v>1274</v>
      </c>
      <c r="F10" s="1754"/>
      <c r="G10" s="1754"/>
      <c r="H10" s="1754"/>
      <c r="I10" s="1370"/>
    </row>
    <row r="11" spans="1:12" ht="12.75">
      <c r="A11" s="3606"/>
      <c r="B11" s="3593"/>
      <c r="C11" s="3611"/>
      <c r="D11" s="3629"/>
      <c r="E11" s="131" t="s">
        <v>1275</v>
      </c>
      <c r="F11" s="1754"/>
      <c r="G11" s="1754"/>
      <c r="H11" s="1754"/>
      <c r="I11" s="1370"/>
    </row>
    <row r="12" spans="1:12" ht="12.75">
      <c r="A12" s="3606" t="s">
        <v>1276</v>
      </c>
      <c r="B12" s="3593">
        <v>15</v>
      </c>
      <c r="C12" s="3609"/>
      <c r="D12" s="3629"/>
      <c r="E12" s="131" t="s">
        <v>1277</v>
      </c>
      <c r="F12" s="1754"/>
      <c r="G12" s="1754"/>
      <c r="H12" s="1754"/>
      <c r="I12" s="1370"/>
    </row>
    <row r="13" spans="1:12" ht="12.75">
      <c r="A13" s="3606"/>
      <c r="B13" s="3593"/>
      <c r="C13" s="3611"/>
      <c r="D13" s="3629"/>
      <c r="E13" s="131" t="s">
        <v>1278</v>
      </c>
      <c r="F13" s="1754"/>
      <c r="G13" s="1754"/>
      <c r="H13" s="1754"/>
      <c r="I13" s="1370"/>
    </row>
    <row r="14" spans="1:12" ht="12.75">
      <c r="A14" s="3606" t="s">
        <v>1279</v>
      </c>
      <c r="B14" s="3593">
        <v>30</v>
      </c>
      <c r="C14" s="3609">
        <v>6</v>
      </c>
      <c r="D14" s="3629">
        <v>4</v>
      </c>
      <c r="E14" s="131" t="s">
        <v>1280</v>
      </c>
      <c r="F14" s="1754"/>
      <c r="G14" s="1754"/>
      <c r="H14" s="1754"/>
      <c r="I14" s="1370"/>
    </row>
    <row r="15" spans="1:12" ht="12.75">
      <c r="A15" s="3606"/>
      <c r="B15" s="3593"/>
      <c r="C15" s="3610"/>
      <c r="D15" s="3629"/>
      <c r="E15" s="131" t="s">
        <v>1281</v>
      </c>
      <c r="F15" s="1754"/>
      <c r="G15" s="1754"/>
      <c r="H15" s="1754"/>
      <c r="I15" s="1370"/>
    </row>
    <row r="16" spans="1:12" ht="12.75">
      <c r="A16" s="3606"/>
      <c r="B16" s="3593"/>
      <c r="C16" s="3611"/>
      <c r="D16" s="3629"/>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16" t="s">
        <v>2128</v>
      </c>
      <c r="F18" s="3617"/>
      <c r="G18" s="3617"/>
      <c r="H18" s="3617"/>
      <c r="I18" s="3617"/>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SUMIF(INDIRECT("'"&amp;C4&amp;"'"&amp;"!A:A"),结果表车库!B19,INDIRECT("'"&amp;C4&amp;"'"&amp;"!B:B"))</f>
        <v>7</v>
      </c>
      <c r="D19" s="135">
        <f ca="1">SUMIF(INDIRECT("'"&amp;D4&amp;"'"&amp;"!A:A"),结果表车库!B19,INDIRECT("'"&amp;D4&amp;"'"&amp;"!B:B"))</f>
        <v>2928.9531000000002</v>
      </c>
      <c r="E19" s="1758" t="s">
        <v>1290</v>
      </c>
      <c r="F19" s="1759" t="s">
        <v>1289</v>
      </c>
      <c r="G19" s="136">
        <f ca="1">ROUND(C19*$C$18+D19*$D$18,0)</f>
        <v>1176</v>
      </c>
      <c r="H19" s="1760" t="s">
        <v>1291</v>
      </c>
      <c r="I19" s="129"/>
      <c r="K19" s="302" t="s">
        <v>1292</v>
      </c>
      <c r="L19" s="302">
        <f>IF(C1="",'数据-汇总表'!D3,SUMIF(项目类型,C1,'数据-汇总表'!D17:D26)+SUMIF(项目类型,C1,'数据-汇总表'!H17:H27))</f>
        <v>17150.68</v>
      </c>
      <c r="M19" s="302">
        <f>IF(C1="",'数据-汇总表'!D3,SUMIF(项目类型,C1,'数据-汇总表'!D17:D26))</f>
        <v>17150.68</v>
      </c>
    </row>
    <row r="20" spans="1:36" ht="15">
      <c r="A20" s="1761"/>
      <c r="B20" s="1024" t="s">
        <v>1293</v>
      </c>
      <c r="C20" s="137">
        <f ca="1">SUMIF(INDIRECT("'"&amp;C4&amp;"'"&amp;"!A:A"),结果表车库!B20,INDIRECT("'"&amp;C4&amp;"'"&amp;"!B:B"))</f>
        <v>8</v>
      </c>
      <c r="D20" s="138">
        <f ca="1">SUMIF(INDIRECT("'"&amp;D4&amp;"'"&amp;"!A:A"),结果表车库!B20,INDIRECT("'"&amp;D4&amp;"'"&amp;"!B:B"))</f>
        <v>3375</v>
      </c>
      <c r="E20" s="1761"/>
      <c r="F20" s="1024" t="s">
        <v>1293</v>
      </c>
      <c r="G20" s="139">
        <f ca="1">ROUND(C20*$C$18+D20*$D$18,0)</f>
        <v>1355</v>
      </c>
      <c r="H20" s="807" t="s">
        <v>1294</v>
      </c>
      <c r="I20" s="129"/>
    </row>
    <row r="21" spans="1:36" ht="15" customHeight="1" thickBot="1">
      <c r="A21" s="827"/>
      <c r="B21" s="1762" t="s">
        <v>1295</v>
      </c>
      <c r="C21" s="718">
        <f ca="1">ROUND(C19*10000/L19,0)</f>
        <v>4</v>
      </c>
      <c r="D21" s="719">
        <f ca="1">ROUND(D19*10000/L19,0)</f>
        <v>1708</v>
      </c>
      <c r="E21" s="827"/>
      <c r="F21" s="1762" t="s">
        <v>1295</v>
      </c>
      <c r="G21" s="140">
        <f ca="1">ROUND(G19*10000/L19,0)</f>
        <v>686</v>
      </c>
      <c r="H21" s="1763" t="s">
        <v>1294</v>
      </c>
      <c r="I21" s="129"/>
    </row>
    <row r="22" spans="1:36" ht="15" thickBot="1">
      <c r="A22" s="1685" t="s">
        <v>1296</v>
      </c>
      <c r="B22" s="1764"/>
      <c r="C22" s="1765"/>
      <c r="D22" s="720">
        <f ca="1">IF(C19&lt;D19,D19/C19-1,C19/D19-1)</f>
        <v>417.42187142857148</v>
      </c>
      <c r="E22" s="129"/>
      <c r="F22" s="129"/>
      <c r="G22" s="129"/>
      <c r="H22" s="129"/>
      <c r="I22" s="129"/>
    </row>
    <row r="23" spans="1:36" ht="13.5" thickBot="1">
      <c r="A23" s="1744"/>
      <c r="B23" s="1744"/>
      <c r="C23" s="1744"/>
      <c r="D23" s="1744"/>
      <c r="E23" s="129"/>
      <c r="F23" s="129"/>
      <c r="G23" s="129"/>
      <c r="H23" s="129"/>
      <c r="I23" s="129"/>
    </row>
    <row r="24" spans="1:36" ht="14.25">
      <c r="A24" s="3600" t="s">
        <v>1297</v>
      </c>
      <c r="B24" s="1759" t="s">
        <v>1289</v>
      </c>
      <c r="C24" s="136">
        <f>IF(B30=0,0,D30)</f>
        <v>0</v>
      </c>
      <c r="D24" s="1766"/>
      <c r="E24" s="129"/>
      <c r="F24" s="129"/>
      <c r="G24" s="129"/>
      <c r="H24" s="129"/>
      <c r="I24" s="129"/>
    </row>
    <row r="25" spans="1:36" ht="14.25">
      <c r="A25" s="3601"/>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1355</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20" t="s">
        <v>1310</v>
      </c>
      <c r="B36" s="1784" t="s">
        <v>1311</v>
      </c>
      <c r="C36" s="145"/>
      <c r="D36" s="1785"/>
      <c r="E36" s="1786"/>
      <c r="F36" s="1787"/>
      <c r="G36" s="129"/>
      <c r="H36" s="129"/>
      <c r="I36" s="129"/>
    </row>
    <row r="37" spans="1:15" ht="15.75" thickBot="1">
      <c r="A37" s="3621"/>
      <c r="B37" s="1671" t="s">
        <v>1312</v>
      </c>
      <c r="C37" s="147"/>
      <c r="D37" s="1137"/>
      <c r="E37" s="1137"/>
      <c r="F37" s="1787"/>
      <c r="G37" s="129"/>
      <c r="H37" s="129"/>
      <c r="I37" s="129"/>
    </row>
    <row r="38" spans="1:15" ht="15.75" thickBot="1">
      <c r="A38" s="3622"/>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7" t="s">
        <v>1324</v>
      </c>
      <c r="B45" s="3598"/>
      <c r="C45" s="3599"/>
      <c r="D45" s="155" t="e">
        <f ca="1">ROUND(H101*F45,0)</f>
        <v>#REF!</v>
      </c>
      <c r="E45" s="156" t="s">
        <v>1325</v>
      </c>
      <c r="F45" s="157">
        <v>1</v>
      </c>
      <c r="G45" s="158" t="s">
        <v>1326</v>
      </c>
      <c r="H45" s="129"/>
      <c r="I45" s="129"/>
      <c r="J45" s="3675" t="s">
        <v>1327</v>
      </c>
      <c r="K45" s="3675"/>
      <c r="L45" s="3675"/>
      <c r="M45" s="3675"/>
      <c r="N45" s="3675"/>
      <c r="O45" s="3675"/>
    </row>
    <row r="46" spans="1:15" ht="14.25" customHeight="1">
      <c r="A46" s="3594" t="s">
        <v>1328</v>
      </c>
      <c r="B46" s="3595"/>
      <c r="C46" s="3595"/>
      <c r="D46" s="3595"/>
      <c r="E46" s="3595"/>
      <c r="F46" s="3595"/>
      <c r="G46" s="3596"/>
      <c r="H46" s="1803"/>
      <c r="I46" s="159"/>
      <c r="J46" s="3458">
        <v>1</v>
      </c>
      <c r="K46" s="3656" t="s">
        <v>1329</v>
      </c>
      <c r="L46" s="3656"/>
      <c r="M46" s="3676"/>
      <c r="N46" s="3676"/>
      <c r="O46" s="3676"/>
    </row>
    <row r="47" spans="1:15" ht="12" customHeight="1">
      <c r="A47" s="160" t="s">
        <v>1330</v>
      </c>
      <c r="B47" s="161"/>
      <c r="C47" s="162"/>
      <c r="D47" s="1085" t="s">
        <v>1331</v>
      </c>
      <c r="E47" s="302" t="s">
        <v>1332</v>
      </c>
      <c r="F47" s="163" t="s">
        <v>1333</v>
      </c>
      <c r="G47" s="2541" t="s">
        <v>1334</v>
      </c>
      <c r="H47" s="2542"/>
      <c r="I47" s="159"/>
      <c r="J47" s="3458">
        <v>2</v>
      </c>
      <c r="K47" s="3656" t="s">
        <v>1335</v>
      </c>
      <c r="L47" s="3656"/>
      <c r="M47" s="3677">
        <f>'数据-取费表'!B2</f>
        <v>45216</v>
      </c>
      <c r="N47" s="3677"/>
      <c r="O47" s="3677"/>
    </row>
    <row r="48" spans="1:15" ht="25.5">
      <c r="A48" s="3625" t="s">
        <v>1336</v>
      </c>
      <c r="B48" s="3608"/>
      <c r="C48" s="3608"/>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656" t="s">
        <v>1338</v>
      </c>
      <c r="L48" s="3656"/>
      <c r="M48" s="3678" t="e">
        <f ca="1">H101</f>
        <v>#REF!</v>
      </c>
      <c r="N48" s="3678"/>
      <c r="O48" s="3678"/>
    </row>
    <row r="49" spans="1:35" ht="25.5" customHeight="1">
      <c r="A49" s="3455" t="s">
        <v>1339</v>
      </c>
      <c r="B49" s="3592" t="s">
        <v>1340</v>
      </c>
      <c r="C49" s="3592"/>
      <c r="D49" s="1587">
        <v>0</v>
      </c>
      <c r="E49" s="324" t="s">
        <v>1341</v>
      </c>
      <c r="F49" s="3445" t="s">
        <v>28</v>
      </c>
      <c r="G49" s="3662"/>
      <c r="H49" s="2305" t="s">
        <v>2131</v>
      </c>
      <c r="I49" s="2306"/>
      <c r="J49" s="3458">
        <v>4</v>
      </c>
      <c r="K49" s="3656" t="str">
        <f>IF(项目基本情况!E8="房地产抵押价值","房地产抵押价值","抵押担保权已注销时的房地产抵押价值")</f>
        <v>房地产抵押价值</v>
      </c>
      <c r="L49" s="3656"/>
      <c r="M49" s="3678" t="str">
        <f ca="1">IF(项目基本情况!E8="房地产抵押价值",H107,H109)</f>
        <v>——</v>
      </c>
      <c r="N49" s="3678"/>
      <c r="O49" s="3678"/>
    </row>
    <row r="50" spans="1:35" ht="25.5" customHeight="1">
      <c r="A50" s="2546"/>
      <c r="B50" s="3592" t="s">
        <v>1342</v>
      </c>
      <c r="C50" s="3592"/>
      <c r="D50" s="2547"/>
      <c r="E50" s="332"/>
      <c r="F50" s="3445"/>
      <c r="G50" s="3663"/>
      <c r="H50" s="2307" t="s">
        <v>2132</v>
      </c>
      <c r="I50" s="2306"/>
      <c r="J50" s="3675" t="s">
        <v>1343</v>
      </c>
      <c r="K50" s="3675"/>
      <c r="L50" s="3675"/>
      <c r="M50" s="3675"/>
      <c r="N50" s="3675"/>
      <c r="O50" s="3675"/>
    </row>
    <row r="51" spans="1:35" ht="20.45" customHeight="1">
      <c r="A51" s="2548"/>
      <c r="B51" s="3592" t="s">
        <v>1344</v>
      </c>
      <c r="C51" s="3592"/>
      <c r="D51" s="1085"/>
      <c r="E51" s="327"/>
      <c r="F51" s="3445"/>
      <c r="G51" s="3664"/>
      <c r="H51" s="2307" t="s">
        <v>2133</v>
      </c>
      <c r="I51" s="2306"/>
      <c r="J51" s="3457" t="s">
        <v>1345</v>
      </c>
      <c r="K51" s="3656" t="s">
        <v>1346</v>
      </c>
      <c r="L51" s="3656"/>
      <c r="M51" s="3457" t="s">
        <v>1347</v>
      </c>
      <c r="N51" s="3457" t="s">
        <v>1348</v>
      </c>
      <c r="O51" s="3457" t="s">
        <v>1349</v>
      </c>
    </row>
    <row r="52" spans="1:35" ht="24" customHeight="1">
      <c r="A52" s="3450" t="s">
        <v>1350</v>
      </c>
      <c r="B52" s="3592" t="s">
        <v>1351</v>
      </c>
      <c r="C52" s="3592"/>
      <c r="D52" s="1085" t="e">
        <f ca="1">ROUND(D45*'数据-取费表'!B41/(1+'数据-取费表'!C42),0)</f>
        <v>#REF!</v>
      </c>
      <c r="E52" s="3451" t="s">
        <v>1352</v>
      </c>
      <c r="F52" s="2549">
        <f>'数据-取费表'!B41</f>
        <v>5.5000000000000007E-2</v>
      </c>
      <c r="G52" s="2550"/>
      <c r="H52" s="2539"/>
      <c r="I52" s="1804"/>
      <c r="J52" s="3458">
        <v>1</v>
      </c>
      <c r="K52" s="3657" t="s">
        <v>1353</v>
      </c>
      <c r="L52" s="3657"/>
      <c r="M52" s="2520" t="b">
        <f>D48</f>
        <v>0</v>
      </c>
      <c r="N52" s="3458" t="str">
        <f>E48</f>
        <v>销售额×税（费）率</v>
      </c>
      <c r="O52" s="2521">
        <f>F48</f>
        <v>5.5000000000000007E-2</v>
      </c>
    </row>
    <row r="53" spans="1:35" ht="12" customHeight="1">
      <c r="A53" s="3450" t="s">
        <v>1354</v>
      </c>
      <c r="B53" s="3618" t="s">
        <v>2288</v>
      </c>
      <c r="C53" s="3619"/>
      <c r="D53" s="1085" t="e">
        <f ca="1">ROUND(D45*'数据-取费表'!B41/(1+'数据-取费表'!C42),0)</f>
        <v>#REF!</v>
      </c>
      <c r="E53" s="3451" t="s">
        <v>1352</v>
      </c>
      <c r="F53" s="2549">
        <f>'数据-取费表'!B41</f>
        <v>5.5000000000000007E-2</v>
      </c>
      <c r="G53" s="2550"/>
      <c r="H53" s="2539"/>
      <c r="I53" s="1804"/>
      <c r="J53" s="3458">
        <v>2</v>
      </c>
      <c r="K53" s="3657" t="s">
        <v>1355</v>
      </c>
      <c r="L53" s="3657"/>
      <c r="M53" s="2520" t="e">
        <f t="shared" ref="M53:O54" ca="1" si="0">D55</f>
        <v>#REF!</v>
      </c>
      <c r="N53" s="3458" t="str">
        <f t="shared" si="0"/>
        <v>销售额×税（费）率</v>
      </c>
      <c r="O53" s="2521" t="str">
        <f t="shared" si="0"/>
        <v>免征</v>
      </c>
    </row>
    <row r="54" spans="1:35" ht="12" customHeight="1">
      <c r="A54" s="3450" t="s">
        <v>1356</v>
      </c>
      <c r="B54" s="3618" t="s">
        <v>2289</v>
      </c>
      <c r="C54" s="3619"/>
      <c r="D54" s="1085" t="e">
        <f ca="1">C68</f>
        <v>#REF!</v>
      </c>
      <c r="E54" s="327" t="s">
        <v>1357</v>
      </c>
      <c r="F54" s="2549">
        <f>'数据-取费表'!B41</f>
        <v>5.5000000000000007E-2</v>
      </c>
      <c r="G54" s="2550"/>
      <c r="H54" s="2551"/>
      <c r="I54" s="1804"/>
      <c r="J54" s="3458">
        <v>3</v>
      </c>
      <c r="K54" s="3657" t="s">
        <v>1358</v>
      </c>
      <c r="L54" s="3657"/>
      <c r="M54" s="2520" t="e">
        <f t="shared" ca="1" si="0"/>
        <v>#REF!</v>
      </c>
      <c r="N54" s="3458" t="str">
        <f t="shared" si="0"/>
        <v>增值额×税（费）率</v>
      </c>
      <c r="O54" s="2522" t="str">
        <f t="shared" si="0"/>
        <v>免征</v>
      </c>
    </row>
    <row r="55" spans="1:35" ht="24" customHeight="1">
      <c r="A55" s="3607" t="s">
        <v>1359</v>
      </c>
      <c r="B55" s="3608"/>
      <c r="C55" s="3608"/>
      <c r="D55" s="3460" t="e">
        <f ca="1">IF(H55="个人住宅",0,ROUND(D45*I55,0))</f>
        <v>#REF!</v>
      </c>
      <c r="E55" s="3451" t="s">
        <v>1360</v>
      </c>
      <c r="F55" s="2549" t="str">
        <f>IF(H55="正常",I55,"免征")</f>
        <v>免征</v>
      </c>
      <c r="G55" s="2550"/>
      <c r="H55" s="2545"/>
      <c r="I55" s="165">
        <f>'数据-取费表'!B49</f>
        <v>5.0000000000000001E-4</v>
      </c>
      <c r="J55" s="3458">
        <f>IF(H59="非个人房产","",4)</f>
        <v>4</v>
      </c>
      <c r="K55" s="3657" t="str">
        <f>IF(H59="非个人房产","——","个人所得税")</f>
        <v>个人所得税</v>
      </c>
      <c r="L55" s="3657"/>
      <c r="M55" s="2523" t="e">
        <f ca="1">D59</f>
        <v>#REF!</v>
      </c>
      <c r="N55" s="3459" t="str">
        <f>E59</f>
        <v>差额计税</v>
      </c>
      <c r="O55" s="2524">
        <f>F59</f>
        <v>0.01</v>
      </c>
    </row>
    <row r="56" spans="1:35" ht="24.75">
      <c r="A56" s="3607" t="s">
        <v>1361</v>
      </c>
      <c r="B56" s="3608"/>
      <c r="C56" s="3608"/>
      <c r="D56" s="3460" t="e">
        <f ca="1">IF(H56="个人住宅",D57,D58)</f>
        <v>#REF!</v>
      </c>
      <c r="E56" s="3451" t="s">
        <v>1362</v>
      </c>
      <c r="F56" s="2549" t="str">
        <f>IF(H56="正常",F58,"免征")</f>
        <v>免征</v>
      </c>
      <c r="G56" s="2552" t="s">
        <v>1363</v>
      </c>
      <c r="H56" s="2553"/>
      <c r="I56" s="1805"/>
      <c r="J56" s="3458" t="str">
        <f>IF(项目基本情况!K6="上海银行",IF(J55="",4,J55+1),"")</f>
        <v/>
      </c>
      <c r="K56" s="3680" t="str">
        <f>IF(项目基本情况!K6="上海银行","其他处置费用","")</f>
        <v/>
      </c>
      <c r="L56" s="3681"/>
      <c r="M56" s="2520" t="str">
        <f>IF(项目基本情况!K6="上海银行",M69,"")</f>
        <v/>
      </c>
      <c r="N56" s="3680" t="str">
        <f>IF(项目基本情况!K6="上海银行","包含处置中涉及的律师、诉讼、拍卖、评估等费用","")</f>
        <v/>
      </c>
      <c r="O56" s="3683"/>
    </row>
    <row r="57" spans="1:35" ht="12.75">
      <c r="A57" s="3450" t="s">
        <v>1339</v>
      </c>
      <c r="B57" s="3618" t="s">
        <v>1364</v>
      </c>
      <c r="C57" s="3619"/>
      <c r="D57" s="1587">
        <v>0</v>
      </c>
      <c r="E57" s="324" t="s">
        <v>1341</v>
      </c>
      <c r="F57" s="302"/>
      <c r="G57" s="2550"/>
      <c r="H57" s="2554"/>
      <c r="I57" s="1805"/>
      <c r="J57" s="3657">
        <f>IF(AND(J55="",J56=""),4,IF(项目基本情况!K6="上海银行",结果表车库!J56+1,结果表车库!J55+1))</f>
        <v>5</v>
      </c>
      <c r="K57" s="3657" t="s">
        <v>1365</v>
      </c>
      <c r="L57" s="2525" t="s">
        <v>1366</v>
      </c>
      <c r="M57" s="2526"/>
      <c r="N57" s="2527">
        <f ca="1">SUMIF(M52:M56,"&lt;9e307")</f>
        <v>0</v>
      </c>
      <c r="O57" s="2528"/>
      <c r="P57" s="2685" t="e">
        <f ca="1">N57/M49</f>
        <v>#VALUE!</v>
      </c>
    </row>
    <row r="58" spans="1:35" ht="24.75">
      <c r="A58" s="3450" t="s">
        <v>1350</v>
      </c>
      <c r="B58" s="3618" t="s">
        <v>1367</v>
      </c>
      <c r="C58" s="3592"/>
      <c r="D58" s="3460" t="e">
        <f ca="1">IF(H58="转让取得",C81,C97)</f>
        <v>#REF!</v>
      </c>
      <c r="E58" s="3451" t="s">
        <v>1362</v>
      </c>
      <c r="F58" s="302" t="s">
        <v>28</v>
      </c>
      <c r="G58" s="2550"/>
      <c r="H58" s="2553"/>
      <c r="I58" s="1805"/>
      <c r="J58" s="3657"/>
      <c r="K58" s="3657"/>
      <c r="L58" s="2525" t="s">
        <v>1368</v>
      </c>
      <c r="M58" s="2529"/>
      <c r="N58" s="2530" t="str">
        <f ca="1">NUMBERSTRING(INT(N57*10000),2)&amp;"元整"</f>
        <v>零元整</v>
      </c>
      <c r="O58" s="2531"/>
    </row>
    <row r="59" spans="1:35" ht="24.75" thickBot="1">
      <c r="A59" s="3660" t="s">
        <v>1369</v>
      </c>
      <c r="B59" s="3661"/>
      <c r="C59" s="3661"/>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58">
        <f>J57+1</f>
        <v>6</v>
      </c>
      <c r="K59" s="3657" t="s">
        <v>1370</v>
      </c>
      <c r="L59" s="3458" t="s">
        <v>1366</v>
      </c>
      <c r="M59" s="2532"/>
      <c r="N59" s="2533" t="e">
        <f ca="1">M49-N57</f>
        <v>#VALUE!</v>
      </c>
      <c r="O59" s="2534"/>
    </row>
    <row r="60" spans="1:35" ht="12" customHeight="1">
      <c r="A60" s="1806"/>
      <c r="B60" s="1744"/>
      <c r="C60" s="1744"/>
      <c r="D60" s="1744"/>
      <c r="E60" s="1575"/>
      <c r="F60" s="1805"/>
      <c r="G60" s="1805"/>
      <c r="H60" s="1807"/>
      <c r="I60" s="129"/>
      <c r="J60" s="3659"/>
      <c r="K60" s="3657"/>
      <c r="L60" s="2525" t="s">
        <v>1368</v>
      </c>
      <c r="M60" s="2529"/>
      <c r="N60" s="2530" t="e">
        <f ca="1">NUMBERSTRING(INT(N59*10000),2)&amp;"元整"</f>
        <v>#VALUE!</v>
      </c>
      <c r="O60" s="2531"/>
    </row>
    <row r="61" spans="1:35" ht="13.5" thickBot="1">
      <c r="A61" s="3605" t="s">
        <v>1371</v>
      </c>
      <c r="B61" s="3605"/>
      <c r="C61" s="3605"/>
      <c r="D61" s="3605"/>
      <c r="E61" s="3605"/>
      <c r="F61" s="1805"/>
      <c r="G61" s="1805"/>
      <c r="H61" s="1807"/>
      <c r="I61" s="129"/>
      <c r="J61" s="3458">
        <f>J59+1</f>
        <v>7</v>
      </c>
      <c r="K61" s="3657" t="s">
        <v>1372</v>
      </c>
      <c r="L61" s="3657"/>
      <c r="M61" s="2535"/>
      <c r="N61" s="2536" t="e">
        <f ca="1">ROUND(N59*10000/'数据-汇总表'!E3,0)</f>
        <v>#VALUE!</v>
      </c>
      <c r="O61" s="2537"/>
    </row>
    <row r="62" spans="1:35" ht="12.75">
      <c r="A62" s="3623" t="s">
        <v>1373</v>
      </c>
      <c r="B62" s="3624"/>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82"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82"/>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82"/>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82"/>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82"/>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82"/>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2"/>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4" t="s">
        <v>1392</v>
      </c>
      <c r="B70" s="3645"/>
      <c r="C70" s="3645"/>
      <c r="D70" s="3645"/>
      <c r="E70" s="3645"/>
      <c r="F70" s="3645"/>
      <c r="G70" s="3645"/>
      <c r="H70" s="3645"/>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3" t="s">
        <v>1373</v>
      </c>
      <c r="B71" s="3624"/>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8" t="s">
        <v>1400</v>
      </c>
      <c r="F76" s="3592"/>
      <c r="G76" s="3592"/>
      <c r="H76" s="364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02" t="s">
        <v>1404</v>
      </c>
      <c r="F78" s="3603"/>
      <c r="G78" s="3603"/>
      <c r="H78" s="361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4" t="s">
        <v>1408</v>
      </c>
      <c r="B83" s="3645"/>
      <c r="C83" s="3645"/>
      <c r="D83" s="3645"/>
      <c r="E83" s="3645"/>
      <c r="F83" s="3645"/>
      <c r="G83" s="3645"/>
      <c r="H83" s="364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3" t="s">
        <v>1373</v>
      </c>
      <c r="B84" s="3624"/>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84" t="s">
        <v>2126</v>
      </c>
      <c r="H90" s="3685"/>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02" t="s">
        <v>1417</v>
      </c>
      <c r="F91" s="3603"/>
      <c r="G91" s="360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02" t="s">
        <v>1420</v>
      </c>
      <c r="F92" s="3603"/>
      <c r="G92" s="3603"/>
      <c r="H92" s="3612"/>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02" t="s">
        <v>1404</v>
      </c>
      <c r="F93" s="3603"/>
      <c r="G93" s="3603"/>
      <c r="H93" s="361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13" t="s">
        <v>1424</v>
      </c>
      <c r="F94" s="3614"/>
      <c r="G94" s="3614"/>
      <c r="H94" s="361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4" t="s">
        <v>1426</v>
      </c>
      <c r="B100" s="3585"/>
      <c r="C100" s="3585"/>
      <c r="D100" s="3604"/>
      <c r="E100" s="3585" t="s">
        <v>1427</v>
      </c>
      <c r="F100" s="3585"/>
      <c r="G100" s="3585"/>
      <c r="H100" s="3604"/>
      <c r="I100" s="129"/>
    </row>
    <row r="101" spans="1:35" ht="18.75" customHeight="1">
      <c r="A101" s="3665" t="s">
        <v>1428</v>
      </c>
      <c r="B101" s="3666"/>
      <c r="C101" s="2580" t="str">
        <f>C4</f>
        <v>比较法-车位</v>
      </c>
      <c r="D101" s="2581" t="str">
        <f>D4</f>
        <v>收益法 (元)</v>
      </c>
      <c r="E101" s="3679" t="s">
        <v>1429</v>
      </c>
      <c r="F101" s="3636"/>
      <c r="G101" s="1824" t="s">
        <v>1430</v>
      </c>
      <c r="H101" s="2590" t="e">
        <f ca="1">H118</f>
        <v>#REF!</v>
      </c>
      <c r="I101" s="129"/>
    </row>
    <row r="102" spans="1:35" ht="18.75" customHeight="1">
      <c r="A102" s="3638" t="s">
        <v>1431</v>
      </c>
      <c r="B102" s="2579" t="s">
        <v>1430</v>
      </c>
      <c r="C102" s="2580">
        <f ca="1">IF(D32="楼面单价",ROUND(C19,0),C19)</f>
        <v>7</v>
      </c>
      <c r="D102" s="2581">
        <f ca="1">IF(D32="楼面单价",ROUND(D19,0),D19)</f>
        <v>2928.9531000000002</v>
      </c>
      <c r="E102" s="3679"/>
      <c r="F102" s="3636"/>
      <c r="G102" s="1824" t="s">
        <v>1432</v>
      </c>
      <c r="H102" s="2550" t="e">
        <f ca="1">I118</f>
        <v>#REF!</v>
      </c>
      <c r="I102" s="129"/>
    </row>
    <row r="103" spans="1:35" ht="42.75" customHeight="1">
      <c r="A103" s="3638"/>
      <c r="B103" s="2579" t="s">
        <v>1432</v>
      </c>
      <c r="C103" s="2582">
        <f ca="1">C20</f>
        <v>8</v>
      </c>
      <c r="D103" s="2583">
        <f ca="1">D20</f>
        <v>3375</v>
      </c>
      <c r="E103" s="3673" t="s">
        <v>1433</v>
      </c>
      <c r="F103" s="3674"/>
      <c r="G103" s="1825" t="s">
        <v>1434</v>
      </c>
      <c r="H103" s="2590">
        <f>IF(D36="正常操作",H104+H105+H106,H105+H106)</f>
        <v>0</v>
      </c>
      <c r="I103" s="129"/>
    </row>
    <row r="104" spans="1:35" ht="18.75" customHeight="1">
      <c r="A104" s="3638"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5" t="str">
        <f>IF(项目基本情况!E8="已注销","——","3.房地产抵押价值")</f>
        <v>3.房地产抵押价值</v>
      </c>
      <c r="F107" s="3636"/>
      <c r="G107" s="1824" t="s">
        <v>1430</v>
      </c>
      <c r="H107" s="2590" t="e">
        <f ca="1">IF(E107="——","——",H101-H103)</f>
        <v>#REF!</v>
      </c>
      <c r="I107" s="129"/>
    </row>
    <row r="108" spans="1:35" ht="18.75" customHeight="1">
      <c r="A108" s="129"/>
      <c r="B108" s="129"/>
      <c r="C108" s="129"/>
      <c r="D108" s="129"/>
      <c r="E108" s="3635"/>
      <c r="F108" s="3636"/>
      <c r="G108" s="1824" t="s">
        <v>1432</v>
      </c>
      <c r="H108" s="2550">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4" t="s">
        <v>1430</v>
      </c>
      <c r="H109" s="2593" t="str">
        <f>IF(E109="——","——",H101-H105-H106)</f>
        <v>——</v>
      </c>
      <c r="I109" s="129"/>
    </row>
    <row r="110" spans="1:35" ht="18.75" customHeight="1">
      <c r="A110" s="129"/>
      <c r="B110" s="129"/>
      <c r="C110" s="129"/>
      <c r="D110" s="129"/>
      <c r="E110" s="3635"/>
      <c r="F110" s="3636"/>
      <c r="G110" s="1824" t="s">
        <v>1432</v>
      </c>
      <c r="H110" s="2550"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37"/>
      <c r="G111" s="1824" t="s">
        <v>1430</v>
      </c>
      <c r="H111" s="2590" t="str">
        <f ca="1">IF(E111="——","——",N59)</f>
        <v>——</v>
      </c>
      <c r="I111" s="129"/>
    </row>
    <row r="112" spans="1:35" ht="18.75" customHeight="1" thickBot="1">
      <c r="A112" s="129"/>
      <c r="B112" s="129"/>
      <c r="C112" s="129"/>
      <c r="D112" s="129"/>
      <c r="E112" s="3668"/>
      <c r="F112" s="3669"/>
      <c r="G112" s="1827" t="s">
        <v>1432</v>
      </c>
      <c r="H112" s="2594" t="str">
        <f ca="1">IF(E111="——","——",N61)</f>
        <v>——</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50" t="s">
        <v>1440</v>
      </c>
      <c r="B115" s="3651"/>
      <c r="C115" s="3651"/>
      <c r="D115" s="3651"/>
      <c r="E115" s="3651"/>
      <c r="F115" s="3651"/>
      <c r="G115" s="3651"/>
      <c r="H115" s="3651"/>
      <c r="I115" s="3652"/>
    </row>
    <row r="116" spans="1:27" ht="27" customHeight="1">
      <c r="A116" s="3606" t="s">
        <v>1441</v>
      </c>
      <c r="B116" s="3641" t="s">
        <v>1442</v>
      </c>
      <c r="C116" s="3641" t="s">
        <v>1443</v>
      </c>
      <c r="D116" s="3654" t="s">
        <v>1444</v>
      </c>
      <c r="E116" s="3655"/>
      <c r="F116" s="3649" t="s">
        <v>1445</v>
      </c>
      <c r="G116" s="3649"/>
      <c r="H116" s="3606" t="s">
        <v>1446</v>
      </c>
      <c r="I116" s="3606"/>
    </row>
    <row r="117" spans="1:27" ht="18.75" customHeight="1">
      <c r="A117" s="3606"/>
      <c r="B117" s="3642"/>
      <c r="C117" s="3642"/>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43061.14</v>
      </c>
      <c r="C118" s="3449">
        <f>M19</f>
        <v>17150.68</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6" t="s">
        <v>1450</v>
      </c>
      <c r="B119" s="3606"/>
      <c r="C119" s="3606"/>
      <c r="D119" s="3646" t="e">
        <f ca="1">NUMBERSTRING(INT(D118*10000),2)&amp;"元整"</f>
        <v>#REF!</v>
      </c>
      <c r="E119" s="3648"/>
      <c r="F119" s="3646" t="e">
        <f ca="1">NUMBERSTRING(INT(F118*10000),2)&amp;"元整"</f>
        <v>#REF!</v>
      </c>
      <c r="G119" s="3648"/>
      <c r="H119" s="3646" t="e">
        <f ca="1">NUMBERSTRING(INT(H118*10000),2)&amp;"元整"</f>
        <v>#REF!</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6" t="s">
        <v>1450</v>
      </c>
      <c r="B121" s="3647"/>
      <c r="C121" s="3648"/>
      <c r="D121" s="3646" t="str">
        <f>IF(D120=0,"零元整",NUMBERSTRING(INT(D120*10000),2)&amp;"元整")</f>
        <v>零元整</v>
      </c>
      <c r="E121" s="3647"/>
      <c r="F121" s="3647"/>
      <c r="G121" s="3647"/>
      <c r="H121" s="3647"/>
      <c r="I121" s="3648"/>
      <c r="AA121" s="724"/>
    </row>
    <row r="122" spans="1:27" ht="18.75" customHeight="1">
      <c r="A122" s="3637" t="str">
        <f>IF(项目基本情况!B9="房地产市场价值","",MID(E107,3,LEN(E107)-2))</f>
        <v>房地产抵押价值</v>
      </c>
      <c r="B122" s="3637"/>
      <c r="C122" s="3637"/>
      <c r="D122" s="3670" t="e">
        <f ca="1">H107</f>
        <v>#REF!</v>
      </c>
      <c r="E122" s="3671"/>
      <c r="F122" s="3671"/>
      <c r="G122" s="3671"/>
      <c r="H122" s="3671"/>
      <c r="I122" s="3672"/>
      <c r="AA122" s="724"/>
    </row>
    <row r="123" spans="1:27" ht="18.75" customHeight="1">
      <c r="A123" s="3606" t="s">
        <v>1450</v>
      </c>
      <c r="B123" s="3606"/>
      <c r="C123" s="3606"/>
      <c r="D123" s="3646" t="e">
        <f ca="1">NUMBERSTRING(INT(D122*10000),2)&amp;"元整"</f>
        <v>#REF!</v>
      </c>
      <c r="E123" s="3647"/>
      <c r="F123" s="3647"/>
      <c r="G123" s="3647"/>
      <c r="H123" s="3647"/>
      <c r="I123" s="3648"/>
      <c r="AA123" s="724"/>
    </row>
    <row r="124" spans="1:27" ht="18.75" customHeight="1">
      <c r="A124" s="3637" t="str">
        <f>IF(项目基本情况!B9="房地产市场价值","",MID(E109,3,LEN(E109)-2))</f>
        <v/>
      </c>
      <c r="B124" s="3637"/>
      <c r="C124" s="3637"/>
      <c r="D124" s="3670" t="str">
        <f>H109</f>
        <v>——</v>
      </c>
      <c r="E124" s="3671"/>
      <c r="F124" s="3671"/>
      <c r="G124" s="3671"/>
      <c r="H124" s="3671"/>
      <c r="I124" s="3672"/>
      <c r="AA124" s="724"/>
    </row>
    <row r="125" spans="1:27" ht="18.75" customHeight="1">
      <c r="A125" s="3606" t="s">
        <v>1450</v>
      </c>
      <c r="B125" s="3606"/>
      <c r="C125" s="3606"/>
      <c r="D125" s="3646" t="e">
        <f>NUMBERSTRING(INT(D124*10000),2)&amp;"元整"</f>
        <v>#VALUE!</v>
      </c>
      <c r="E125" s="3647"/>
      <c r="F125" s="3647"/>
      <c r="G125" s="3647"/>
      <c r="H125" s="3647"/>
      <c r="I125" s="3648"/>
      <c r="AA125" s="724"/>
    </row>
    <row r="126" spans="1:27" ht="18.75" customHeight="1">
      <c r="A126" s="3637" t="str">
        <f>IF(项目基本情况!B9="房地产市场价值","",MID(E111,3,LEN(E111)-2))</f>
        <v>抵押净值</v>
      </c>
      <c r="B126" s="3637"/>
      <c r="C126" s="3637"/>
      <c r="D126" s="3670" t="str">
        <f ca="1">H111</f>
        <v>——</v>
      </c>
      <c r="E126" s="3671"/>
      <c r="F126" s="3671"/>
      <c r="G126" s="3671"/>
      <c r="H126" s="3671"/>
      <c r="I126" s="3672"/>
      <c r="AA126" s="724"/>
    </row>
    <row r="127" spans="1:27" ht="18.75" customHeight="1">
      <c r="A127" s="3606" t="s">
        <v>1450</v>
      </c>
      <c r="B127" s="3606"/>
      <c r="C127" s="3606"/>
      <c r="D127" s="3646" t="e">
        <f ca="1">NUMBERSTRING(INT(D126*10000),2)&amp;"元整"</f>
        <v>#VALUE!</v>
      </c>
      <c r="E127" s="3647"/>
      <c r="F127" s="3647"/>
      <c r="G127" s="3647"/>
      <c r="H127" s="3647"/>
      <c r="I127" s="3648"/>
      <c r="AA127" s="724"/>
    </row>
    <row r="128" spans="1:27" ht="21.75" customHeight="1">
      <c r="A128" s="3653" t="s">
        <v>1451</v>
      </c>
      <c r="B128" s="3653"/>
      <c r="C128" s="3653"/>
      <c r="D128" s="3653"/>
      <c r="E128" s="3653"/>
      <c r="F128" s="3653"/>
      <c r="G128" s="3653"/>
      <c r="H128" s="3653"/>
      <c r="I128" s="3653"/>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估价对象为北京市房地产，为所有。根据《国有土地使用证》[]，估价对象（分摊）出让国有建设用地使用权面积为17150.68平方米，建筑面积为43061.14平方米。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估价对象为北京市房地产,属开发建设的，该项目尚在开发建设中。根据《国有土地使用证》[]，估价对象（分摊）出让国有建设用地使用权面积为17150.68平方米，规划建筑面积为43061.14平方米。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3385</v>
      </c>
      <c r="C1" s="1221" t="s">
        <v>1660</v>
      </c>
      <c r="D1" s="1222" t="s">
        <v>3336</v>
      </c>
      <c r="E1" s="3428" t="s">
        <v>3396</v>
      </c>
      <c r="F1" s="1876" t="s">
        <v>3397</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693" t="s">
        <v>1768</v>
      </c>
      <c r="D4" s="3705"/>
      <c r="E4" s="3706" t="s">
        <v>1769</v>
      </c>
      <c r="F4" s="3707"/>
      <c r="G4" s="3693" t="s">
        <v>1770</v>
      </c>
      <c r="H4" s="3705"/>
      <c r="I4" s="3693" t="s">
        <v>1771</v>
      </c>
      <c r="J4" s="3705"/>
      <c r="K4" s="559" t="s">
        <v>1772</v>
      </c>
      <c r="L4" s="2710"/>
      <c r="M4" s="2711"/>
      <c r="N4" s="2711"/>
      <c r="O4" s="2711"/>
      <c r="P4" s="3708" t="s">
        <v>1773</v>
      </c>
      <c r="Q4" s="3709"/>
      <c r="R4" s="3714" t="s">
        <v>1769</v>
      </c>
      <c r="S4" s="3715"/>
      <c r="T4" s="3714" t="s">
        <v>1770</v>
      </c>
      <c r="U4" s="3715"/>
      <c r="V4" s="3701" t="s">
        <v>1771</v>
      </c>
      <c r="W4" s="3701"/>
      <c r="X4" s="1352"/>
      <c r="Y4" s="3714" t="s">
        <v>1773</v>
      </c>
      <c r="Z4" s="3715"/>
      <c r="AA4" s="3702" t="s">
        <v>1769</v>
      </c>
      <c r="AB4" s="3703" t="s">
        <v>1770</v>
      </c>
      <c r="AC4" s="3702" t="s">
        <v>1771</v>
      </c>
    </row>
    <row r="5" spans="1:29" ht="15">
      <c r="A5" s="358"/>
      <c r="B5" s="359"/>
      <c r="C5" s="3722" t="s">
        <v>1671</v>
      </c>
      <c r="D5" s="3723"/>
      <c r="E5" s="3740" t="s">
        <v>3612</v>
      </c>
      <c r="F5" s="3730"/>
      <c r="G5" s="3739" t="s">
        <v>3613</v>
      </c>
      <c r="H5" s="3723"/>
      <c r="I5" s="3739" t="s">
        <v>3614</v>
      </c>
      <c r="J5" s="3723"/>
      <c r="K5" s="559"/>
      <c r="L5" s="2710"/>
      <c r="M5" s="2711"/>
      <c r="N5" s="2711"/>
      <c r="O5" s="2711"/>
      <c r="P5" s="3710"/>
      <c r="Q5" s="3711"/>
      <c r="R5" s="3716"/>
      <c r="S5" s="3717"/>
      <c r="T5" s="3716"/>
      <c r="U5" s="3717"/>
      <c r="V5" s="3701"/>
      <c r="W5" s="3701"/>
      <c r="X5" s="1352"/>
      <c r="Y5" s="3716"/>
      <c r="Z5" s="3717"/>
      <c r="AA5" s="3703"/>
      <c r="AB5" s="3703"/>
      <c r="AC5" s="3703"/>
    </row>
    <row r="6" spans="1:29" ht="15.75" thickBot="1">
      <c r="A6" s="360"/>
      <c r="B6" s="361"/>
      <c r="C6" s="3720" t="s">
        <v>1675</v>
      </c>
      <c r="D6" s="3721"/>
      <c r="E6" s="3727" t="s">
        <v>1675</v>
      </c>
      <c r="F6" s="3728"/>
      <c r="G6" s="3720" t="s">
        <v>1675</v>
      </c>
      <c r="H6" s="3721"/>
      <c r="I6" s="3720" t="s">
        <v>1675</v>
      </c>
      <c r="J6" s="3721"/>
      <c r="K6" s="559" t="s">
        <v>1676</v>
      </c>
      <c r="L6" s="2710"/>
      <c r="M6" s="2711"/>
      <c r="N6" s="2711"/>
      <c r="O6" s="2711"/>
      <c r="P6" s="3712"/>
      <c r="Q6" s="3713"/>
      <c r="R6" s="3716"/>
      <c r="S6" s="3717"/>
      <c r="T6" s="3718"/>
      <c r="U6" s="3719"/>
      <c r="V6" s="3701"/>
      <c r="W6" s="3701"/>
      <c r="X6" s="1352"/>
      <c r="Y6" s="3718"/>
      <c r="Z6" s="3719"/>
      <c r="AA6" s="3704"/>
      <c r="AB6" s="3704"/>
      <c r="AC6" s="3704"/>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24" t="s">
        <v>1678</v>
      </c>
      <c r="Q7" s="3726"/>
      <c r="R7" s="700" t="s">
        <v>14</v>
      </c>
      <c r="S7" s="701">
        <f t="shared" ref="S7:S14" si="0">F7</f>
        <v>100</v>
      </c>
      <c r="T7" s="700" t="s">
        <v>14</v>
      </c>
      <c r="U7" s="701">
        <f t="shared" ref="U7:U14" si="1">H7</f>
        <v>100</v>
      </c>
      <c r="V7" s="700" t="s">
        <v>14</v>
      </c>
      <c r="W7" s="701">
        <f t="shared" ref="W7:W14" si="2">J7</f>
        <v>100</v>
      </c>
      <c r="X7" s="702"/>
      <c r="Y7" s="3724" t="s">
        <v>1678</v>
      </c>
      <c r="Z7" s="3725"/>
      <c r="AA7" s="703">
        <f>D7/F7</f>
        <v>1</v>
      </c>
      <c r="AB7" s="703">
        <f>D7/H7</f>
        <v>1</v>
      </c>
      <c r="AC7" s="703">
        <f>D7/J7</f>
        <v>1</v>
      </c>
    </row>
    <row r="8" spans="1:29" s="108" customFormat="1" ht="15.75" thickBot="1">
      <c r="A8" s="362" t="s">
        <v>1679</v>
      </c>
      <c r="B8" s="363"/>
      <c r="C8" s="368" t="s">
        <v>3398</v>
      </c>
      <c r="D8" s="365">
        <v>100</v>
      </c>
      <c r="E8" s="368" t="s">
        <v>3398</v>
      </c>
      <c r="F8" s="367">
        <f>SUMIF(51:51,E8,52:52)-SUMIF(51:51,C8,52:52)+100</f>
        <v>100</v>
      </c>
      <c r="G8" s="368" t="s">
        <v>3398</v>
      </c>
      <c r="H8" s="365">
        <f>SUMIF(51:51,G8,52:52)-SUMIF(51:51,C8,52:52)+100</f>
        <v>100</v>
      </c>
      <c r="I8" s="368" t="s">
        <v>3398</v>
      </c>
      <c r="J8" s="365">
        <f>SUMIF(51:51,I8,52:52)-SUMIF(51:51,C8,52:52)+100</f>
        <v>100</v>
      </c>
      <c r="K8" s="560"/>
      <c r="L8" s="2712"/>
      <c r="M8" s="2713"/>
      <c r="N8" s="2713"/>
      <c r="O8" s="2713"/>
      <c r="P8" s="3724" t="s">
        <v>1681</v>
      </c>
      <c r="Q8" s="3725"/>
      <c r="R8" s="700" t="s">
        <v>14</v>
      </c>
      <c r="S8" s="701">
        <f t="shared" si="0"/>
        <v>100</v>
      </c>
      <c r="T8" s="700" t="s">
        <v>14</v>
      </c>
      <c r="U8" s="701">
        <f t="shared" si="1"/>
        <v>100</v>
      </c>
      <c r="V8" s="700" t="s">
        <v>14</v>
      </c>
      <c r="W8" s="701">
        <f t="shared" si="2"/>
        <v>100</v>
      </c>
      <c r="X8" s="702"/>
      <c r="Y8" s="3724" t="s">
        <v>1681</v>
      </c>
      <c r="Z8" s="3725"/>
      <c r="AA8" s="703">
        <f t="shared" ref="AA8:AA36" si="3">D8/F8</f>
        <v>1</v>
      </c>
      <c r="AB8" s="703">
        <f t="shared" ref="AB8:AB36" si="4">D8/H8</f>
        <v>1</v>
      </c>
      <c r="AC8" s="703">
        <f t="shared" ref="AC8:AC36" si="5">D8/J8</f>
        <v>1</v>
      </c>
    </row>
    <row r="9" spans="1:29" s="108" customFormat="1">
      <c r="A9" s="60" t="s">
        <v>1682</v>
      </c>
      <c r="B9" s="588" t="s">
        <v>1683</v>
      </c>
      <c r="C9" s="3467" t="s">
        <v>3429</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696" t="s">
        <v>1684</v>
      </c>
      <c r="Q9" s="1340" t="str">
        <f t="shared" ref="Q9:Q14" si="6">B9</f>
        <v>用途</v>
      </c>
      <c r="R9" s="700" t="s">
        <v>14</v>
      </c>
      <c r="S9" s="701">
        <f t="shared" si="0"/>
        <v>100</v>
      </c>
      <c r="T9" s="700" t="s">
        <v>14</v>
      </c>
      <c r="U9" s="701">
        <f t="shared" si="1"/>
        <v>100</v>
      </c>
      <c r="V9" s="700" t="s">
        <v>14</v>
      </c>
      <c r="W9" s="701">
        <f t="shared" si="2"/>
        <v>100</v>
      </c>
      <c r="X9" s="702"/>
      <c r="Y9" s="3593"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6"/>
      <c r="Q10" s="1340" t="str">
        <f t="shared" si="6"/>
        <v>土地使用年限（年）</v>
      </c>
      <c r="R10" s="700" t="s">
        <v>14</v>
      </c>
      <c r="S10" s="701">
        <f t="shared" si="0"/>
        <v>100</v>
      </c>
      <c r="T10" s="700" t="s">
        <v>14</v>
      </c>
      <c r="U10" s="701">
        <f t="shared" si="1"/>
        <v>100</v>
      </c>
      <c r="V10" s="700" t="s">
        <v>14</v>
      </c>
      <c r="W10" s="701">
        <f t="shared" si="2"/>
        <v>100</v>
      </c>
      <c r="X10" s="702"/>
      <c r="Y10" s="359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6"/>
      <c r="Q11" s="1340">
        <f t="shared" si="6"/>
        <v>111</v>
      </c>
      <c r="R11" s="700" t="s">
        <v>14</v>
      </c>
      <c r="S11" s="701">
        <f t="shared" si="0"/>
        <v>100</v>
      </c>
      <c r="T11" s="700" t="s">
        <v>14</v>
      </c>
      <c r="U11" s="701">
        <f t="shared" si="1"/>
        <v>100</v>
      </c>
      <c r="V11" s="700" t="s">
        <v>14</v>
      </c>
      <c r="W11" s="701">
        <f t="shared" si="2"/>
        <v>100</v>
      </c>
      <c r="X11" s="702"/>
      <c r="Y11" s="359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6"/>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6"/>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697" t="s">
        <v>1689</v>
      </c>
      <c r="Q14" s="1349" t="str">
        <f t="shared" si="6"/>
        <v>交通便捷度</v>
      </c>
      <c r="R14" s="704" t="s">
        <v>14</v>
      </c>
      <c r="S14" s="705">
        <f t="shared" si="0"/>
        <v>100</v>
      </c>
      <c r="T14" s="704" t="s">
        <v>14</v>
      </c>
      <c r="U14" s="705">
        <f t="shared" si="1"/>
        <v>103</v>
      </c>
      <c r="V14" s="704" t="s">
        <v>14</v>
      </c>
      <c r="W14" s="705">
        <f t="shared" si="2"/>
        <v>103</v>
      </c>
      <c r="X14" s="1352"/>
      <c r="Y14" s="3697" t="s">
        <v>1689</v>
      </c>
      <c r="Z14" s="1353" t="str">
        <f t="shared" si="7"/>
        <v>交通便捷度</v>
      </c>
      <c r="AA14" s="1350">
        <f t="shared" si="3"/>
        <v>1</v>
      </c>
      <c r="AB14" s="1350">
        <f t="shared" si="4"/>
        <v>0.970873786407767</v>
      </c>
      <c r="AC14" s="1350">
        <f t="shared" si="5"/>
        <v>0.970873786407767</v>
      </c>
    </row>
    <row r="15" spans="1:29" ht="15">
      <c r="A15" s="358"/>
      <c r="B15" s="595"/>
      <c r="C15" s="398" t="s">
        <v>3403</v>
      </c>
      <c r="D15" s="399"/>
      <c r="E15" s="398" t="s">
        <v>3403</v>
      </c>
      <c r="F15" s="400"/>
      <c r="G15" s="398" t="s">
        <v>3420</v>
      </c>
      <c r="H15" s="401"/>
      <c r="I15" s="398" t="s">
        <v>3420</v>
      </c>
      <c r="J15" s="399"/>
      <c r="K15" s="564"/>
      <c r="L15" s="2717"/>
      <c r="M15" s="2711"/>
      <c r="N15" s="2711"/>
      <c r="O15" s="2711"/>
      <c r="P15" s="3698"/>
      <c r="Q15" s="1349"/>
      <c r="R15" s="704"/>
      <c r="S15" s="705"/>
      <c r="T15" s="704"/>
      <c r="U15" s="705"/>
      <c r="V15" s="704"/>
      <c r="W15" s="705"/>
      <c r="X15" s="1352"/>
      <c r="Y15" s="3698"/>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698"/>
      <c r="Q16" s="1349" t="str">
        <f>B16</f>
        <v>公共配套设施</v>
      </c>
      <c r="R16" s="704" t="s">
        <v>14</v>
      </c>
      <c r="S16" s="705">
        <f>F16</f>
        <v>100</v>
      </c>
      <c r="T16" s="704" t="s">
        <v>14</v>
      </c>
      <c r="U16" s="705">
        <f>H16</f>
        <v>103</v>
      </c>
      <c r="V16" s="704" t="s">
        <v>14</v>
      </c>
      <c r="W16" s="705">
        <f>J16</f>
        <v>103</v>
      </c>
      <c r="X16" s="1352"/>
      <c r="Y16" s="3698"/>
      <c r="Z16" s="1353" t="str">
        <f>Q16</f>
        <v>公共配套设施</v>
      </c>
      <c r="AA16" s="1350">
        <f t="shared" si="3"/>
        <v>1</v>
      </c>
      <c r="AB16" s="1350">
        <f t="shared" si="4"/>
        <v>0.970873786407767</v>
      </c>
      <c r="AC16" s="1350">
        <f t="shared" si="5"/>
        <v>0.970873786407767</v>
      </c>
    </row>
    <row r="17" spans="1:29" ht="15">
      <c r="A17" s="358"/>
      <c r="B17" s="580"/>
      <c r="C17" s="1897" t="s">
        <v>3403</v>
      </c>
      <c r="D17" s="399"/>
      <c r="E17" s="1897" t="s">
        <v>3403</v>
      </c>
      <c r="F17" s="400"/>
      <c r="G17" s="398" t="s">
        <v>3420</v>
      </c>
      <c r="H17" s="399"/>
      <c r="I17" s="398" t="s">
        <v>3420</v>
      </c>
      <c r="J17" s="399"/>
      <c r="K17" s="564"/>
      <c r="L17" s="2717"/>
      <c r="M17" s="2711"/>
      <c r="N17" s="2711"/>
      <c r="O17" s="2711"/>
      <c r="P17" s="3698"/>
      <c r="Q17" s="1349"/>
      <c r="R17" s="704"/>
      <c r="S17" s="705"/>
      <c r="T17" s="704"/>
      <c r="U17" s="705"/>
      <c r="V17" s="704"/>
      <c r="W17" s="705"/>
      <c r="X17" s="1352"/>
      <c r="Y17" s="3698"/>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698"/>
      <c r="Q18" s="1349" t="str">
        <f>B18</f>
        <v>基础设施水平</v>
      </c>
      <c r="R18" s="704" t="s">
        <v>14</v>
      </c>
      <c r="S18" s="705">
        <f>F18</f>
        <v>100</v>
      </c>
      <c r="T18" s="704" t="s">
        <v>14</v>
      </c>
      <c r="U18" s="705">
        <f>H18</f>
        <v>100</v>
      </c>
      <c r="V18" s="704" t="s">
        <v>14</v>
      </c>
      <c r="W18" s="705">
        <f>J18</f>
        <v>100</v>
      </c>
      <c r="X18" s="1352"/>
      <c r="Y18" s="3698"/>
      <c r="Z18" s="1353" t="str">
        <f>Q18</f>
        <v>基础设施水平</v>
      </c>
      <c r="AA18" s="1350">
        <f t="shared" ref="AA18" si="8">D18/F18</f>
        <v>1</v>
      </c>
      <c r="AB18" s="1350">
        <f t="shared" ref="AB18" si="9">D18/H18</f>
        <v>1</v>
      </c>
      <c r="AC18" s="1350">
        <f t="shared" ref="AC18" si="10">D18/J18</f>
        <v>1</v>
      </c>
    </row>
    <row r="19" spans="1:29" ht="15">
      <c r="A19" s="358"/>
      <c r="B19" s="581"/>
      <c r="C19" s="1897" t="s">
        <v>3405</v>
      </c>
      <c r="D19" s="401"/>
      <c r="E19" s="1897" t="s">
        <v>3405</v>
      </c>
      <c r="F19" s="404"/>
      <c r="G19" s="1897" t="s">
        <v>3405</v>
      </c>
      <c r="H19" s="399"/>
      <c r="I19" s="1897" t="s">
        <v>3405</v>
      </c>
      <c r="J19" s="399"/>
      <c r="K19" s="1128"/>
      <c r="L19" s="2717"/>
      <c r="M19" s="2711"/>
      <c r="N19" s="2711"/>
      <c r="O19" s="2711"/>
      <c r="P19" s="3698"/>
      <c r="Q19" s="1349"/>
      <c r="R19" s="704"/>
      <c r="S19" s="705"/>
      <c r="T19" s="704"/>
      <c r="U19" s="705"/>
      <c r="V19" s="704"/>
      <c r="W19" s="705"/>
      <c r="X19" s="1352"/>
      <c r="Y19" s="3698"/>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698"/>
      <c r="Q20" s="1349" t="str">
        <f>B20</f>
        <v>自然及人文环境</v>
      </c>
      <c r="R20" s="704" t="s">
        <v>14</v>
      </c>
      <c r="S20" s="705">
        <f>F20</f>
        <v>100</v>
      </c>
      <c r="T20" s="704" t="s">
        <v>14</v>
      </c>
      <c r="U20" s="705">
        <f>H20</f>
        <v>100</v>
      </c>
      <c r="V20" s="704" t="s">
        <v>14</v>
      </c>
      <c r="W20" s="705">
        <f>J20</f>
        <v>100</v>
      </c>
      <c r="X20" s="1352"/>
      <c r="Y20" s="3698"/>
      <c r="Z20" s="1353" t="str">
        <f>Q20</f>
        <v>自然及人文环境</v>
      </c>
      <c r="AA20" s="1350">
        <f t="shared" si="3"/>
        <v>1</v>
      </c>
      <c r="AB20" s="1350">
        <f t="shared" si="4"/>
        <v>1</v>
      </c>
      <c r="AC20" s="1350">
        <f t="shared" si="5"/>
        <v>1</v>
      </c>
    </row>
    <row r="21" spans="1:29" ht="15">
      <c r="A21" s="358"/>
      <c r="B21" s="580"/>
      <c r="C21" s="398" t="s">
        <v>3403</v>
      </c>
      <c r="D21" s="399"/>
      <c r="E21" s="398" t="s">
        <v>3403</v>
      </c>
      <c r="F21" s="400"/>
      <c r="G21" s="398" t="s">
        <v>3403</v>
      </c>
      <c r="H21" s="399"/>
      <c r="I21" s="398" t="s">
        <v>3403</v>
      </c>
      <c r="J21" s="399"/>
      <c r="K21" s="564"/>
      <c r="L21" s="2717"/>
      <c r="M21" s="2711"/>
      <c r="N21" s="2711"/>
      <c r="O21" s="2711"/>
      <c r="P21" s="3698"/>
      <c r="Q21" s="1349"/>
      <c r="R21" s="704"/>
      <c r="S21" s="705"/>
      <c r="T21" s="704"/>
      <c r="U21" s="705"/>
      <c r="V21" s="704"/>
      <c r="W21" s="705"/>
      <c r="X21" s="1352"/>
      <c r="Y21" s="3698"/>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8"/>
      <c r="Q22" s="1349" t="str">
        <f>B22</f>
        <v>楼层</v>
      </c>
      <c r="R22" s="704" t="s">
        <v>14</v>
      </c>
      <c r="S22" s="705">
        <f>F22</f>
        <v>100</v>
      </c>
      <c r="T22" s="704" t="s">
        <v>14</v>
      </c>
      <c r="U22" s="705">
        <f>H22</f>
        <v>100</v>
      </c>
      <c r="V22" s="704" t="s">
        <v>14</v>
      </c>
      <c r="W22" s="705">
        <f>J22</f>
        <v>100</v>
      </c>
      <c r="X22" s="1352"/>
      <c r="Y22" s="369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8"/>
      <c r="Q23" s="1349">
        <f>B23</f>
        <v>111</v>
      </c>
      <c r="R23" s="704" t="s">
        <v>14</v>
      </c>
      <c r="S23" s="705">
        <f>F23</f>
        <v>100</v>
      </c>
      <c r="T23" s="704" t="s">
        <v>14</v>
      </c>
      <c r="U23" s="705">
        <f>H23</f>
        <v>100</v>
      </c>
      <c r="V23" s="704" t="s">
        <v>14</v>
      </c>
      <c r="W23" s="705">
        <f>J23</f>
        <v>100</v>
      </c>
      <c r="X23" s="1352"/>
      <c r="Y23" s="369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8"/>
      <c r="Q24" s="1349">
        <f t="shared" ref="Q24:Q36" si="11">B24</f>
        <v>111</v>
      </c>
      <c r="R24" s="704" t="s">
        <v>14</v>
      </c>
      <c r="S24" s="705">
        <f>F24</f>
        <v>100</v>
      </c>
      <c r="T24" s="704" t="s">
        <v>14</v>
      </c>
      <c r="U24" s="705">
        <f>H24</f>
        <v>100</v>
      </c>
      <c r="V24" s="704" t="s">
        <v>14</v>
      </c>
      <c r="W24" s="705">
        <f>J24</f>
        <v>100</v>
      </c>
      <c r="X24" s="1352"/>
      <c r="Y24" s="369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8"/>
      <c r="Q25" s="1340">
        <f t="shared" si="11"/>
        <v>111</v>
      </c>
      <c r="R25" s="700" t="s">
        <v>14</v>
      </c>
      <c r="S25" s="701">
        <f>F25</f>
        <v>100</v>
      </c>
      <c r="T25" s="700" t="s">
        <v>14</v>
      </c>
      <c r="U25" s="701">
        <f>H25</f>
        <v>100</v>
      </c>
      <c r="V25" s="700" t="s">
        <v>14</v>
      </c>
      <c r="W25" s="701">
        <f>J25</f>
        <v>100</v>
      </c>
      <c r="X25" s="702"/>
      <c r="Y25" s="3698"/>
      <c r="Z25" s="52">
        <f>Q25</f>
        <v>111</v>
      </c>
      <c r="AA25" s="1350">
        <f>D25/F25</f>
        <v>1</v>
      </c>
      <c r="AB25" s="1350">
        <f>D25/H25</f>
        <v>1</v>
      </c>
      <c r="AC25" s="1350">
        <f>D25/J25</f>
        <v>1</v>
      </c>
    </row>
    <row r="26" spans="1:29" ht="28.5">
      <c r="A26" s="600" t="s">
        <v>1692</v>
      </c>
      <c r="B26" s="62" t="s">
        <v>1834</v>
      </c>
      <c r="C26" s="1967" t="str">
        <f>B1</f>
        <v>住宅</v>
      </c>
      <c r="D26" s="399">
        <v>100</v>
      </c>
      <c r="E26" s="398" t="s">
        <v>3385</v>
      </c>
      <c r="F26" s="400">
        <f>SUMIF(79:79,E26,80:80)-SUMIF(79:79,C26,80:80)+100</f>
        <v>100</v>
      </c>
      <c r="G26" s="398" t="s">
        <v>3385</v>
      </c>
      <c r="H26" s="399">
        <f>SUMIF(79:79,G26,80:80)-SUMIF(79:79,C26,80:80)+100</f>
        <v>100</v>
      </c>
      <c r="I26" s="398" t="s">
        <v>3385</v>
      </c>
      <c r="J26" s="399">
        <f>SUMIF(79:79,I26,80:80)-SUMIF(79:79,C26,80:80)+100</f>
        <v>100</v>
      </c>
      <c r="K26" s="561">
        <v>2</v>
      </c>
      <c r="L26" s="2717"/>
      <c r="M26" s="2711"/>
      <c r="N26" s="2711"/>
      <c r="O26" s="2711"/>
      <c r="P26" s="3699"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00"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0">
        <f t="shared" si="3"/>
        <v>1</v>
      </c>
      <c r="AB27" s="1350">
        <f t="shared" si="4"/>
        <v>1</v>
      </c>
      <c r="AC27" s="1350">
        <f t="shared" si="5"/>
        <v>1</v>
      </c>
    </row>
    <row r="28" spans="1:29" ht="15">
      <c r="A28" s="604"/>
      <c r="B28" s="602" t="s">
        <v>1836</v>
      </c>
      <c r="C28" s="411" t="s">
        <v>3411</v>
      </c>
      <c r="D28" s="386">
        <v>100</v>
      </c>
      <c r="E28" s="411" t="s">
        <v>3411</v>
      </c>
      <c r="F28" s="412">
        <f>SUMIF(83:83,E28,84:84)-SUMIF(83:83,C28,84:84)+100</f>
        <v>100</v>
      </c>
      <c r="G28" s="411" t="s">
        <v>3411</v>
      </c>
      <c r="H28" s="386">
        <f>SUMIF(83:83,G28,84:84)-SUMIF(83:83,C28,84:84)+100</f>
        <v>100</v>
      </c>
      <c r="I28" s="411" t="s">
        <v>3411</v>
      </c>
      <c r="J28" s="386">
        <f>SUMIF(83:83,I28,84:84)-SUMIF(83:83,C28,84:84)+100</f>
        <v>100</v>
      </c>
      <c r="K28" s="561">
        <v>2</v>
      </c>
      <c r="L28" s="2717"/>
      <c r="M28" s="2711"/>
      <c r="N28" s="2711"/>
      <c r="O28" s="2711"/>
      <c r="P28" s="3700"/>
      <c r="Q28" s="1349" t="str">
        <f t="shared" si="11"/>
        <v>公共部分装修</v>
      </c>
      <c r="R28" s="704" t="s">
        <v>14</v>
      </c>
      <c r="S28" s="705">
        <f t="shared" si="12"/>
        <v>100</v>
      </c>
      <c r="T28" s="704" t="s">
        <v>14</v>
      </c>
      <c r="U28" s="705">
        <f t="shared" si="13"/>
        <v>100</v>
      </c>
      <c r="V28" s="704" t="s">
        <v>14</v>
      </c>
      <c r="W28" s="705">
        <f t="shared" si="14"/>
        <v>100</v>
      </c>
      <c r="X28" s="1352"/>
      <c r="Y28" s="3700"/>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00"/>
      <c r="Q29" s="1349" t="str">
        <f t="shared" si="11"/>
        <v>成新率</v>
      </c>
      <c r="R29" s="704" t="s">
        <v>14</v>
      </c>
      <c r="S29" s="705">
        <f t="shared" si="12"/>
        <v>100</v>
      </c>
      <c r="T29" s="704" t="s">
        <v>14</v>
      </c>
      <c r="U29" s="705">
        <f t="shared" si="13"/>
        <v>100</v>
      </c>
      <c r="V29" s="704" t="s">
        <v>14</v>
      </c>
      <c r="W29" s="705">
        <f t="shared" si="14"/>
        <v>100</v>
      </c>
      <c r="X29" s="1352"/>
      <c r="Y29" s="3700"/>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0"/>
      <c r="Q30" s="1349" t="str">
        <f t="shared" si="11"/>
        <v>物业等级</v>
      </c>
      <c r="R30" s="704" t="s">
        <v>14</v>
      </c>
      <c r="S30" s="705">
        <f t="shared" si="12"/>
        <v>100</v>
      </c>
      <c r="T30" s="704" t="s">
        <v>14</v>
      </c>
      <c r="U30" s="705">
        <f t="shared" si="13"/>
        <v>100</v>
      </c>
      <c r="V30" s="704" t="s">
        <v>14</v>
      </c>
      <c r="W30" s="705">
        <f t="shared" si="14"/>
        <v>100</v>
      </c>
      <c r="X30" s="1352"/>
      <c r="Y30" s="3700"/>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700"/>
      <c r="Q31" s="1340" t="str">
        <f t="shared" si="11"/>
        <v>停车位面积</v>
      </c>
      <c r="R31" s="700" t="s">
        <v>14</v>
      </c>
      <c r="S31" s="701">
        <f t="shared" si="12"/>
        <v>199</v>
      </c>
      <c r="T31" s="700" t="s">
        <v>14</v>
      </c>
      <c r="U31" s="701">
        <f t="shared" si="13"/>
        <v>199</v>
      </c>
      <c r="V31" s="700" t="s">
        <v>14</v>
      </c>
      <c r="W31" s="701">
        <f t="shared" si="14"/>
        <v>199</v>
      </c>
      <c r="X31" s="702"/>
      <c r="Y31" s="3700"/>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3609</v>
      </c>
      <c r="D32" s="386">
        <v>100</v>
      </c>
      <c r="E32" s="411" t="s">
        <v>3609</v>
      </c>
      <c r="F32" s="412">
        <f>SUMIF(93:93,E32,94:94)-SUMIF(93:93,C32,94:94)+100</f>
        <v>100</v>
      </c>
      <c r="G32" s="411" t="s">
        <v>3609</v>
      </c>
      <c r="H32" s="386">
        <f>SUMIF(93:93,G32,94:94)-SUMIF(93:93,C32,94:94)+100</f>
        <v>100</v>
      </c>
      <c r="I32" s="411" t="s">
        <v>3609</v>
      </c>
      <c r="J32" s="386">
        <f>SUMIF(93:93,I32,94:94)-SUMIF(93:93,C32,94:94)+100</f>
        <v>100</v>
      </c>
      <c r="K32" s="561">
        <v>2</v>
      </c>
      <c r="L32" s="2717"/>
      <c r="M32" s="2711"/>
      <c r="N32" s="2711"/>
      <c r="O32" s="2711"/>
      <c r="P32" s="3700" t="s">
        <v>1694</v>
      </c>
      <c r="Q32" s="1349" t="str">
        <f t="shared" si="11"/>
        <v>车位类型</v>
      </c>
      <c r="R32" s="704" t="s">
        <v>14</v>
      </c>
      <c r="S32" s="705">
        <f t="shared" si="12"/>
        <v>100</v>
      </c>
      <c r="T32" s="704" t="s">
        <v>14</v>
      </c>
      <c r="U32" s="705">
        <f t="shared" si="13"/>
        <v>100</v>
      </c>
      <c r="V32" s="704" t="s">
        <v>14</v>
      </c>
      <c r="W32" s="705">
        <f t="shared" si="14"/>
        <v>100</v>
      </c>
      <c r="X32" s="1352"/>
      <c r="Y32" s="3700"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0"/>
      <c r="Q33" s="1349" t="str">
        <f t="shared" si="11"/>
        <v>是否直接入户</v>
      </c>
      <c r="R33" s="704" t="s">
        <v>14</v>
      </c>
      <c r="S33" s="705">
        <f t="shared" si="12"/>
        <v>100</v>
      </c>
      <c r="T33" s="704" t="s">
        <v>14</v>
      </c>
      <c r="U33" s="705">
        <f t="shared" si="13"/>
        <v>100</v>
      </c>
      <c r="V33" s="704" t="s">
        <v>14</v>
      </c>
      <c r="W33" s="705">
        <f t="shared" si="14"/>
        <v>100</v>
      </c>
      <c r="X33" s="1352"/>
      <c r="Y33" s="370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0"/>
      <c r="Q34" s="1349">
        <f t="shared" si="11"/>
        <v>111</v>
      </c>
      <c r="R34" s="704" t="s">
        <v>14</v>
      </c>
      <c r="S34" s="705">
        <f t="shared" si="12"/>
        <v>100</v>
      </c>
      <c r="T34" s="704" t="s">
        <v>14</v>
      </c>
      <c r="U34" s="705">
        <f t="shared" si="13"/>
        <v>100</v>
      </c>
      <c r="V34" s="704" t="s">
        <v>14</v>
      </c>
      <c r="W34" s="705">
        <f t="shared" si="14"/>
        <v>100</v>
      </c>
      <c r="X34" s="1352"/>
      <c r="Y34" s="370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0"/>
      <c r="Q36" s="1349">
        <f t="shared" si="11"/>
        <v>111</v>
      </c>
      <c r="R36" s="704" t="s">
        <v>14</v>
      </c>
      <c r="S36" s="705">
        <f t="shared" si="12"/>
        <v>100</v>
      </c>
      <c r="T36" s="704" t="s">
        <v>14</v>
      </c>
      <c r="U36" s="705">
        <f t="shared" si="13"/>
        <v>100</v>
      </c>
      <c r="V36" s="704" t="s">
        <v>14</v>
      </c>
      <c r="W36" s="705">
        <f t="shared" si="14"/>
        <v>100</v>
      </c>
      <c r="X36" s="1352"/>
      <c r="Y36" s="3700"/>
      <c r="Z36" s="1353">
        <f t="shared" si="15"/>
        <v>111</v>
      </c>
      <c r="AA36" s="1350">
        <f t="shared" si="3"/>
        <v>1</v>
      </c>
      <c r="AB36" s="1350">
        <f t="shared" si="4"/>
        <v>1</v>
      </c>
      <c r="AC36" s="1350">
        <f t="shared" si="5"/>
        <v>1</v>
      </c>
    </row>
    <row r="37" spans="1:29" ht="15">
      <c r="A37" s="430" t="s">
        <v>1842</v>
      </c>
      <c r="B37" s="1968" t="s">
        <v>3611</v>
      </c>
      <c r="C37" s="1152" t="s">
        <v>0</v>
      </c>
      <c r="D37" s="1153"/>
      <c r="E37" s="1154">
        <v>132000</v>
      </c>
      <c r="F37" s="1155"/>
      <c r="G37" s="1156">
        <v>169833</v>
      </c>
      <c r="H37" s="1157"/>
      <c r="I37" s="1154">
        <v>160000</v>
      </c>
      <c r="J37" s="1157"/>
      <c r="K37" s="568"/>
      <c r="L37" s="2719"/>
      <c r="M37" s="2720"/>
      <c r="N37" s="2711"/>
      <c r="O37" s="2720"/>
      <c r="P37" s="3696" t="str">
        <f>A37</f>
        <v>成交单价</v>
      </c>
      <c r="Q37" s="3696"/>
      <c r="R37" s="3732">
        <f>E37</f>
        <v>132000</v>
      </c>
      <c r="S37" s="3732"/>
      <c r="T37" s="3732">
        <f>G37</f>
        <v>169833</v>
      </c>
      <c r="U37" s="3732"/>
      <c r="V37" s="3732">
        <f>I37</f>
        <v>160000</v>
      </c>
      <c r="W37" s="3732"/>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696" t="str">
        <f>A38</f>
        <v>比较价值（元/平方米）</v>
      </c>
      <c r="Q38" s="3696"/>
      <c r="R38" s="3732">
        <f>IF(F1="售价",ROUND(PRODUCT(R37,AA7:AA36),0),ROUND(PRODUCT(R37,AA7:AA36),1))</f>
        <v>66332</v>
      </c>
      <c r="S38" s="3732"/>
      <c r="T38" s="3732">
        <f>IF(F1="售价",ROUND(PRODUCT(T37,AB7:AB36),0),ROUND(PRODUCT(T37,AB7:AB36),1))</f>
        <v>80444</v>
      </c>
      <c r="U38" s="3732"/>
      <c r="V38" s="3732">
        <f>IF(F1="售价",ROUND(PRODUCT(V37,AC7:AC36),0),ROUND(PRODUCT(V37,AC7:AC36),1))</f>
        <v>75787</v>
      </c>
      <c r="W38" s="3732"/>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690" t="str">
        <f>A39</f>
        <v>估价对象XX用房的比较价值（楼面单价，元/平方米）</v>
      </c>
      <c r="Q39" s="3691"/>
      <c r="R39" s="3754">
        <f>IF(F1="售价",ROUND(IF(D38="简单平均",AVERAGE(R38:W38),R38*F38+T38*H38+V38*J38),0),ROUND(IF(D38="简单平均",AVERAGE(R38:V38),R38*F38+T38*H38+V38*J38),1))</f>
        <v>74188</v>
      </c>
      <c r="S39" s="3754"/>
      <c r="T39" s="3754"/>
      <c r="U39" s="3754"/>
      <c r="V39" s="3754"/>
      <c r="W39" s="3754"/>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3608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2928.9531000000002</v>
      </c>
      <c r="C2" s="1384" t="s">
        <v>877</v>
      </c>
      <c r="D2" s="1468">
        <f ca="1">C40+J29+L46</f>
        <v>29289531</v>
      </c>
      <c r="E2" s="1385" t="s">
        <v>878</v>
      </c>
      <c r="F2" s="1386"/>
      <c r="G2" s="2701"/>
      <c r="H2" s="2690"/>
      <c r="I2" s="2690"/>
      <c r="J2" s="2690"/>
      <c r="K2" s="2691"/>
      <c r="L2" s="2690"/>
      <c r="M2" s="2690"/>
    </row>
    <row r="3" spans="1:37" ht="18" customHeight="1" thickBot="1">
      <c r="A3" s="1387" t="s">
        <v>879</v>
      </c>
      <c r="B3" s="1388">
        <f ca="1">IF(ISERROR(D2/F43),0,ROUND(D2/F43,0))</f>
        <v>3375</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1705666</v>
      </c>
      <c r="D5" s="1361" t="s">
        <v>887</v>
      </c>
      <c r="E5" s="1069"/>
      <c r="F5" s="1070"/>
      <c r="G5" s="1381"/>
      <c r="H5" s="299">
        <v>1</v>
      </c>
      <c r="I5" s="300" t="s">
        <v>886</v>
      </c>
      <c r="J5" s="1068">
        <f ca="1">J6+J10+J12</f>
        <v>0</v>
      </c>
      <c r="K5" s="1361" t="s">
        <v>887</v>
      </c>
      <c r="L5" s="1069"/>
      <c r="M5" s="1070"/>
    </row>
    <row r="6" spans="1:37" ht="18" customHeight="1">
      <c r="A6" s="1067" t="s">
        <v>398</v>
      </c>
      <c r="B6" s="3745" t="s">
        <v>692</v>
      </c>
      <c r="C6" s="1072">
        <f ca="1">ROUND(F6*F8*F7*(1-F9),0)</f>
        <v>1705666</v>
      </c>
      <c r="D6" s="155" t="s">
        <v>2103</v>
      </c>
      <c r="E6" s="302" t="s">
        <v>694</v>
      </c>
      <c r="F6" s="303">
        <f ca="1">INDIRECT("'数据-取费表'!u"&amp;$G$1)</f>
        <v>173340</v>
      </c>
      <c r="G6" s="1381"/>
      <c r="H6" s="1067" t="s">
        <v>398</v>
      </c>
      <c r="I6" s="3745" t="s">
        <v>692</v>
      </c>
      <c r="J6" s="301">
        <f ca="1">ROUND(M6*M8*M7*(1-M9),0)</f>
        <v>0</v>
      </c>
      <c r="K6" s="1373" t="s">
        <v>2104</v>
      </c>
      <c r="L6" s="302" t="s">
        <v>694</v>
      </c>
      <c r="M6" s="303">
        <f ca="1">INDIRECT("'数据-取费表'!z"&amp;$G$1)</f>
        <v>0</v>
      </c>
    </row>
    <row r="7" spans="1:37" ht="18" customHeight="1">
      <c r="A7" s="1071"/>
      <c r="B7" s="3746"/>
      <c r="C7" s="1073"/>
      <c r="D7" s="307"/>
      <c r="E7" s="1074" t="s">
        <v>695</v>
      </c>
      <c r="F7" s="303">
        <f ca="1">IF(INDIRECT("'数据-取费表'!ah"&amp;$G$1)="",INDIRECT("'数据-取费表'!k"&amp;$G$1),INDIRECT("'数据-取费表'!ah"&amp;$G$1))</f>
        <v>1</v>
      </c>
      <c r="G7" s="1381"/>
      <c r="H7" s="304"/>
      <c r="I7" s="3746"/>
      <c r="J7" s="306"/>
      <c r="K7" s="307"/>
      <c r="L7" s="302" t="s">
        <v>695</v>
      </c>
      <c r="M7" s="303">
        <f ca="1">F7</f>
        <v>1</v>
      </c>
    </row>
    <row r="8" spans="1:37" ht="18" customHeight="1">
      <c r="A8" s="304"/>
      <c r="B8" s="3746"/>
      <c r="C8" s="306"/>
      <c r="D8" s="307"/>
      <c r="E8" s="302" t="s">
        <v>696</v>
      </c>
      <c r="F8" s="303">
        <f ca="1">INDIRECT("'数据-取费表'!ai"&amp;$G$1)</f>
        <v>12</v>
      </c>
      <c r="G8" s="1381"/>
      <c r="H8" s="304"/>
      <c r="I8" s="3746"/>
      <c r="J8" s="306"/>
      <c r="K8" s="307"/>
      <c r="L8" s="302" t="s">
        <v>696</v>
      </c>
      <c r="M8" s="303">
        <f ca="1">INDIRECT("'数据-取费表'!ai"&amp;$G$1)</f>
        <v>12</v>
      </c>
    </row>
    <row r="9" spans="1:37" ht="18" customHeight="1">
      <c r="A9" s="304"/>
      <c r="B9" s="3747"/>
      <c r="C9" s="306"/>
      <c r="D9" s="307"/>
      <c r="E9" s="302" t="s">
        <v>697</v>
      </c>
      <c r="F9" s="312">
        <f ca="1">INDIRECT("'数据-取费表'!w"&amp;$G$1)</f>
        <v>0.18</v>
      </c>
      <c r="G9" s="1381"/>
      <c r="H9" s="304"/>
      <c r="I9" s="3747"/>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3392</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39613874</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29504180</v>
      </c>
      <c r="D14" s="1342" t="s">
        <v>706</v>
      </c>
      <c r="E14" s="1339"/>
      <c r="F14" s="319"/>
      <c r="G14" s="1381"/>
      <c r="H14" s="981" t="s">
        <v>398</v>
      </c>
      <c r="I14" s="302" t="s">
        <v>707</v>
      </c>
      <c r="J14" s="21">
        <f ca="1">C29</f>
        <v>39613874</v>
      </c>
      <c r="K14" s="12"/>
      <c r="L14" s="806"/>
      <c r="M14" s="807"/>
    </row>
    <row r="15" spans="1:37" s="1394" customFormat="1" ht="18" customHeight="1" thickBot="1">
      <c r="A15" s="981" t="s">
        <v>399</v>
      </c>
      <c r="B15" s="302" t="s">
        <v>708</v>
      </c>
      <c r="C15" s="21">
        <f ca="1">ROUND(C14*F15,0)</f>
        <v>1475209</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203253</v>
      </c>
      <c r="K16" s="1085" t="s">
        <v>713</v>
      </c>
      <c r="L16" s="1086"/>
      <c r="M16" s="1070"/>
    </row>
    <row r="17" spans="1:37" s="1394" customFormat="1" ht="18" customHeight="1">
      <c r="A17" s="981" t="s">
        <v>679</v>
      </c>
      <c r="B17" s="302" t="s">
        <v>714</v>
      </c>
      <c r="C17" s="21">
        <f ca="1">ROUND(F17*(F43+INDIRECT("'数据-取费表'!S"&amp;$G$1)),0)</f>
        <v>1735540</v>
      </c>
      <c r="D17" s="302" t="s">
        <v>715</v>
      </c>
      <c r="E17" s="302" t="s">
        <v>716</v>
      </c>
      <c r="F17" s="23">
        <f>'数据-取费表'!B35</f>
        <v>200</v>
      </c>
      <c r="G17" s="1393"/>
      <c r="H17" s="981" t="s">
        <v>398</v>
      </c>
      <c r="I17" s="302" t="s">
        <v>717</v>
      </c>
      <c r="J17" s="2311">
        <f ca="1">ROUND(IF(AND(项目基本情况!B11="自然人",项目基本情况!B10="北京市"),J6*M17/(1+'数据-取费表'!C42),J18+J19+J20),0)</f>
        <v>5184</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442563</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33157492</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663150</v>
      </c>
      <c r="D20" s="323" t="s">
        <v>727</v>
      </c>
      <c r="E20" s="302" t="s">
        <v>710</v>
      </c>
      <c r="F20" s="322">
        <f>'数据-取费表'!B37</f>
        <v>0.02</v>
      </c>
      <c r="G20" s="1393"/>
      <c r="H20" s="981" t="s">
        <v>678</v>
      </c>
      <c r="I20" s="155" t="s">
        <v>728</v>
      </c>
      <c r="J20" s="22">
        <f ca="1">ROUND(M20*M21,0)</f>
        <v>5184</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3456.21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198069</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1166812</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-203253</v>
      </c>
      <c r="K25" s="1093" t="s">
        <v>751</v>
      </c>
      <c r="L25" s="1094"/>
      <c r="M25" s="1095"/>
    </row>
    <row r="26" spans="1:37" ht="18" customHeight="1">
      <c r="A26" s="981" t="s">
        <v>397</v>
      </c>
      <c r="B26" s="302" t="s">
        <v>752</v>
      </c>
      <c r="C26" s="21">
        <f ca="1">ROUND((C19+C20)*F26,0)</f>
        <v>1691032</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39613874</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535672</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289461</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89344</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194933</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5184</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3456.21</v>
      </c>
      <c r="G35" s="1381"/>
      <c r="H35" s="2692"/>
      <c r="I35" s="1395"/>
      <c r="J35" s="1396"/>
      <c r="K35" s="2696"/>
      <c r="L35" s="2695"/>
      <c r="M35" s="2695"/>
    </row>
    <row r="36" spans="1:18" ht="18" customHeight="1">
      <c r="A36" s="1100" t="s">
        <v>402</v>
      </c>
      <c r="B36" s="302" t="s">
        <v>736</v>
      </c>
      <c r="C36" s="21">
        <f ca="1">ROUND(C29*F36,0)</f>
        <v>198069</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39614</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8528</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1169994</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28720524</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3310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-3306.3002000000001</v>
      </c>
      <c r="D45" s="3427" t="s">
        <v>3356</v>
      </c>
      <c r="E45" s="1397"/>
      <c r="F45" s="1397"/>
      <c r="O45" s="1400" t="s">
        <v>806</v>
      </c>
      <c r="P45" s="1458"/>
      <c r="Q45" s="1458"/>
      <c r="R45" s="1458"/>
    </row>
    <row r="46" spans="1:18" s="1381" customFormat="1" ht="13.5" thickBot="1">
      <c r="A46" s="1401" t="s">
        <v>807</v>
      </c>
      <c r="C46" s="1402">
        <f ca="1">ROUND(C45,0)</f>
        <v>-3306</v>
      </c>
      <c r="D46" s="1403" t="str">
        <f>C2</f>
        <v>万元</v>
      </c>
      <c r="I46" s="1404" t="s">
        <v>808</v>
      </c>
      <c r="J46" s="1405"/>
      <c r="K46" s="1406"/>
      <c r="L46" s="1407">
        <f ca="1">IF(M47="住宅",0,IF(L48&gt;J51,L60,J60))</f>
        <v>569007</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28720524</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f ca="1">J60</f>
        <v>569007</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39613874</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-33082278</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3" t="s">
        <v>835</v>
      </c>
      <c r="L53" s="3744"/>
      <c r="O53" s="1415" t="s">
        <v>409</v>
      </c>
      <c r="P53" s="1416" t="s">
        <v>836</v>
      </c>
      <c r="Q53" s="1417">
        <f ca="1">Q47+Q48</f>
        <v>29289531</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39613874</v>
      </c>
      <c r="D56" s="1444"/>
      <c r="E56" s="1445"/>
      <c r="F56" s="1437"/>
      <c r="I56" s="1446" t="s">
        <v>840</v>
      </c>
      <c r="J56" s="1447" t="s">
        <v>3395</v>
      </c>
      <c r="K56" s="1418" t="s">
        <v>841</v>
      </c>
      <c r="L56" s="1421" t="str">
        <f ca="1">IF(L48&lt;J51,"——",L48-J51)</f>
        <v>——</v>
      </c>
      <c r="O56" s="1415" t="s">
        <v>403</v>
      </c>
      <c r="P56" s="1416" t="s">
        <v>815</v>
      </c>
      <c r="Q56" s="1417">
        <f ca="1">C40+J29</f>
        <v>28720524</v>
      </c>
      <c r="R56" s="1417" t="s">
        <v>816</v>
      </c>
    </row>
    <row r="57" spans="1:18" s="1381" customFormat="1" ht="24.75" thickBot="1">
      <c r="A57" s="1448"/>
      <c r="B57" s="949" t="s">
        <v>765</v>
      </c>
      <c r="C57" s="238">
        <f ca="1">C29</f>
        <v>39613874</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242867</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5184</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15845550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569007</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5184</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28720524</v>
      </c>
      <c r="R62" s="1417" t="s">
        <v>410</v>
      </c>
    </row>
    <row r="63" spans="1:18" s="1381" customFormat="1" ht="13.5" thickBot="1">
      <c r="A63" s="326"/>
      <c r="B63" s="955"/>
      <c r="C63" s="26"/>
      <c r="D63" s="965"/>
      <c r="E63" s="949" t="s">
        <v>786</v>
      </c>
      <c r="F63" s="303">
        <f t="shared" ca="1" si="0"/>
        <v>3456.21</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198069</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39614</v>
      </c>
      <c r="D65" s="963" t="s">
        <v>741</v>
      </c>
      <c r="E65" s="949" t="s">
        <v>742</v>
      </c>
      <c r="F65" s="330">
        <f t="shared" ca="1" si="0"/>
        <v>1E-3</v>
      </c>
      <c r="I65" s="1459" t="s">
        <v>865</v>
      </c>
      <c r="J65" s="1460">
        <v>40</v>
      </c>
      <c r="K65" s="1460">
        <v>30</v>
      </c>
      <c r="L65" s="1460">
        <v>50</v>
      </c>
      <c r="M65" s="1462">
        <v>0.02</v>
      </c>
      <c r="O65" s="1415" t="s">
        <v>403</v>
      </c>
      <c r="P65" s="1416" t="s">
        <v>866</v>
      </c>
      <c r="Q65" s="1417">
        <f ca="1">C40+J29</f>
        <v>28720524</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-242867</v>
      </c>
      <c r="D67" s="962" t="s">
        <v>751</v>
      </c>
      <c r="E67" s="967"/>
      <c r="F67" s="968"/>
      <c r="O67" s="1425" t="s">
        <v>405</v>
      </c>
      <c r="P67" s="1416" t="s">
        <v>848</v>
      </c>
      <c r="Q67" s="1463">
        <f ca="1">L51</f>
        <v>-33082278</v>
      </c>
      <c r="R67" s="1417" t="s">
        <v>868</v>
      </c>
    </row>
    <row r="68" spans="1:18" s="1381" customFormat="1" ht="16.5" thickBot="1">
      <c r="A68" s="946" t="s">
        <v>395</v>
      </c>
      <c r="B68" s="947" t="s">
        <v>772</v>
      </c>
      <c r="C68" s="301">
        <f ca="1">ROUND(C67*(1-((1+F70)/(1+F68))^F69)/(F68-F70),0)</f>
        <v>-4342478</v>
      </c>
      <c r="D68" s="964" t="s">
        <v>756</v>
      </c>
      <c r="E68" s="949" t="s">
        <v>757</v>
      </c>
      <c r="F68" s="312">
        <f ca="1">F40</f>
        <v>0.05</v>
      </c>
      <c r="O68" s="1425" t="s">
        <v>406</v>
      </c>
      <c r="P68" s="1464" t="s">
        <v>869</v>
      </c>
      <c r="Q68" s="1417">
        <f ca="1">ROUND(Q69-Q70*Q71,0)</f>
        <v>-1602977</v>
      </c>
      <c r="R68" s="1417" t="s">
        <v>414</v>
      </c>
    </row>
    <row r="69" spans="1:18" s="1381" customFormat="1" ht="13.5" thickBot="1">
      <c r="A69" s="950"/>
      <c r="B69" s="951"/>
      <c r="C69" s="306"/>
      <c r="D69" s="969" t="s">
        <v>760</v>
      </c>
      <c r="E69" s="949" t="s">
        <v>761</v>
      </c>
      <c r="F69" s="333">
        <f ca="1">F41</f>
        <v>46</v>
      </c>
      <c r="O69" s="1425" t="s">
        <v>411</v>
      </c>
      <c r="P69" s="1464" t="s">
        <v>870</v>
      </c>
      <c r="Q69" s="1417">
        <f ca="1">C39</f>
        <v>1169994</v>
      </c>
      <c r="R69" s="1417" t="s">
        <v>816</v>
      </c>
    </row>
    <row r="70" spans="1:18" s="1381" customFormat="1" ht="13.5" thickBot="1">
      <c r="A70" s="953"/>
      <c r="B70" s="954"/>
      <c r="C70" s="310"/>
      <c r="D70" s="965"/>
      <c r="E70" s="949" t="s">
        <v>764</v>
      </c>
      <c r="F70" s="1052"/>
      <c r="O70" s="1425" t="s">
        <v>412</v>
      </c>
      <c r="P70" s="1464" t="s">
        <v>871</v>
      </c>
      <c r="Q70" s="1417">
        <f ca="1">C13</f>
        <v>39613874</v>
      </c>
      <c r="R70" s="1417" t="s">
        <v>816</v>
      </c>
    </row>
    <row r="71" spans="1:18" s="1381" customFormat="1" ht="13.5" thickBot="1">
      <c r="A71" s="970" t="s">
        <v>396</v>
      </c>
      <c r="B71" s="971" t="s">
        <v>774</v>
      </c>
      <c r="C71" s="336">
        <f ca="1">ROUND(C68/F71,0)</f>
        <v>-500</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2772971</v>
      </c>
      <c r="D75" s="1381"/>
      <c r="E75" s="1381"/>
      <c r="F75" s="1381"/>
      <c r="K75" s="1399"/>
      <c r="L75" s="1381"/>
      <c r="O75" s="1415" t="s">
        <v>409</v>
      </c>
      <c r="P75" s="1416" t="s">
        <v>836</v>
      </c>
      <c r="Q75" s="1417">
        <f ca="1">Q65+Q66</f>
        <v>28720524</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-1.37</v>
      </c>
    </row>
    <row r="80" spans="1:18">
      <c r="B80" s="340" t="s">
        <v>798</v>
      </c>
      <c r="C80" s="274">
        <f ca="1">ROUND(C75/C39,3)</f>
        <v>2.37</v>
      </c>
    </row>
    <row r="81" spans="2:3">
      <c r="B81" s="270" t="s">
        <v>799</v>
      </c>
      <c r="C81" s="238"/>
    </row>
    <row r="82" spans="2:3">
      <c r="B82" s="273" t="s">
        <v>800</v>
      </c>
      <c r="C82" s="275">
        <f ca="1">1-C83</f>
        <v>-0.379</v>
      </c>
    </row>
    <row r="83" spans="2:3">
      <c r="B83" s="273" t="s">
        <v>801</v>
      </c>
      <c r="C83" s="274">
        <f ca="1">ROUND(C13/C40,3)</f>
        <v>1.379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61" t="s">
        <v>2318</v>
      </c>
      <c r="K2" s="3762"/>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63" t="s">
        <v>2328</v>
      </c>
      <c r="K3" s="3764"/>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63" t="s">
        <v>2330</v>
      </c>
      <c r="K4" s="3764"/>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69" t="s">
        <v>2334</v>
      </c>
      <c r="B6" s="3770"/>
      <c r="C6" s="3771"/>
      <c r="D6" s="2865"/>
      <c r="E6" s="2866"/>
      <c r="F6" s="2867"/>
      <c r="G6" s="2868"/>
      <c r="H6" s="2843"/>
      <c r="I6" s="2844"/>
      <c r="J6" s="3755">
        <v>1</v>
      </c>
      <c r="K6" s="3756"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55"/>
      <c r="K7" s="3757"/>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72" t="s">
        <v>2348</v>
      </c>
      <c r="C8" s="3773"/>
      <c r="D8" s="2884" t="s">
        <v>2349</v>
      </c>
      <c r="E8" s="2885" t="s">
        <v>2350</v>
      </c>
      <c r="F8" s="2886" t="s">
        <v>2351</v>
      </c>
      <c r="G8" s="2887"/>
      <c r="H8" s="2843"/>
      <c r="I8" s="2844"/>
      <c r="J8" s="3755"/>
      <c r="K8" s="3757"/>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72" t="s">
        <v>2354</v>
      </c>
      <c r="C9" s="3773"/>
      <c r="D9" s="2884">
        <f>ROUND(D6*E9,0)</f>
        <v>0</v>
      </c>
      <c r="E9" s="2888"/>
      <c r="F9" s="2889" t="s">
        <v>2355</v>
      </c>
      <c r="G9" s="2868"/>
      <c r="H9" s="2843"/>
      <c r="I9" s="2844"/>
      <c r="J9" s="3755"/>
      <c r="K9" s="3757"/>
      <c r="L9" s="2878" t="s">
        <v>2356</v>
      </c>
      <c r="M9" s="2879"/>
      <c r="N9" s="2855"/>
      <c r="O9" s="2880"/>
      <c r="P9" s="2880"/>
      <c r="Q9" s="2881">
        <v>365</v>
      </c>
      <c r="R9" s="2882">
        <f t="shared" si="0"/>
        <v>0</v>
      </c>
      <c r="S9" s="2836"/>
      <c r="T9" s="2836"/>
      <c r="U9" s="2836"/>
      <c r="V9" s="2844"/>
    </row>
    <row r="10" spans="1:22" s="2848" customFormat="1" ht="13.15" customHeight="1">
      <c r="A10" s="2883">
        <v>2</v>
      </c>
      <c r="B10" s="3772" t="s">
        <v>2357</v>
      </c>
      <c r="C10" s="3773"/>
      <c r="D10" s="2884">
        <f>ROUND(D6*E10,0)</f>
        <v>0</v>
      </c>
      <c r="E10" s="2888"/>
      <c r="F10" s="2889" t="s">
        <v>2358</v>
      </c>
      <c r="G10" s="2868"/>
      <c r="H10" s="2843"/>
      <c r="I10" s="2844"/>
      <c r="J10" s="3755"/>
      <c r="K10" s="3757"/>
      <c r="L10" s="2878" t="s">
        <v>2359</v>
      </c>
      <c r="M10" s="2879"/>
      <c r="N10" s="2855"/>
      <c r="O10" s="2880"/>
      <c r="P10" s="2880"/>
      <c r="Q10" s="2881">
        <v>365</v>
      </c>
      <c r="R10" s="2882">
        <f t="shared" si="0"/>
        <v>0</v>
      </c>
      <c r="S10" s="2836"/>
      <c r="T10" s="2836"/>
      <c r="U10" s="2836"/>
      <c r="V10" s="2844"/>
    </row>
    <row r="11" spans="1:22" s="2848" customFormat="1" ht="13.15" customHeight="1">
      <c r="A11" s="2883">
        <v>3</v>
      </c>
      <c r="B11" s="3772" t="s">
        <v>2360</v>
      </c>
      <c r="C11" s="3773"/>
      <c r="D11" s="2884">
        <f>D12+D14+D15+D16</f>
        <v>0</v>
      </c>
      <c r="E11" s="2890" t="e">
        <f>D11/D6</f>
        <v>#DIV/0!</v>
      </c>
      <c r="F11" s="2886"/>
      <c r="G11" s="2887"/>
      <c r="H11" s="2843"/>
      <c r="I11" s="2844"/>
      <c r="J11" s="3755"/>
      <c r="K11" s="3757"/>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5" t="s">
        <v>2363</v>
      </c>
      <c r="C12" s="3766"/>
      <c r="D12" s="2892">
        <f>ROUND(D13*1.2%*(1-30%),0)</f>
        <v>0</v>
      </c>
      <c r="E12" s="2893">
        <v>1.2E-2</v>
      </c>
      <c r="F12" s="2886" t="s">
        <v>2364</v>
      </c>
      <c r="G12" s="2887"/>
      <c r="H12" s="2843"/>
      <c r="I12" s="2844"/>
      <c r="J12" s="3755"/>
      <c r="K12" s="3757"/>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55"/>
      <c r="K13" s="3757"/>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5" t="s">
        <v>2369</v>
      </c>
      <c r="C14" s="3766"/>
      <c r="D14" s="2892">
        <f>ROUND(E14*B5/10000,0)</f>
        <v>0</v>
      </c>
      <c r="E14" s="2881"/>
      <c r="F14" s="2886" t="s">
        <v>2370</v>
      </c>
      <c r="G14" s="2887"/>
      <c r="H14" s="2843"/>
      <c r="I14" s="2844"/>
      <c r="J14" s="3755"/>
      <c r="K14" s="3758"/>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5" t="s">
        <v>2373</v>
      </c>
      <c r="C15" s="3766"/>
      <c r="D15" s="2892">
        <f>ROUND(D6*E15,0)</f>
        <v>0</v>
      </c>
      <c r="E15" s="2893">
        <v>5.5E-2</v>
      </c>
      <c r="F15" s="2886" t="s">
        <v>2374</v>
      </c>
      <c r="G15" s="2868"/>
      <c r="H15" s="2843"/>
      <c r="I15" s="2844"/>
      <c r="J15" s="3755">
        <v>2</v>
      </c>
      <c r="K15" s="3756"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5" t="s">
        <v>2382</v>
      </c>
      <c r="C16" s="3766"/>
      <c r="D16" s="2903">
        <f>D6*E16</f>
        <v>0</v>
      </c>
      <c r="E16" s="2904"/>
      <c r="F16" s="2889" t="s">
        <v>2383</v>
      </c>
      <c r="G16" s="2868"/>
      <c r="H16" s="2843"/>
      <c r="I16" s="2844"/>
      <c r="J16" s="3755"/>
      <c r="K16" s="3757"/>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67" t="s">
        <v>2385</v>
      </c>
      <c r="C17" s="3768"/>
      <c r="D17" s="2906">
        <f>ROUND(D6*E17,0)</f>
        <v>0</v>
      </c>
      <c r="E17" s="2907"/>
      <c r="F17" s="2908" t="s">
        <v>2386</v>
      </c>
      <c r="G17" s="2868"/>
      <c r="H17" s="2843"/>
      <c r="I17" s="2844"/>
      <c r="J17" s="3755"/>
      <c r="K17" s="3757"/>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55"/>
      <c r="K18" s="3757"/>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55"/>
      <c r="K19" s="3758"/>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5">
        <v>3</v>
      </c>
      <c r="K20" s="3756"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55"/>
      <c r="K21" s="3757"/>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55"/>
      <c r="K22" s="3757"/>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55"/>
      <c r="K23" s="3757"/>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55"/>
      <c r="K24" s="3758"/>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59">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6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61" t="s">
        <v>2318</v>
      </c>
      <c r="K32" s="3762"/>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63" t="s">
        <v>2328</v>
      </c>
      <c r="K33" s="3764"/>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63" t="s">
        <v>2330</v>
      </c>
      <c r="K34" s="376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55">
        <v>1</v>
      </c>
      <c r="K36" s="3756"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55"/>
      <c r="K37" s="3757"/>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5"/>
      <c r="K38" s="3757"/>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55"/>
      <c r="K39" s="3757"/>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55"/>
      <c r="K40" s="3758"/>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9">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6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2872</v>
      </c>
      <c r="C2" s="1869" t="s">
        <v>1649</v>
      </c>
      <c r="D2" s="1870" t="s">
        <v>1650</v>
      </c>
      <c r="E2" s="2602">
        <f>SUM(E6:E13)</f>
        <v>8677.7000000000007</v>
      </c>
      <c r="F2" s="2702"/>
      <c r="G2" s="1486"/>
      <c r="H2" s="1486"/>
      <c r="I2" s="1486"/>
      <c r="J2" s="1486"/>
      <c r="K2" s="1486"/>
      <c r="L2" s="1486"/>
      <c r="M2" s="1486"/>
      <c r="N2" s="1486"/>
      <c r="O2" s="1486"/>
      <c r="P2" s="1486"/>
      <c r="Q2" s="1486"/>
      <c r="R2" s="1486"/>
      <c r="S2" s="1486"/>
    </row>
    <row r="3" spans="1:22" ht="15.75">
      <c r="A3" s="1867" t="s">
        <v>684</v>
      </c>
      <c r="B3" s="2596">
        <f ca="1">ROUND(B2*10000/E2,0)</f>
        <v>3310</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4" t="s">
        <v>1652</v>
      </c>
      <c r="C5" s="3775"/>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2872</v>
      </c>
      <c r="C7" s="1869" t="s">
        <v>1649</v>
      </c>
      <c r="D7" s="2704"/>
      <c r="E7" s="2601">
        <f>IF(OR(A7=0,F7="否"),0,'数据-取费表'!K7+'数据-取费表'!S7)</f>
        <v>8677.7000000000007</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43061.14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693" t="s">
        <v>1768</v>
      </c>
      <c r="D4" s="3705"/>
      <c r="E4" s="3706" t="s">
        <v>1769</v>
      </c>
      <c r="F4" s="3707"/>
      <c r="G4" s="3693" t="s">
        <v>1770</v>
      </c>
      <c r="H4" s="3705"/>
      <c r="I4" s="3693" t="s">
        <v>1771</v>
      </c>
      <c r="J4" s="3705"/>
      <c r="K4" s="559" t="s">
        <v>1772</v>
      </c>
      <c r="L4" s="2710"/>
      <c r="M4" s="2711"/>
      <c r="N4" s="2711"/>
      <c r="O4" s="2711"/>
      <c r="P4" s="3708" t="s">
        <v>1773</v>
      </c>
      <c r="Q4" s="3709"/>
      <c r="R4" s="3714" t="s">
        <v>1769</v>
      </c>
      <c r="S4" s="3715"/>
      <c r="T4" s="3714" t="s">
        <v>1770</v>
      </c>
      <c r="U4" s="3715"/>
      <c r="V4" s="3701" t="s">
        <v>1771</v>
      </c>
      <c r="W4" s="3701"/>
      <c r="X4" s="1352"/>
      <c r="Y4" s="3714" t="s">
        <v>1773</v>
      </c>
      <c r="Z4" s="3715"/>
      <c r="AA4" s="3702" t="s">
        <v>1769</v>
      </c>
      <c r="AB4" s="3701" t="s">
        <v>1770</v>
      </c>
      <c r="AC4" s="3702" t="s">
        <v>1771</v>
      </c>
    </row>
    <row r="5" spans="1:29" ht="15">
      <c r="A5" s="358"/>
      <c r="B5" s="359"/>
      <c r="C5" s="3722" t="s">
        <v>1671</v>
      </c>
      <c r="D5" s="3723"/>
      <c r="E5" s="3729" t="s">
        <v>1672</v>
      </c>
      <c r="F5" s="3730"/>
      <c r="G5" s="3722" t="s">
        <v>1673</v>
      </c>
      <c r="H5" s="3723"/>
      <c r="I5" s="3722" t="s">
        <v>1674</v>
      </c>
      <c r="J5" s="3723"/>
      <c r="K5" s="559"/>
      <c r="L5" s="2710"/>
      <c r="M5" s="2711"/>
      <c r="N5" s="2711"/>
      <c r="O5" s="2711"/>
      <c r="P5" s="3710"/>
      <c r="Q5" s="3711"/>
      <c r="R5" s="3716"/>
      <c r="S5" s="3717"/>
      <c r="T5" s="3716"/>
      <c r="U5" s="3717"/>
      <c r="V5" s="3701"/>
      <c r="W5" s="3701"/>
      <c r="X5" s="1352"/>
      <c r="Y5" s="3716"/>
      <c r="Z5" s="3717"/>
      <c r="AA5" s="3703"/>
      <c r="AB5" s="3701"/>
      <c r="AC5" s="3703"/>
    </row>
    <row r="6" spans="1:29" ht="15.75" thickBot="1">
      <c r="A6" s="360"/>
      <c r="B6" s="361"/>
      <c r="C6" s="3720" t="s">
        <v>1675</v>
      </c>
      <c r="D6" s="3721"/>
      <c r="E6" s="3727" t="s">
        <v>1675</v>
      </c>
      <c r="F6" s="3728"/>
      <c r="G6" s="3720" t="s">
        <v>1675</v>
      </c>
      <c r="H6" s="3721"/>
      <c r="I6" s="3720" t="s">
        <v>1675</v>
      </c>
      <c r="J6" s="3721"/>
      <c r="K6" s="559" t="s">
        <v>1676</v>
      </c>
      <c r="L6" s="2710"/>
      <c r="M6" s="2711"/>
      <c r="N6" s="2711"/>
      <c r="O6" s="2711"/>
      <c r="P6" s="3712"/>
      <c r="Q6" s="3713"/>
      <c r="R6" s="3716"/>
      <c r="S6" s="3717"/>
      <c r="T6" s="3718"/>
      <c r="U6" s="3719"/>
      <c r="V6" s="3701"/>
      <c r="W6" s="3701"/>
      <c r="X6" s="1352"/>
      <c r="Y6" s="3718"/>
      <c r="Z6" s="3719"/>
      <c r="AA6" s="3704"/>
      <c r="AB6" s="3701"/>
      <c r="AC6" s="3704"/>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24" t="s">
        <v>1678</v>
      </c>
      <c r="Q7" s="3726"/>
      <c r="R7" s="700" t="s">
        <v>14</v>
      </c>
      <c r="S7" s="701">
        <f t="shared" ref="S7:S15" si="0">F7</f>
        <v>0</v>
      </c>
      <c r="T7" s="700" t="s">
        <v>14</v>
      </c>
      <c r="U7" s="701">
        <f t="shared" ref="U7:U15" si="1">H7</f>
        <v>0</v>
      </c>
      <c r="V7" s="700" t="s">
        <v>14</v>
      </c>
      <c r="W7" s="701">
        <f t="shared" ref="W7:W15" si="2">J7</f>
        <v>0</v>
      </c>
      <c r="X7" s="702"/>
      <c r="Y7" s="3724" t="s">
        <v>1678</v>
      </c>
      <c r="Z7" s="3725"/>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24" t="s">
        <v>1681</v>
      </c>
      <c r="Q8" s="3725"/>
      <c r="R8" s="700" t="s">
        <v>14</v>
      </c>
      <c r="S8" s="701">
        <f t="shared" si="0"/>
        <v>100</v>
      </c>
      <c r="T8" s="700" t="s">
        <v>14</v>
      </c>
      <c r="U8" s="701">
        <f t="shared" si="1"/>
        <v>100</v>
      </c>
      <c r="V8" s="700" t="s">
        <v>14</v>
      </c>
      <c r="W8" s="701">
        <f t="shared" si="2"/>
        <v>100</v>
      </c>
      <c r="X8" s="702"/>
      <c r="Y8" s="3724" t="s">
        <v>1681</v>
      </c>
      <c r="Z8" s="3725"/>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5"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5"/>
      <c r="Q10" s="1340" t="str">
        <f t="shared" si="6"/>
        <v>土地使用年限（年）</v>
      </c>
      <c r="R10" s="700" t="s">
        <v>14</v>
      </c>
      <c r="S10" s="701">
        <f t="shared" si="0"/>
        <v>100</v>
      </c>
      <c r="T10" s="700" t="s">
        <v>14</v>
      </c>
      <c r="U10" s="701">
        <f t="shared" si="1"/>
        <v>100</v>
      </c>
      <c r="V10" s="700" t="s">
        <v>14</v>
      </c>
      <c r="W10" s="701">
        <f t="shared" si="2"/>
        <v>100</v>
      </c>
      <c r="X10" s="702"/>
      <c r="Y10" s="359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5"/>
      <c r="Q11" s="1340" t="str">
        <f t="shared" si="6"/>
        <v>容积率</v>
      </c>
      <c r="R11" s="700" t="s">
        <v>14</v>
      </c>
      <c r="S11" s="701" t="e">
        <f t="shared" si="0"/>
        <v>#N/A</v>
      </c>
      <c r="T11" s="700" t="s">
        <v>14</v>
      </c>
      <c r="U11" s="701" t="e">
        <f t="shared" si="1"/>
        <v>#N/A</v>
      </c>
      <c r="V11" s="700" t="s">
        <v>14</v>
      </c>
      <c r="W11" s="701" t="e">
        <f t="shared" si="2"/>
        <v>#N/A</v>
      </c>
      <c r="X11" s="702"/>
      <c r="Y11" s="3593"/>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5"/>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5"/>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5"/>
      <c r="Q14" s="1340">
        <f t="shared" si="6"/>
        <v>111</v>
      </c>
      <c r="R14" s="700" t="s">
        <v>14</v>
      </c>
      <c r="S14" s="701">
        <f t="shared" si="0"/>
        <v>100</v>
      </c>
      <c r="T14" s="700" t="s">
        <v>14</v>
      </c>
      <c r="U14" s="701">
        <f t="shared" si="1"/>
        <v>100</v>
      </c>
      <c r="V14" s="700" t="s">
        <v>14</v>
      </c>
      <c r="W14" s="701">
        <f t="shared" si="2"/>
        <v>100</v>
      </c>
      <c r="X14" s="702"/>
      <c r="Y14" s="3593"/>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7" t="s">
        <v>1689</v>
      </c>
      <c r="Q15" s="1349" t="str">
        <f t="shared" si="6"/>
        <v>商业繁华度</v>
      </c>
      <c r="R15" s="704" t="s">
        <v>14</v>
      </c>
      <c r="S15" s="705">
        <f t="shared" si="0"/>
        <v>100</v>
      </c>
      <c r="T15" s="704" t="s">
        <v>14</v>
      </c>
      <c r="U15" s="705">
        <f t="shared" si="1"/>
        <v>100</v>
      </c>
      <c r="V15" s="704" t="s">
        <v>14</v>
      </c>
      <c r="W15" s="705">
        <f t="shared" si="2"/>
        <v>100</v>
      </c>
      <c r="X15" s="1352"/>
      <c r="Y15" s="3697"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38"/>
      <c r="Q16" s="1349"/>
      <c r="R16" s="704"/>
      <c r="S16" s="705"/>
      <c r="T16" s="704"/>
      <c r="U16" s="705"/>
      <c r="V16" s="704"/>
      <c r="W16" s="705"/>
      <c r="X16" s="1352"/>
      <c r="Y16" s="3698"/>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69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38"/>
      <c r="Q18" s="1349"/>
      <c r="R18" s="704"/>
      <c r="S18" s="705"/>
      <c r="T18" s="704"/>
      <c r="U18" s="705"/>
      <c r="V18" s="704"/>
      <c r="W18" s="705"/>
      <c r="X18" s="1352"/>
      <c r="Y18" s="3698"/>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69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38"/>
      <c r="Q20" s="1349"/>
      <c r="R20" s="704"/>
      <c r="S20" s="705"/>
      <c r="T20" s="704"/>
      <c r="U20" s="705"/>
      <c r="V20" s="704"/>
      <c r="W20" s="705"/>
      <c r="X20" s="1352"/>
      <c r="Y20" s="3698"/>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69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38"/>
      <c r="Q22" s="1349"/>
      <c r="R22" s="704"/>
      <c r="S22" s="705"/>
      <c r="T22" s="704"/>
      <c r="U22" s="705"/>
      <c r="V22" s="704"/>
      <c r="W22" s="705"/>
      <c r="X22" s="1352"/>
      <c r="Y22" s="3698"/>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8"/>
      <c r="Q23" s="1349" t="str">
        <f>B23</f>
        <v>自然及人文环境</v>
      </c>
      <c r="R23" s="704" t="s">
        <v>14</v>
      </c>
      <c r="S23" s="705">
        <f>F23</f>
        <v>100</v>
      </c>
      <c r="T23" s="704" t="s">
        <v>14</v>
      </c>
      <c r="U23" s="705">
        <f>H23</f>
        <v>100</v>
      </c>
      <c r="V23" s="704" t="s">
        <v>14</v>
      </c>
      <c r="W23" s="705">
        <f>J23</f>
        <v>100</v>
      </c>
      <c r="X23" s="1352"/>
      <c r="Y23" s="369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38"/>
      <c r="Q24" s="1349"/>
      <c r="R24" s="704"/>
      <c r="S24" s="705"/>
      <c r="T24" s="704"/>
      <c r="U24" s="705"/>
      <c r="V24" s="704"/>
      <c r="W24" s="705"/>
      <c r="X24" s="1352"/>
      <c r="Y24" s="3698"/>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8"/>
      <c r="Q25" s="1349" t="str">
        <f t="shared" ref="Q25:Q46" si="11">B25</f>
        <v>临街状况</v>
      </c>
      <c r="R25" s="704" t="s">
        <v>14</v>
      </c>
      <c r="S25" s="705">
        <f>F25</f>
        <v>100</v>
      </c>
      <c r="T25" s="704" t="s">
        <v>14</v>
      </c>
      <c r="U25" s="705">
        <f>H25</f>
        <v>100</v>
      </c>
      <c r="V25" s="704" t="s">
        <v>14</v>
      </c>
      <c r="W25" s="705">
        <f>J25</f>
        <v>100</v>
      </c>
      <c r="X25" s="1352"/>
      <c r="Y25" s="3698"/>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8"/>
      <c r="Q26" s="1349" t="str">
        <f t="shared" si="11"/>
        <v>平面位置/可视性</v>
      </c>
      <c r="R26" s="704" t="s">
        <v>14</v>
      </c>
      <c r="S26" s="705">
        <f>F26</f>
        <v>100</v>
      </c>
      <c r="T26" s="704" t="s">
        <v>14</v>
      </c>
      <c r="U26" s="705">
        <f>H26</f>
        <v>100</v>
      </c>
      <c r="V26" s="704" t="s">
        <v>14</v>
      </c>
      <c r="W26" s="705">
        <f>J26</f>
        <v>100</v>
      </c>
      <c r="X26" s="1352"/>
      <c r="Y26" s="3698"/>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38"/>
      <c r="Q27" s="1340" t="str">
        <f t="shared" si="11"/>
        <v>人流量</v>
      </c>
      <c r="R27" s="700" t="s">
        <v>14</v>
      </c>
      <c r="S27" s="701">
        <f>F27</f>
        <v>100</v>
      </c>
      <c r="T27" s="700" t="s">
        <v>14</v>
      </c>
      <c r="U27" s="701">
        <f>H27</f>
        <v>100</v>
      </c>
      <c r="V27" s="700" t="s">
        <v>14</v>
      </c>
      <c r="W27" s="701">
        <f>J27</f>
        <v>100</v>
      </c>
      <c r="X27" s="702"/>
      <c r="Y27" s="3698"/>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8"/>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698"/>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8"/>
      <c r="Q29" s="1349">
        <f t="shared" si="11"/>
        <v>111</v>
      </c>
      <c r="R29" s="704" t="s">
        <v>14</v>
      </c>
      <c r="S29" s="705">
        <f t="shared" si="12"/>
        <v>100</v>
      </c>
      <c r="T29" s="704" t="s">
        <v>14</v>
      </c>
      <c r="U29" s="705">
        <f t="shared" si="13"/>
        <v>100</v>
      </c>
      <c r="V29" s="704" t="s">
        <v>14</v>
      </c>
      <c r="W29" s="705">
        <f t="shared" si="14"/>
        <v>100</v>
      </c>
      <c r="X29" s="1352"/>
      <c r="Y29" s="369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69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698"/>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3" t="s">
        <v>1694</v>
      </c>
      <c r="Q32" s="1349" t="str">
        <f t="shared" si="11"/>
        <v>商业类型</v>
      </c>
      <c r="R32" s="704" t="s">
        <v>14</v>
      </c>
      <c r="S32" s="705">
        <f t="shared" si="12"/>
        <v>100</v>
      </c>
      <c r="T32" s="704" t="s">
        <v>14</v>
      </c>
      <c r="U32" s="705">
        <f t="shared" si="13"/>
        <v>100</v>
      </c>
      <c r="V32" s="704" t="s">
        <v>14</v>
      </c>
      <c r="W32" s="705">
        <f t="shared" si="14"/>
        <v>100</v>
      </c>
      <c r="X32" s="1352"/>
      <c r="Y32" s="3700"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4"/>
      <c r="Q33" s="706" t="str">
        <f t="shared" si="11"/>
        <v>项目建筑规模</v>
      </c>
      <c r="R33" s="707" t="s">
        <v>14</v>
      </c>
      <c r="S33" s="708" t="e">
        <f t="shared" si="12"/>
        <v>#N/A</v>
      </c>
      <c r="T33" s="707" t="s">
        <v>14</v>
      </c>
      <c r="U33" s="708" t="e">
        <f t="shared" si="13"/>
        <v>#N/A</v>
      </c>
      <c r="V33" s="707" t="s">
        <v>14</v>
      </c>
      <c r="W33" s="708" t="e">
        <f t="shared" si="14"/>
        <v>#N/A</v>
      </c>
      <c r="X33" s="709"/>
      <c r="Y33" s="3700"/>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4"/>
      <c r="Q34" s="1349" t="str">
        <f t="shared" si="11"/>
        <v>建筑结构</v>
      </c>
      <c r="R34" s="704" t="s">
        <v>14</v>
      </c>
      <c r="S34" s="705">
        <f t="shared" si="12"/>
        <v>100</v>
      </c>
      <c r="T34" s="704" t="s">
        <v>14</v>
      </c>
      <c r="U34" s="705">
        <f t="shared" si="13"/>
        <v>100</v>
      </c>
      <c r="V34" s="704" t="s">
        <v>14</v>
      </c>
      <c r="W34" s="705">
        <f t="shared" si="14"/>
        <v>100</v>
      </c>
      <c r="X34" s="1352"/>
      <c r="Y34" s="3700"/>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4"/>
      <c r="Q35" s="1349" t="str">
        <f t="shared" si="11"/>
        <v>公共部分装修</v>
      </c>
      <c r="R35" s="704" t="s">
        <v>14</v>
      </c>
      <c r="S35" s="705">
        <f t="shared" si="12"/>
        <v>100</v>
      </c>
      <c r="T35" s="704" t="s">
        <v>14</v>
      </c>
      <c r="U35" s="705">
        <f t="shared" si="13"/>
        <v>100</v>
      </c>
      <c r="V35" s="704" t="s">
        <v>14</v>
      </c>
      <c r="W35" s="705">
        <f t="shared" si="14"/>
        <v>100</v>
      </c>
      <c r="X35" s="1352"/>
      <c r="Y35" s="3700"/>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4"/>
      <c r="Q36" s="1349" t="str">
        <f t="shared" si="11"/>
        <v>成新度</v>
      </c>
      <c r="R36" s="704" t="s">
        <v>14</v>
      </c>
      <c r="S36" s="705" t="e">
        <f t="shared" si="12"/>
        <v>#N/A</v>
      </c>
      <c r="T36" s="704" t="s">
        <v>14</v>
      </c>
      <c r="U36" s="705" t="e">
        <f t="shared" si="13"/>
        <v>#N/A</v>
      </c>
      <c r="V36" s="704" t="s">
        <v>14</v>
      </c>
      <c r="W36" s="705" t="e">
        <f t="shared" si="14"/>
        <v>#N/A</v>
      </c>
      <c r="X36" s="1352"/>
      <c r="Y36" s="3700"/>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4"/>
      <c r="Q37" s="1340"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4" t="s">
        <v>1694</v>
      </c>
      <c r="Q38" s="1349" t="str">
        <f t="shared" si="11"/>
        <v>业态</v>
      </c>
      <c r="R38" s="704" t="s">
        <v>14</v>
      </c>
      <c r="S38" s="705">
        <f t="shared" si="12"/>
        <v>100</v>
      </c>
      <c r="T38" s="704" t="s">
        <v>14</v>
      </c>
      <c r="U38" s="705">
        <f t="shared" si="13"/>
        <v>100</v>
      </c>
      <c r="V38" s="704" t="s">
        <v>14</v>
      </c>
      <c r="W38" s="705">
        <f t="shared" si="14"/>
        <v>100</v>
      </c>
      <c r="X38" s="1352"/>
      <c r="Y38" s="3700"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4"/>
      <c r="Q39" s="1349" t="str">
        <f t="shared" si="11"/>
        <v>层高</v>
      </c>
      <c r="R39" s="704" t="s">
        <v>14</v>
      </c>
      <c r="S39" s="705">
        <f t="shared" si="12"/>
        <v>100</v>
      </c>
      <c r="T39" s="704" t="s">
        <v>14</v>
      </c>
      <c r="U39" s="705">
        <f t="shared" si="13"/>
        <v>100</v>
      </c>
      <c r="V39" s="704" t="s">
        <v>14</v>
      </c>
      <c r="W39" s="705">
        <f t="shared" si="14"/>
        <v>100</v>
      </c>
      <c r="X39" s="1352"/>
      <c r="Y39" s="3700"/>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4"/>
      <c r="Q40" s="1349" t="str">
        <f t="shared" si="11"/>
        <v>单套建筑面积</v>
      </c>
      <c r="R40" s="704" t="s">
        <v>14</v>
      </c>
      <c r="S40" s="705">
        <f t="shared" si="12"/>
        <v>100</v>
      </c>
      <c r="T40" s="704" t="s">
        <v>14</v>
      </c>
      <c r="U40" s="705">
        <f t="shared" si="13"/>
        <v>100</v>
      </c>
      <c r="V40" s="704" t="s">
        <v>14</v>
      </c>
      <c r="W40" s="705">
        <f t="shared" si="14"/>
        <v>100</v>
      </c>
      <c r="X40" s="1352"/>
      <c r="Y40" s="3700"/>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4"/>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4"/>
      <c r="Q42" s="1349" t="str">
        <f t="shared" si="11"/>
        <v>内部装修</v>
      </c>
      <c r="R42" s="704" t="s">
        <v>14</v>
      </c>
      <c r="S42" s="705">
        <f t="shared" si="12"/>
        <v>100</v>
      </c>
      <c r="T42" s="704" t="s">
        <v>14</v>
      </c>
      <c r="U42" s="705">
        <f t="shared" si="13"/>
        <v>100</v>
      </c>
      <c r="V42" s="704" t="s">
        <v>14</v>
      </c>
      <c r="W42" s="705">
        <f t="shared" si="14"/>
        <v>100</v>
      </c>
      <c r="X42" s="1352"/>
      <c r="Y42" s="3700"/>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4"/>
      <c r="Q43" s="1349" t="str">
        <f t="shared" si="11"/>
        <v>内部装修维护情况</v>
      </c>
      <c r="R43" s="704" t="s">
        <v>14</v>
      </c>
      <c r="S43" s="705">
        <f t="shared" si="12"/>
        <v>100</v>
      </c>
      <c r="T43" s="704" t="s">
        <v>14</v>
      </c>
      <c r="U43" s="705">
        <f t="shared" si="13"/>
        <v>100</v>
      </c>
      <c r="V43" s="704" t="s">
        <v>14</v>
      </c>
      <c r="W43" s="705">
        <f t="shared" si="14"/>
        <v>100</v>
      </c>
      <c r="X43" s="1352"/>
      <c r="Y43" s="3700"/>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4"/>
      <c r="Q44" s="1340">
        <f t="shared" si="11"/>
        <v>111</v>
      </c>
      <c r="R44" s="700" t="s">
        <v>14</v>
      </c>
      <c r="S44" s="701">
        <f t="shared" si="12"/>
        <v>100</v>
      </c>
      <c r="T44" s="700" t="s">
        <v>14</v>
      </c>
      <c r="U44" s="701">
        <f t="shared" si="13"/>
        <v>100</v>
      </c>
      <c r="V44" s="700" t="s">
        <v>14</v>
      </c>
      <c r="W44" s="701">
        <f t="shared" si="14"/>
        <v>100</v>
      </c>
      <c r="X44" s="702"/>
      <c r="Y44" s="3700"/>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4"/>
      <c r="Q45" s="1349">
        <f t="shared" si="11"/>
        <v>111</v>
      </c>
      <c r="R45" s="704" t="s">
        <v>14</v>
      </c>
      <c r="S45" s="705">
        <f t="shared" si="12"/>
        <v>100</v>
      </c>
      <c r="T45" s="704" t="s">
        <v>14</v>
      </c>
      <c r="U45" s="705">
        <f t="shared" si="13"/>
        <v>100</v>
      </c>
      <c r="V45" s="704" t="s">
        <v>14</v>
      </c>
      <c r="W45" s="705">
        <f t="shared" si="14"/>
        <v>100</v>
      </c>
      <c r="X45" s="1352"/>
      <c r="Y45" s="3700"/>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5"/>
      <c r="Q46" s="1349">
        <f t="shared" si="11"/>
        <v>111</v>
      </c>
      <c r="R46" s="704" t="s">
        <v>14</v>
      </c>
      <c r="S46" s="705">
        <f t="shared" si="12"/>
        <v>100</v>
      </c>
      <c r="T46" s="704" t="s">
        <v>14</v>
      </c>
      <c r="U46" s="705">
        <f t="shared" si="13"/>
        <v>100</v>
      </c>
      <c r="V46" s="704" t="s">
        <v>14</v>
      </c>
      <c r="W46" s="705">
        <f t="shared" si="14"/>
        <v>100</v>
      </c>
      <c r="X46" s="1352"/>
      <c r="Y46" s="3736"/>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696" t="str">
        <f>A47</f>
        <v>成交单价（元/平方米）</v>
      </c>
      <c r="Q47" s="3696"/>
      <c r="R47" s="3701">
        <f>E47</f>
        <v>0</v>
      </c>
      <c r="S47" s="3701"/>
      <c r="T47" s="3701">
        <f>G47</f>
        <v>0</v>
      </c>
      <c r="U47" s="3701"/>
      <c r="V47" s="3701">
        <f>I47</f>
        <v>0</v>
      </c>
      <c r="W47" s="3701"/>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696" t="str">
        <f>A48</f>
        <v>比较价值（元/平方米）</v>
      </c>
      <c r="Q48" s="3696"/>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690" t="str">
        <f>A49</f>
        <v>估价对象XX用房的比较价值（楼面单价，元/平方米）</v>
      </c>
      <c r="Q49" s="3691"/>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43061.14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693" t="s">
        <v>1768</v>
      </c>
      <c r="D4" s="3705"/>
      <c r="E4" s="3706" t="s">
        <v>1769</v>
      </c>
      <c r="F4" s="3707"/>
      <c r="G4" s="3693" t="s">
        <v>1770</v>
      </c>
      <c r="H4" s="3705"/>
      <c r="I4" s="3693" t="s">
        <v>1771</v>
      </c>
      <c r="J4" s="3705"/>
      <c r="K4" s="559" t="s">
        <v>1772</v>
      </c>
      <c r="L4" s="2710"/>
      <c r="M4" s="2711"/>
      <c r="N4" s="2711"/>
      <c r="O4" s="2711"/>
      <c r="P4" s="3782" t="s">
        <v>1773</v>
      </c>
      <c r="Q4" s="3783"/>
      <c r="R4" s="3786" t="s">
        <v>1769</v>
      </c>
      <c r="S4" s="3787"/>
      <c r="T4" s="3786" t="s">
        <v>1770</v>
      </c>
      <c r="U4" s="3787"/>
      <c r="V4" s="3788" t="s">
        <v>1771</v>
      </c>
      <c r="W4" s="3788"/>
      <c r="X4" s="1953"/>
      <c r="Y4" s="3786" t="s">
        <v>1773</v>
      </c>
      <c r="Z4" s="3787"/>
      <c r="AA4" s="3790" t="s">
        <v>1769</v>
      </c>
      <c r="AB4" s="3790" t="s">
        <v>1770</v>
      </c>
      <c r="AC4" s="3779" t="s">
        <v>1771</v>
      </c>
    </row>
    <row r="5" spans="1:29" ht="15">
      <c r="A5" s="358"/>
      <c r="B5" s="359"/>
      <c r="C5" s="3722" t="s">
        <v>1671</v>
      </c>
      <c r="D5" s="3723"/>
      <c r="E5" s="3729" t="s">
        <v>1672</v>
      </c>
      <c r="F5" s="3730"/>
      <c r="G5" s="3722" t="s">
        <v>1673</v>
      </c>
      <c r="H5" s="3723"/>
      <c r="I5" s="3722" t="s">
        <v>1674</v>
      </c>
      <c r="J5" s="3723"/>
      <c r="K5" s="559"/>
      <c r="L5" s="2710"/>
      <c r="M5" s="2711"/>
      <c r="N5" s="2711"/>
      <c r="O5" s="2711"/>
      <c r="P5" s="3784"/>
      <c r="Q5" s="3711"/>
      <c r="R5" s="3716"/>
      <c r="S5" s="3717"/>
      <c r="T5" s="3716"/>
      <c r="U5" s="3717"/>
      <c r="V5" s="3701"/>
      <c r="W5" s="3701"/>
      <c r="X5" s="1352"/>
      <c r="Y5" s="3716"/>
      <c r="Z5" s="3717"/>
      <c r="AA5" s="3703"/>
      <c r="AB5" s="3703"/>
      <c r="AC5" s="3780"/>
    </row>
    <row r="6" spans="1:29" ht="15.75" thickBot="1">
      <c r="A6" s="360"/>
      <c r="B6" s="361"/>
      <c r="C6" s="3720" t="s">
        <v>1675</v>
      </c>
      <c r="D6" s="3721"/>
      <c r="E6" s="3727" t="s">
        <v>1675</v>
      </c>
      <c r="F6" s="3728"/>
      <c r="G6" s="3720" t="s">
        <v>1675</v>
      </c>
      <c r="H6" s="3721"/>
      <c r="I6" s="3720" t="s">
        <v>1675</v>
      </c>
      <c r="J6" s="3721"/>
      <c r="K6" s="559" t="s">
        <v>1676</v>
      </c>
      <c r="L6" s="2710"/>
      <c r="M6" s="2711"/>
      <c r="N6" s="2711"/>
      <c r="O6" s="2711"/>
      <c r="P6" s="3785"/>
      <c r="Q6" s="3713"/>
      <c r="R6" s="3716"/>
      <c r="S6" s="3717"/>
      <c r="T6" s="3718"/>
      <c r="U6" s="3719"/>
      <c r="V6" s="3701"/>
      <c r="W6" s="3701"/>
      <c r="X6" s="1352"/>
      <c r="Y6" s="3718"/>
      <c r="Z6" s="3719"/>
      <c r="AA6" s="3704"/>
      <c r="AB6" s="3704"/>
      <c r="AC6" s="3781"/>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9" t="s">
        <v>1678</v>
      </c>
      <c r="Q7" s="3726"/>
      <c r="R7" s="700" t="s">
        <v>14</v>
      </c>
      <c r="S7" s="701">
        <f t="shared" ref="S7:S15" si="0">F7</f>
        <v>0</v>
      </c>
      <c r="T7" s="700" t="s">
        <v>14</v>
      </c>
      <c r="U7" s="701">
        <f t="shared" ref="U7:U15" si="1">H7</f>
        <v>0</v>
      </c>
      <c r="V7" s="700" t="s">
        <v>14</v>
      </c>
      <c r="W7" s="701">
        <f t="shared" ref="W7:W15" si="2">J7</f>
        <v>0</v>
      </c>
      <c r="X7" s="702"/>
      <c r="Y7" s="3724" t="s">
        <v>1678</v>
      </c>
      <c r="Z7" s="3725"/>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9" t="s">
        <v>1681</v>
      </c>
      <c r="Q8" s="3725"/>
      <c r="R8" s="700" t="s">
        <v>14</v>
      </c>
      <c r="S8" s="701">
        <f t="shared" si="0"/>
        <v>100</v>
      </c>
      <c r="T8" s="700" t="s">
        <v>14</v>
      </c>
      <c r="U8" s="701">
        <f t="shared" si="1"/>
        <v>100</v>
      </c>
      <c r="V8" s="700" t="s">
        <v>14</v>
      </c>
      <c r="W8" s="701">
        <f t="shared" si="2"/>
        <v>100</v>
      </c>
      <c r="X8" s="702"/>
      <c r="Y8" s="3724" t="s">
        <v>1681</v>
      </c>
      <c r="Z8" s="3725"/>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5"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5"/>
      <c r="Q10" s="1340" t="str">
        <f t="shared" si="6"/>
        <v>土地使用年限（年）</v>
      </c>
      <c r="R10" s="700" t="s">
        <v>14</v>
      </c>
      <c r="S10" s="701">
        <f t="shared" si="0"/>
        <v>100</v>
      </c>
      <c r="T10" s="700" t="s">
        <v>14</v>
      </c>
      <c r="U10" s="701">
        <f t="shared" si="1"/>
        <v>100</v>
      </c>
      <c r="V10" s="700" t="s">
        <v>14</v>
      </c>
      <c r="W10" s="701">
        <f t="shared" si="2"/>
        <v>100</v>
      </c>
      <c r="X10" s="702"/>
      <c r="Y10" s="3593"/>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5"/>
      <c r="Q11" s="1340" t="str">
        <f t="shared" si="6"/>
        <v>容积率</v>
      </c>
      <c r="R11" s="700" t="s">
        <v>14</v>
      </c>
      <c r="S11" s="701">
        <f t="shared" si="0"/>
        <v>100</v>
      </c>
      <c r="T11" s="700" t="s">
        <v>14</v>
      </c>
      <c r="U11" s="701">
        <f t="shared" si="1"/>
        <v>100</v>
      </c>
      <c r="V11" s="700" t="s">
        <v>14</v>
      </c>
      <c r="W11" s="701">
        <f t="shared" si="2"/>
        <v>100</v>
      </c>
      <c r="X11" s="702"/>
      <c r="Y11" s="3593"/>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95"/>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95"/>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95"/>
      <c r="Q14" s="1340">
        <f t="shared" si="6"/>
        <v>111</v>
      </c>
      <c r="R14" s="700" t="s">
        <v>14</v>
      </c>
      <c r="S14" s="701">
        <f t="shared" si="0"/>
        <v>100</v>
      </c>
      <c r="T14" s="700" t="s">
        <v>14</v>
      </c>
      <c r="U14" s="701">
        <f t="shared" si="1"/>
        <v>100</v>
      </c>
      <c r="V14" s="700" t="s">
        <v>14</v>
      </c>
      <c r="W14" s="701">
        <f t="shared" si="2"/>
        <v>100</v>
      </c>
      <c r="X14" s="702"/>
      <c r="Y14" s="3593"/>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7" t="s">
        <v>1689</v>
      </c>
      <c r="Q15" s="1349" t="str">
        <f t="shared" si="6"/>
        <v>办公集聚程度</v>
      </c>
      <c r="R15" s="704" t="s">
        <v>14</v>
      </c>
      <c r="S15" s="705">
        <f t="shared" si="0"/>
        <v>100</v>
      </c>
      <c r="T15" s="704" t="s">
        <v>14</v>
      </c>
      <c r="U15" s="705">
        <f t="shared" si="1"/>
        <v>100</v>
      </c>
      <c r="V15" s="704" t="s">
        <v>14</v>
      </c>
      <c r="W15" s="705">
        <f t="shared" si="2"/>
        <v>100</v>
      </c>
      <c r="X15" s="1352"/>
      <c r="Y15" s="3697"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38"/>
      <c r="Q16" s="1349"/>
      <c r="R16" s="704"/>
      <c r="S16" s="705"/>
      <c r="T16" s="704"/>
      <c r="U16" s="705"/>
      <c r="V16" s="704"/>
      <c r="W16" s="705"/>
      <c r="X16" s="1352"/>
      <c r="Y16" s="3698"/>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698"/>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38"/>
      <c r="Q18" s="1349"/>
      <c r="R18" s="704"/>
      <c r="S18" s="705"/>
      <c r="T18" s="704"/>
      <c r="U18" s="705"/>
      <c r="V18" s="704"/>
      <c r="W18" s="705"/>
      <c r="X18" s="1352"/>
      <c r="Y18" s="3698"/>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698"/>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38"/>
      <c r="Q20" s="1349"/>
      <c r="R20" s="704"/>
      <c r="S20" s="705"/>
      <c r="T20" s="704"/>
      <c r="U20" s="705"/>
      <c r="V20" s="704"/>
      <c r="W20" s="705"/>
      <c r="X20" s="1352"/>
      <c r="Y20" s="3698"/>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698"/>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38"/>
      <c r="Q22" s="1349"/>
      <c r="R22" s="704"/>
      <c r="S22" s="705"/>
      <c r="T22" s="704"/>
      <c r="U22" s="705"/>
      <c r="V22" s="704"/>
      <c r="W22" s="705"/>
      <c r="X22" s="1352"/>
      <c r="Y22" s="3698"/>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8"/>
      <c r="Q23" s="1349" t="str">
        <f>B23</f>
        <v>环境质量</v>
      </c>
      <c r="R23" s="704" t="s">
        <v>14</v>
      </c>
      <c r="S23" s="705">
        <f>F23</f>
        <v>100</v>
      </c>
      <c r="T23" s="704" t="s">
        <v>14</v>
      </c>
      <c r="U23" s="705">
        <f>H23</f>
        <v>100</v>
      </c>
      <c r="V23" s="704" t="s">
        <v>14</v>
      </c>
      <c r="W23" s="705">
        <f>J23</f>
        <v>100</v>
      </c>
      <c r="X23" s="1352"/>
      <c r="Y23" s="3698"/>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38"/>
      <c r="Q24" s="1349"/>
      <c r="R24" s="704"/>
      <c r="S24" s="705"/>
      <c r="T24" s="704"/>
      <c r="U24" s="705"/>
      <c r="V24" s="704"/>
      <c r="W24" s="705"/>
      <c r="X24" s="1352"/>
      <c r="Y24" s="3698"/>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38"/>
      <c r="Q25" s="1349" t="str">
        <f>B25</f>
        <v>毗邻道路的类型与等级</v>
      </c>
      <c r="R25" s="704" t="s">
        <v>14</v>
      </c>
      <c r="S25" s="705">
        <f>F25</f>
        <v>100</v>
      </c>
      <c r="T25" s="704" t="s">
        <v>14</v>
      </c>
      <c r="U25" s="705">
        <f>H25</f>
        <v>100</v>
      </c>
      <c r="V25" s="704" t="s">
        <v>14</v>
      </c>
      <c r="W25" s="705">
        <f>J25</f>
        <v>100</v>
      </c>
      <c r="X25" s="1352"/>
      <c r="Y25" s="3698"/>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38"/>
      <c r="Q26" s="1349"/>
      <c r="R26" s="704"/>
      <c r="S26" s="705"/>
      <c r="T26" s="704"/>
      <c r="U26" s="705"/>
      <c r="V26" s="704"/>
      <c r="W26" s="705"/>
      <c r="X26" s="1352"/>
      <c r="Y26" s="3698"/>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8"/>
      <c r="Q27" s="1349" t="str">
        <f t="shared" ref="Q27:Q47" si="11">B27</f>
        <v>楼层</v>
      </c>
      <c r="R27" s="704" t="s">
        <v>14</v>
      </c>
      <c r="S27" s="705">
        <f>F27</f>
        <v>100</v>
      </c>
      <c r="T27" s="704" t="s">
        <v>14</v>
      </c>
      <c r="U27" s="705">
        <f>H27</f>
        <v>100</v>
      </c>
      <c r="V27" s="704" t="s">
        <v>14</v>
      </c>
      <c r="W27" s="705">
        <f>J27</f>
        <v>100</v>
      </c>
      <c r="X27" s="1352"/>
      <c r="Y27" s="3698"/>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38"/>
      <c r="Q28" s="1340" t="str">
        <f t="shared" si="11"/>
        <v>朝向</v>
      </c>
      <c r="R28" s="700" t="s">
        <v>14</v>
      </c>
      <c r="S28" s="701">
        <f>F28</f>
        <v>100</v>
      </c>
      <c r="T28" s="700" t="s">
        <v>14</v>
      </c>
      <c r="U28" s="701">
        <f>H28</f>
        <v>100</v>
      </c>
      <c r="V28" s="700" t="s">
        <v>14</v>
      </c>
      <c r="W28" s="701">
        <f>J28</f>
        <v>100</v>
      </c>
      <c r="X28" s="702"/>
      <c r="Y28" s="3698"/>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38"/>
      <c r="Q29" s="1349">
        <f t="shared" si="11"/>
        <v>111</v>
      </c>
      <c r="R29" s="704" t="s">
        <v>14</v>
      </c>
      <c r="S29" s="705">
        <f t="shared" ref="S29:S47" si="12">F29</f>
        <v>100</v>
      </c>
      <c r="T29" s="704" t="s">
        <v>14</v>
      </c>
      <c r="U29" s="705">
        <f t="shared" ref="U29:U47" si="13">H29</f>
        <v>100</v>
      </c>
      <c r="V29" s="704" t="s">
        <v>14</v>
      </c>
      <c r="W29" s="705">
        <f t="shared" ref="W29:W47" si="14">J29</f>
        <v>100</v>
      </c>
      <c r="X29" s="1352"/>
      <c r="Y29" s="3698"/>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698"/>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698"/>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38"/>
      <c r="Q32" s="1349">
        <f t="shared" si="11"/>
        <v>111</v>
      </c>
      <c r="R32" s="704" t="s">
        <v>14</v>
      </c>
      <c r="S32" s="705">
        <f t="shared" si="12"/>
        <v>100</v>
      </c>
      <c r="T32" s="704" t="s">
        <v>14</v>
      </c>
      <c r="U32" s="705">
        <f t="shared" si="13"/>
        <v>100</v>
      </c>
      <c r="V32" s="704" t="s">
        <v>14</v>
      </c>
      <c r="W32" s="705">
        <f t="shared" si="14"/>
        <v>100</v>
      </c>
      <c r="X32" s="1352"/>
      <c r="Y32" s="3698"/>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3" t="s">
        <v>1694</v>
      </c>
      <c r="Q33" s="1349" t="str">
        <f t="shared" si="11"/>
        <v>建筑类型</v>
      </c>
      <c r="R33" s="704" t="s">
        <v>14</v>
      </c>
      <c r="S33" s="705">
        <f t="shared" si="12"/>
        <v>100</v>
      </c>
      <c r="T33" s="704" t="s">
        <v>14</v>
      </c>
      <c r="U33" s="705">
        <f t="shared" si="13"/>
        <v>100</v>
      </c>
      <c r="V33" s="704" t="s">
        <v>14</v>
      </c>
      <c r="W33" s="705">
        <f t="shared" si="14"/>
        <v>100</v>
      </c>
      <c r="X33" s="1352"/>
      <c r="Y33" s="3700"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4"/>
      <c r="Q34" s="706" t="str">
        <f t="shared" si="11"/>
        <v>项目建筑规模</v>
      </c>
      <c r="R34" s="707" t="s">
        <v>14</v>
      </c>
      <c r="S34" s="708" t="e">
        <f t="shared" si="12"/>
        <v>#N/A</v>
      </c>
      <c r="T34" s="707" t="s">
        <v>14</v>
      </c>
      <c r="U34" s="708" t="e">
        <f t="shared" si="13"/>
        <v>#N/A</v>
      </c>
      <c r="V34" s="707" t="s">
        <v>14</v>
      </c>
      <c r="W34" s="708" t="e">
        <f t="shared" si="14"/>
        <v>#N/A</v>
      </c>
      <c r="X34" s="709"/>
      <c r="Y34" s="3700"/>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4"/>
      <c r="Q35" s="1349" t="str">
        <f t="shared" si="11"/>
        <v>建筑结构</v>
      </c>
      <c r="R35" s="704" t="s">
        <v>14</v>
      </c>
      <c r="S35" s="705">
        <f t="shared" si="12"/>
        <v>100</v>
      </c>
      <c r="T35" s="704" t="s">
        <v>14</v>
      </c>
      <c r="U35" s="705">
        <f t="shared" si="13"/>
        <v>100</v>
      </c>
      <c r="V35" s="704" t="s">
        <v>14</v>
      </c>
      <c r="W35" s="705">
        <f t="shared" si="14"/>
        <v>100</v>
      </c>
      <c r="X35" s="1352"/>
      <c r="Y35" s="3700"/>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4"/>
      <c r="Q36" s="1349" t="str">
        <f t="shared" si="11"/>
        <v>公共部分装修</v>
      </c>
      <c r="R36" s="704" t="s">
        <v>14</v>
      </c>
      <c r="S36" s="705">
        <f t="shared" si="12"/>
        <v>100</v>
      </c>
      <c r="T36" s="704" t="s">
        <v>14</v>
      </c>
      <c r="U36" s="705">
        <f t="shared" si="13"/>
        <v>100</v>
      </c>
      <c r="V36" s="704" t="s">
        <v>14</v>
      </c>
      <c r="W36" s="705">
        <f t="shared" si="14"/>
        <v>100</v>
      </c>
      <c r="X36" s="1352"/>
      <c r="Y36" s="3700"/>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4"/>
      <c r="Q37" s="1349" t="str">
        <f t="shared" si="11"/>
        <v>成新度</v>
      </c>
      <c r="R37" s="704" t="s">
        <v>14</v>
      </c>
      <c r="S37" s="705" t="e">
        <f t="shared" si="12"/>
        <v>#N/A</v>
      </c>
      <c r="T37" s="704" t="s">
        <v>14</v>
      </c>
      <c r="U37" s="705" t="e">
        <f t="shared" si="13"/>
        <v>#N/A</v>
      </c>
      <c r="V37" s="704" t="s">
        <v>14</v>
      </c>
      <c r="W37" s="705" t="e">
        <f t="shared" si="14"/>
        <v>#N/A</v>
      </c>
      <c r="X37" s="1352"/>
      <c r="Y37" s="3700"/>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4"/>
      <c r="Q38" s="1340"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4" t="s">
        <v>1694</v>
      </c>
      <c r="Q39" s="1349" t="str">
        <f t="shared" si="11"/>
        <v>物业管理</v>
      </c>
      <c r="R39" s="704" t="s">
        <v>14</v>
      </c>
      <c r="S39" s="705">
        <f t="shared" si="12"/>
        <v>100</v>
      </c>
      <c r="T39" s="704" t="s">
        <v>14</v>
      </c>
      <c r="U39" s="705">
        <f t="shared" si="13"/>
        <v>100</v>
      </c>
      <c r="V39" s="704" t="s">
        <v>14</v>
      </c>
      <c r="W39" s="705">
        <f t="shared" si="14"/>
        <v>100</v>
      </c>
      <c r="X39" s="1352"/>
      <c r="Y39" s="3700"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4"/>
      <c r="Q40" s="1349" t="str">
        <f t="shared" si="11"/>
        <v>市政基础设施</v>
      </c>
      <c r="R40" s="704" t="s">
        <v>14</v>
      </c>
      <c r="S40" s="705">
        <f t="shared" si="12"/>
        <v>100</v>
      </c>
      <c r="T40" s="704" t="s">
        <v>14</v>
      </c>
      <c r="U40" s="705">
        <f t="shared" si="13"/>
        <v>100</v>
      </c>
      <c r="V40" s="704" t="s">
        <v>14</v>
      </c>
      <c r="W40" s="705">
        <f t="shared" si="14"/>
        <v>100</v>
      </c>
      <c r="X40" s="1352"/>
      <c r="Y40" s="3700"/>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4"/>
      <c r="Q41" s="1349" t="str">
        <f t="shared" si="11"/>
        <v>层高</v>
      </c>
      <c r="R41" s="704" t="s">
        <v>14</v>
      </c>
      <c r="S41" s="705">
        <f t="shared" si="12"/>
        <v>100</v>
      </c>
      <c r="T41" s="704" t="s">
        <v>14</v>
      </c>
      <c r="U41" s="705">
        <f t="shared" si="13"/>
        <v>100</v>
      </c>
      <c r="V41" s="704" t="s">
        <v>14</v>
      </c>
      <c r="W41" s="705">
        <f t="shared" si="14"/>
        <v>100</v>
      </c>
      <c r="X41" s="1352"/>
      <c r="Y41" s="3700"/>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4"/>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4"/>
      <c r="Q43" s="1349" t="str">
        <f t="shared" si="11"/>
        <v>内部装修</v>
      </c>
      <c r="R43" s="704" t="s">
        <v>14</v>
      </c>
      <c r="S43" s="705">
        <f t="shared" si="12"/>
        <v>100</v>
      </c>
      <c r="T43" s="704" t="s">
        <v>14</v>
      </c>
      <c r="U43" s="705">
        <f t="shared" si="13"/>
        <v>100</v>
      </c>
      <c r="V43" s="704" t="s">
        <v>14</v>
      </c>
      <c r="W43" s="705">
        <f t="shared" si="14"/>
        <v>100</v>
      </c>
      <c r="X43" s="1352"/>
      <c r="Y43" s="3700"/>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4"/>
      <c r="Q44" s="1349" t="str">
        <f t="shared" si="11"/>
        <v>内部装修维护情况</v>
      </c>
      <c r="R44" s="704" t="s">
        <v>14</v>
      </c>
      <c r="S44" s="705">
        <f t="shared" si="12"/>
        <v>100</v>
      </c>
      <c r="T44" s="704" t="s">
        <v>14</v>
      </c>
      <c r="U44" s="705">
        <f t="shared" si="13"/>
        <v>100</v>
      </c>
      <c r="V44" s="704" t="s">
        <v>14</v>
      </c>
      <c r="W44" s="705">
        <f t="shared" si="14"/>
        <v>100</v>
      </c>
      <c r="X44" s="1352"/>
      <c r="Y44" s="3700"/>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4"/>
      <c r="Q45" s="1340">
        <f t="shared" si="11"/>
        <v>111</v>
      </c>
      <c r="R45" s="700" t="s">
        <v>14</v>
      </c>
      <c r="S45" s="701">
        <f t="shared" si="12"/>
        <v>100</v>
      </c>
      <c r="T45" s="700" t="s">
        <v>14</v>
      </c>
      <c r="U45" s="701">
        <f t="shared" si="13"/>
        <v>100</v>
      </c>
      <c r="V45" s="700" t="s">
        <v>14</v>
      </c>
      <c r="W45" s="701">
        <f t="shared" si="14"/>
        <v>100</v>
      </c>
      <c r="X45" s="702"/>
      <c r="Y45" s="3700"/>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4"/>
      <c r="Q46" s="1349">
        <f t="shared" si="11"/>
        <v>111</v>
      </c>
      <c r="R46" s="704" t="s">
        <v>14</v>
      </c>
      <c r="S46" s="705">
        <f t="shared" si="12"/>
        <v>100</v>
      </c>
      <c r="T46" s="704" t="s">
        <v>14</v>
      </c>
      <c r="U46" s="705">
        <f t="shared" si="13"/>
        <v>100</v>
      </c>
      <c r="V46" s="704" t="s">
        <v>14</v>
      </c>
      <c r="W46" s="705">
        <f t="shared" si="14"/>
        <v>100</v>
      </c>
      <c r="X46" s="1352"/>
      <c r="Y46" s="3700"/>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5"/>
      <c r="Q47" s="1349">
        <f t="shared" si="11"/>
        <v>111</v>
      </c>
      <c r="R47" s="704" t="s">
        <v>14</v>
      </c>
      <c r="S47" s="705">
        <f t="shared" si="12"/>
        <v>100</v>
      </c>
      <c r="T47" s="704" t="s">
        <v>14</v>
      </c>
      <c r="U47" s="705">
        <f t="shared" si="13"/>
        <v>100</v>
      </c>
      <c r="V47" s="704" t="s">
        <v>14</v>
      </c>
      <c r="W47" s="705">
        <f t="shared" si="14"/>
        <v>100</v>
      </c>
      <c r="X47" s="1352"/>
      <c r="Y47" s="3736"/>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695" t="str">
        <f>A48</f>
        <v>成交单价（元/平方米）</v>
      </c>
      <c r="Q48" s="3696"/>
      <c r="R48" s="3732">
        <f>E48</f>
        <v>0</v>
      </c>
      <c r="S48" s="3732"/>
      <c r="T48" s="3732">
        <f>G48</f>
        <v>0</v>
      </c>
      <c r="U48" s="3732"/>
      <c r="V48" s="3732">
        <f>I48</f>
        <v>0</v>
      </c>
      <c r="W48" s="3732"/>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695" t="str">
        <f>A49</f>
        <v>比较价值（元/平方米）</v>
      </c>
      <c r="Q49" s="3696"/>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43061.14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93" t="s">
        <v>1768</v>
      </c>
      <c r="D4" s="3705"/>
      <c r="E4" s="3706" t="s">
        <v>1769</v>
      </c>
      <c r="F4" s="3707"/>
      <c r="G4" s="3693" t="s">
        <v>1770</v>
      </c>
      <c r="H4" s="3705"/>
      <c r="I4" s="3693" t="s">
        <v>1771</v>
      </c>
      <c r="J4" s="3705"/>
      <c r="K4" s="559" t="s">
        <v>1772</v>
      </c>
      <c r="L4" s="912"/>
      <c r="M4" s="913"/>
      <c r="N4" s="913"/>
      <c r="O4" s="913"/>
      <c r="P4" s="3708" t="s">
        <v>1773</v>
      </c>
      <c r="Q4" s="3709"/>
      <c r="R4" s="3714" t="s">
        <v>1769</v>
      </c>
      <c r="S4" s="3715"/>
      <c r="T4" s="3714" t="s">
        <v>1770</v>
      </c>
      <c r="U4" s="3715"/>
      <c r="V4" s="3701" t="s">
        <v>1771</v>
      </c>
      <c r="W4" s="3701"/>
      <c r="X4" s="1352"/>
      <c r="Y4" s="3714" t="s">
        <v>1773</v>
      </c>
      <c r="Z4" s="3715"/>
      <c r="AA4" s="3702" t="s">
        <v>1769</v>
      </c>
      <c r="AB4" s="3703" t="s">
        <v>1770</v>
      </c>
      <c r="AC4" s="3702" t="s">
        <v>1771</v>
      </c>
    </row>
    <row r="5" spans="1:29" ht="15">
      <c r="A5" s="358"/>
      <c r="B5" s="359"/>
      <c r="C5" s="3722" t="s">
        <v>1671</v>
      </c>
      <c r="D5" s="3723"/>
      <c r="E5" s="3729" t="s">
        <v>1672</v>
      </c>
      <c r="F5" s="3730"/>
      <c r="G5" s="3722" t="s">
        <v>1673</v>
      </c>
      <c r="H5" s="3723"/>
      <c r="I5" s="3722" t="s">
        <v>1674</v>
      </c>
      <c r="J5" s="3723"/>
      <c r="K5" s="559"/>
      <c r="L5" s="912"/>
      <c r="M5" s="913"/>
      <c r="N5" s="913"/>
      <c r="O5" s="913"/>
      <c r="P5" s="3710"/>
      <c r="Q5" s="3711"/>
      <c r="R5" s="3716"/>
      <c r="S5" s="3717"/>
      <c r="T5" s="3716"/>
      <c r="U5" s="3717"/>
      <c r="V5" s="3701"/>
      <c r="W5" s="3701"/>
      <c r="X5" s="1352"/>
      <c r="Y5" s="3716"/>
      <c r="Z5" s="3717"/>
      <c r="AA5" s="3703"/>
      <c r="AB5" s="3703"/>
      <c r="AC5" s="3703"/>
    </row>
    <row r="6" spans="1:29" ht="15.75" thickBot="1">
      <c r="A6" s="360"/>
      <c r="B6" s="361"/>
      <c r="C6" s="3720" t="s">
        <v>1675</v>
      </c>
      <c r="D6" s="3721"/>
      <c r="E6" s="3727" t="s">
        <v>1675</v>
      </c>
      <c r="F6" s="3728"/>
      <c r="G6" s="3720" t="s">
        <v>1675</v>
      </c>
      <c r="H6" s="3721"/>
      <c r="I6" s="3720" t="s">
        <v>1675</v>
      </c>
      <c r="J6" s="3721"/>
      <c r="K6" s="559" t="s">
        <v>1676</v>
      </c>
      <c r="L6" s="912"/>
      <c r="M6" s="913"/>
      <c r="N6" s="913"/>
      <c r="O6" s="913"/>
      <c r="P6" s="3712"/>
      <c r="Q6" s="3713"/>
      <c r="R6" s="3716"/>
      <c r="S6" s="3717"/>
      <c r="T6" s="3718"/>
      <c r="U6" s="3719"/>
      <c r="V6" s="3701"/>
      <c r="W6" s="3701"/>
      <c r="X6" s="1352"/>
      <c r="Y6" s="3718"/>
      <c r="Z6" s="3719"/>
      <c r="AA6" s="3704"/>
      <c r="AB6" s="3704"/>
      <c r="AC6" s="3704"/>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24" t="s">
        <v>1678</v>
      </c>
      <c r="Q7" s="3726"/>
      <c r="R7" s="700" t="s">
        <v>14</v>
      </c>
      <c r="S7" s="701">
        <f t="shared" ref="S7:S15" si="0">F7</f>
        <v>0</v>
      </c>
      <c r="T7" s="700" t="s">
        <v>14</v>
      </c>
      <c r="U7" s="701">
        <f t="shared" ref="U7:U15" si="1">H7</f>
        <v>0</v>
      </c>
      <c r="V7" s="700" t="s">
        <v>14</v>
      </c>
      <c r="W7" s="701">
        <f t="shared" ref="W7:W15" si="2">J7</f>
        <v>0</v>
      </c>
      <c r="X7" s="702"/>
      <c r="Y7" s="3724" t="s">
        <v>1678</v>
      </c>
      <c r="Z7" s="3725"/>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4" t="s">
        <v>1681</v>
      </c>
      <c r="Q8" s="3725"/>
      <c r="R8" s="700" t="s">
        <v>14</v>
      </c>
      <c r="S8" s="701">
        <f t="shared" si="0"/>
        <v>100</v>
      </c>
      <c r="T8" s="700" t="s">
        <v>14</v>
      </c>
      <c r="U8" s="701">
        <f t="shared" si="1"/>
        <v>100</v>
      </c>
      <c r="V8" s="700" t="s">
        <v>14</v>
      </c>
      <c r="W8" s="701">
        <f t="shared" si="2"/>
        <v>100</v>
      </c>
      <c r="X8" s="702"/>
      <c r="Y8" s="3724" t="s">
        <v>1681</v>
      </c>
      <c r="Z8" s="3725"/>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696"/>
      <c r="Q10" s="1340" t="str">
        <f t="shared" si="6"/>
        <v>土地使用年限（年）</v>
      </c>
      <c r="R10" s="700" t="s">
        <v>14</v>
      </c>
      <c r="S10" s="701">
        <f t="shared" si="0"/>
        <v>100</v>
      </c>
      <c r="T10" s="700" t="s">
        <v>14</v>
      </c>
      <c r="U10" s="701">
        <f t="shared" si="1"/>
        <v>100</v>
      </c>
      <c r="V10" s="700" t="s">
        <v>14</v>
      </c>
      <c r="W10" s="701">
        <f t="shared" si="2"/>
        <v>100</v>
      </c>
      <c r="X10" s="702"/>
      <c r="Y10" s="359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0" t="str">
        <f t="shared" si="6"/>
        <v>容积率</v>
      </c>
      <c r="R11" s="700" t="s">
        <v>14</v>
      </c>
      <c r="S11" s="701">
        <f t="shared" si="0"/>
        <v>100</v>
      </c>
      <c r="T11" s="700" t="s">
        <v>14</v>
      </c>
      <c r="U11" s="701">
        <f t="shared" si="1"/>
        <v>100</v>
      </c>
      <c r="V11" s="700" t="s">
        <v>14</v>
      </c>
      <c r="W11" s="701">
        <f t="shared" si="2"/>
        <v>100</v>
      </c>
      <c r="X11" s="702"/>
      <c r="Y11" s="3593"/>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696"/>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696"/>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696"/>
      <c r="Q14" s="1340">
        <f t="shared" si="6"/>
        <v>111</v>
      </c>
      <c r="R14" s="700" t="s">
        <v>14</v>
      </c>
      <c r="S14" s="701">
        <f t="shared" si="0"/>
        <v>100</v>
      </c>
      <c r="T14" s="700" t="s">
        <v>14</v>
      </c>
      <c r="U14" s="701">
        <f t="shared" si="1"/>
        <v>100</v>
      </c>
      <c r="V14" s="700" t="s">
        <v>14</v>
      </c>
      <c r="W14" s="701">
        <f t="shared" si="2"/>
        <v>100</v>
      </c>
      <c r="X14" s="702"/>
      <c r="Y14" s="3593"/>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7" t="s">
        <v>1689</v>
      </c>
      <c r="Q15" s="1349" t="str">
        <f t="shared" si="6"/>
        <v>产业集聚程度</v>
      </c>
      <c r="R15" s="704" t="s">
        <v>14</v>
      </c>
      <c r="S15" s="705">
        <f t="shared" si="0"/>
        <v>100</v>
      </c>
      <c r="T15" s="704" t="s">
        <v>14</v>
      </c>
      <c r="U15" s="705">
        <f t="shared" si="1"/>
        <v>100</v>
      </c>
      <c r="V15" s="704" t="s">
        <v>14</v>
      </c>
      <c r="W15" s="705">
        <f t="shared" si="2"/>
        <v>100</v>
      </c>
      <c r="X15" s="1352"/>
      <c r="Y15" s="3697"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698"/>
      <c r="Q16" s="1349"/>
      <c r="R16" s="704"/>
      <c r="S16" s="705"/>
      <c r="T16" s="704"/>
      <c r="U16" s="705"/>
      <c r="V16" s="704"/>
      <c r="W16" s="705"/>
      <c r="X16" s="1352"/>
      <c r="Y16" s="3698"/>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8"/>
      <c r="Q17" s="1349" t="str">
        <f>B17</f>
        <v>交通便捷度</v>
      </c>
      <c r="R17" s="704" t="s">
        <v>14</v>
      </c>
      <c r="S17" s="705">
        <f>F17</f>
        <v>100</v>
      </c>
      <c r="T17" s="704" t="s">
        <v>14</v>
      </c>
      <c r="U17" s="705">
        <f>H17</f>
        <v>100</v>
      </c>
      <c r="V17" s="704" t="s">
        <v>14</v>
      </c>
      <c r="W17" s="705">
        <f>J17</f>
        <v>100</v>
      </c>
      <c r="X17" s="1352"/>
      <c r="Y17" s="369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698"/>
      <c r="Q18" s="1349"/>
      <c r="R18" s="704"/>
      <c r="S18" s="705"/>
      <c r="T18" s="704"/>
      <c r="U18" s="705"/>
      <c r="V18" s="704"/>
      <c r="W18" s="705"/>
      <c r="X18" s="1352"/>
      <c r="Y18" s="3698"/>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8"/>
      <c r="Q19" s="1349" t="str">
        <f>B19</f>
        <v>公共配套设施</v>
      </c>
      <c r="R19" s="704" t="s">
        <v>14</v>
      </c>
      <c r="S19" s="705">
        <f>F19</f>
        <v>100</v>
      </c>
      <c r="T19" s="704" t="s">
        <v>14</v>
      </c>
      <c r="U19" s="705">
        <f>H19</f>
        <v>100</v>
      </c>
      <c r="V19" s="704" t="s">
        <v>14</v>
      </c>
      <c r="W19" s="705">
        <f>J19</f>
        <v>100</v>
      </c>
      <c r="X19" s="1352"/>
      <c r="Y19" s="369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698"/>
      <c r="Q20" s="1349"/>
      <c r="R20" s="704"/>
      <c r="S20" s="705"/>
      <c r="T20" s="704"/>
      <c r="U20" s="705"/>
      <c r="V20" s="704"/>
      <c r="W20" s="705"/>
      <c r="X20" s="1352"/>
      <c r="Y20" s="3698"/>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8"/>
      <c r="Q21" s="1349" t="str">
        <f>B21</f>
        <v>基础设施水平</v>
      </c>
      <c r="R21" s="704" t="s">
        <v>14</v>
      </c>
      <c r="S21" s="705">
        <f>F21</f>
        <v>100</v>
      </c>
      <c r="T21" s="704" t="s">
        <v>14</v>
      </c>
      <c r="U21" s="705">
        <f>H21</f>
        <v>100</v>
      </c>
      <c r="V21" s="704" t="s">
        <v>14</v>
      </c>
      <c r="W21" s="705">
        <f>J21</f>
        <v>100</v>
      </c>
      <c r="X21" s="1352"/>
      <c r="Y21" s="369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698"/>
      <c r="Q22" s="1349"/>
      <c r="R22" s="704"/>
      <c r="S22" s="705"/>
      <c r="T22" s="704"/>
      <c r="U22" s="705"/>
      <c r="V22" s="704"/>
      <c r="W22" s="705"/>
      <c r="X22" s="1352"/>
      <c r="Y22" s="3698"/>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8"/>
      <c r="Q23" s="1349" t="str">
        <f>B23</f>
        <v>环境质量</v>
      </c>
      <c r="R23" s="704" t="s">
        <v>14</v>
      </c>
      <c r="S23" s="705">
        <f>F23</f>
        <v>100</v>
      </c>
      <c r="T23" s="704" t="s">
        <v>14</v>
      </c>
      <c r="U23" s="705">
        <f>H23</f>
        <v>100</v>
      </c>
      <c r="V23" s="704" t="s">
        <v>14</v>
      </c>
      <c r="W23" s="705">
        <f>J23</f>
        <v>100</v>
      </c>
      <c r="X23" s="1352"/>
      <c r="Y23" s="3698"/>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698"/>
      <c r="Q24" s="1349"/>
      <c r="R24" s="704"/>
      <c r="S24" s="705"/>
      <c r="T24" s="704"/>
      <c r="U24" s="705"/>
      <c r="V24" s="704"/>
      <c r="W24" s="705"/>
      <c r="X24" s="1352"/>
      <c r="Y24" s="369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8"/>
      <c r="Q25" s="1349">
        <f>B25</f>
        <v>111</v>
      </c>
      <c r="R25" s="704" t="s">
        <v>14</v>
      </c>
      <c r="S25" s="705">
        <f>F25</f>
        <v>100</v>
      </c>
      <c r="T25" s="704" t="s">
        <v>14</v>
      </c>
      <c r="U25" s="705">
        <f>H25</f>
        <v>100</v>
      </c>
      <c r="V25" s="704" t="s">
        <v>14</v>
      </c>
      <c r="W25" s="705">
        <f>J25</f>
        <v>100</v>
      </c>
      <c r="X25" s="1352"/>
      <c r="Y25" s="369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8"/>
      <c r="Q26" s="1349">
        <f t="shared" ref="Q26:Q40" si="11">B26</f>
        <v>111</v>
      </c>
      <c r="R26" s="704" t="s">
        <v>14</v>
      </c>
      <c r="S26" s="705">
        <f>F26</f>
        <v>100</v>
      </c>
      <c r="T26" s="704" t="s">
        <v>14</v>
      </c>
      <c r="U26" s="705">
        <f>H26</f>
        <v>100</v>
      </c>
      <c r="V26" s="704" t="s">
        <v>14</v>
      </c>
      <c r="W26" s="705">
        <f>J26</f>
        <v>100</v>
      </c>
      <c r="X26" s="1352"/>
      <c r="Y26" s="369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8"/>
      <c r="Q27" s="1340">
        <f t="shared" si="11"/>
        <v>111</v>
      </c>
      <c r="R27" s="700" t="s">
        <v>14</v>
      </c>
      <c r="S27" s="701">
        <f>F27</f>
        <v>100</v>
      </c>
      <c r="T27" s="700" t="s">
        <v>14</v>
      </c>
      <c r="U27" s="701">
        <f>H27</f>
        <v>100</v>
      </c>
      <c r="V27" s="700" t="s">
        <v>14</v>
      </c>
      <c r="W27" s="701">
        <f>J27</f>
        <v>100</v>
      </c>
      <c r="X27" s="702"/>
      <c r="Y27" s="369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8"/>
      <c r="Q28" s="1349">
        <f t="shared" si="11"/>
        <v>111</v>
      </c>
      <c r="R28" s="704" t="s">
        <v>14</v>
      </c>
      <c r="S28" s="705">
        <f t="shared" ref="S28:S40" si="12">F28</f>
        <v>100</v>
      </c>
      <c r="T28" s="704" t="s">
        <v>14</v>
      </c>
      <c r="U28" s="705">
        <f t="shared" ref="U28:U40" si="13">H28</f>
        <v>100</v>
      </c>
      <c r="V28" s="704" t="s">
        <v>14</v>
      </c>
      <c r="W28" s="705">
        <f t="shared" ref="W28:W40" si="14">J28</f>
        <v>100</v>
      </c>
      <c r="X28" s="1352"/>
      <c r="Y28" s="3698"/>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699" t="s">
        <v>1694</v>
      </c>
      <c r="Q29" s="1349" t="str">
        <f t="shared" si="11"/>
        <v>建筑类型</v>
      </c>
      <c r="R29" s="704" t="s">
        <v>14</v>
      </c>
      <c r="S29" s="705">
        <f t="shared" si="12"/>
        <v>100</v>
      </c>
      <c r="T29" s="704" t="s">
        <v>14</v>
      </c>
      <c r="U29" s="705">
        <f t="shared" si="13"/>
        <v>100</v>
      </c>
      <c r="V29" s="704" t="s">
        <v>14</v>
      </c>
      <c r="W29" s="705">
        <f t="shared" si="14"/>
        <v>100</v>
      </c>
      <c r="X29" s="1352"/>
      <c r="Y29" s="3700"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0"/>
      <c r="Q31" s="1349" t="str">
        <f t="shared" si="11"/>
        <v>建筑结构</v>
      </c>
      <c r="R31" s="704" t="s">
        <v>14</v>
      </c>
      <c r="S31" s="705">
        <f t="shared" si="12"/>
        <v>100</v>
      </c>
      <c r="T31" s="704" t="s">
        <v>14</v>
      </c>
      <c r="U31" s="705">
        <f t="shared" si="13"/>
        <v>100</v>
      </c>
      <c r="V31" s="704" t="s">
        <v>14</v>
      </c>
      <c r="W31" s="705">
        <f t="shared" si="14"/>
        <v>100</v>
      </c>
      <c r="X31" s="1352"/>
      <c r="Y31" s="3700"/>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0"/>
      <c r="Q32" s="1349" t="str">
        <f t="shared" si="11"/>
        <v>公共部分装修</v>
      </c>
      <c r="R32" s="704" t="s">
        <v>14</v>
      </c>
      <c r="S32" s="705">
        <f t="shared" si="12"/>
        <v>100</v>
      </c>
      <c r="T32" s="704" t="s">
        <v>14</v>
      </c>
      <c r="U32" s="705">
        <f t="shared" si="13"/>
        <v>100</v>
      </c>
      <c r="V32" s="704" t="s">
        <v>14</v>
      </c>
      <c r="W32" s="705">
        <f t="shared" si="14"/>
        <v>100</v>
      </c>
      <c r="X32" s="1352"/>
      <c r="Y32" s="3700"/>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0"/>
      <c r="Q33" s="1349" t="str">
        <f t="shared" si="11"/>
        <v>成新度</v>
      </c>
      <c r="R33" s="704" t="s">
        <v>14</v>
      </c>
      <c r="S33" s="705" t="e">
        <f t="shared" si="12"/>
        <v>#N/A</v>
      </c>
      <c r="T33" s="704" t="s">
        <v>14</v>
      </c>
      <c r="U33" s="705" t="e">
        <f t="shared" si="13"/>
        <v>#N/A</v>
      </c>
      <c r="V33" s="704" t="s">
        <v>14</v>
      </c>
      <c r="W33" s="705" t="e">
        <f t="shared" si="14"/>
        <v>#N/A</v>
      </c>
      <c r="X33" s="1352"/>
      <c r="Y33" s="3700"/>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0"/>
      <c r="Q34" s="1340"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0" t="s">
        <v>1694</v>
      </c>
      <c r="Q35" s="1349" t="str">
        <f t="shared" si="11"/>
        <v>市政基础设施</v>
      </c>
      <c r="R35" s="704" t="s">
        <v>14</v>
      </c>
      <c r="S35" s="705">
        <f t="shared" si="12"/>
        <v>100</v>
      </c>
      <c r="T35" s="704" t="s">
        <v>14</v>
      </c>
      <c r="U35" s="705">
        <f t="shared" si="13"/>
        <v>100</v>
      </c>
      <c r="V35" s="704" t="s">
        <v>14</v>
      </c>
      <c r="W35" s="705">
        <f t="shared" si="14"/>
        <v>100</v>
      </c>
      <c r="X35" s="1352"/>
      <c r="Y35" s="3700"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0"/>
      <c r="Q36" s="1349" t="str">
        <f t="shared" si="11"/>
        <v>内部装修</v>
      </c>
      <c r="R36" s="704" t="s">
        <v>14</v>
      </c>
      <c r="S36" s="705">
        <f t="shared" si="12"/>
        <v>100</v>
      </c>
      <c r="T36" s="704" t="s">
        <v>14</v>
      </c>
      <c r="U36" s="705">
        <f t="shared" si="13"/>
        <v>100</v>
      </c>
      <c r="V36" s="704" t="s">
        <v>14</v>
      </c>
      <c r="W36" s="705">
        <f t="shared" si="14"/>
        <v>100</v>
      </c>
      <c r="X36" s="1352"/>
      <c r="Y36" s="3700"/>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0"/>
      <c r="Q37" s="1349" t="str">
        <f t="shared" si="11"/>
        <v>内部装修状况</v>
      </c>
      <c r="R37" s="704" t="s">
        <v>14</v>
      </c>
      <c r="S37" s="705">
        <f t="shared" si="12"/>
        <v>100</v>
      </c>
      <c r="T37" s="704" t="s">
        <v>14</v>
      </c>
      <c r="U37" s="705">
        <f t="shared" si="13"/>
        <v>100</v>
      </c>
      <c r="V37" s="704" t="s">
        <v>14</v>
      </c>
      <c r="W37" s="705">
        <f t="shared" si="14"/>
        <v>100</v>
      </c>
      <c r="X37" s="1352"/>
      <c r="Y37" s="370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0"/>
      <c r="Q39" s="1349">
        <f t="shared" si="11"/>
        <v>111</v>
      </c>
      <c r="R39" s="704" t="s">
        <v>14</v>
      </c>
      <c r="S39" s="705">
        <f t="shared" si="12"/>
        <v>100</v>
      </c>
      <c r="T39" s="704" t="s">
        <v>14</v>
      </c>
      <c r="U39" s="705">
        <f t="shared" si="13"/>
        <v>100</v>
      </c>
      <c r="V39" s="704" t="s">
        <v>14</v>
      </c>
      <c r="W39" s="705">
        <f t="shared" si="14"/>
        <v>100</v>
      </c>
      <c r="X39" s="1352"/>
      <c r="Y39" s="3700"/>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49">
        <f t="shared" si="11"/>
        <v>111</v>
      </c>
      <c r="R40" s="704" t="s">
        <v>14</v>
      </c>
      <c r="S40" s="705">
        <f t="shared" si="12"/>
        <v>100</v>
      </c>
      <c r="T40" s="704" t="s">
        <v>14</v>
      </c>
      <c r="U40" s="705">
        <f t="shared" si="13"/>
        <v>100</v>
      </c>
      <c r="V40" s="704" t="s">
        <v>14</v>
      </c>
      <c r="W40" s="705">
        <f t="shared" si="14"/>
        <v>100</v>
      </c>
      <c r="X40" s="1352"/>
      <c r="Y40" s="3736"/>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696" t="str">
        <f>A41</f>
        <v>成交单价（元/平方米）</v>
      </c>
      <c r="Q41" s="3696"/>
      <c r="R41" s="3732">
        <f>E41</f>
        <v>0</v>
      </c>
      <c r="S41" s="3732"/>
      <c r="T41" s="3732">
        <f>G41</f>
        <v>0</v>
      </c>
      <c r="U41" s="3732"/>
      <c r="V41" s="3732">
        <f>I41</f>
        <v>0</v>
      </c>
      <c r="W41" s="3732"/>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696" t="str">
        <f>A42</f>
        <v>比较价值（元/平方米）</v>
      </c>
      <c r="Q42" s="3696"/>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690" t="str">
        <f>A43</f>
        <v>估价对象XX用房的比较价值（楼面单价，元/平方米）</v>
      </c>
      <c r="Q43" s="3691"/>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3" t="s">
        <v>1768</v>
      </c>
      <c r="D4" s="3705"/>
      <c r="E4" s="3706" t="s">
        <v>1769</v>
      </c>
      <c r="F4" s="3707"/>
      <c r="G4" s="3693" t="s">
        <v>1770</v>
      </c>
      <c r="H4" s="3705"/>
      <c r="I4" s="3693" t="s">
        <v>1771</v>
      </c>
      <c r="J4" s="3705"/>
      <c r="K4" s="559" t="s">
        <v>1772</v>
      </c>
      <c r="L4" s="2710"/>
      <c r="M4" s="2711"/>
      <c r="N4" s="2711"/>
      <c r="O4" s="2711"/>
      <c r="P4" s="3708" t="s">
        <v>1773</v>
      </c>
      <c r="Q4" s="3709"/>
      <c r="R4" s="3714" t="s">
        <v>1769</v>
      </c>
      <c r="S4" s="3715"/>
      <c r="T4" s="3714" t="s">
        <v>1770</v>
      </c>
      <c r="U4" s="3715"/>
      <c r="V4" s="3701" t="s">
        <v>1771</v>
      </c>
      <c r="W4" s="3701"/>
      <c r="X4" s="1352"/>
      <c r="Y4" s="3714" t="s">
        <v>1773</v>
      </c>
      <c r="Z4" s="3715"/>
      <c r="AA4" s="3702" t="s">
        <v>1769</v>
      </c>
      <c r="AB4" s="3703" t="s">
        <v>1770</v>
      </c>
      <c r="AC4" s="3702" t="s">
        <v>1771</v>
      </c>
    </row>
    <row r="5" spans="1:29" ht="15">
      <c r="A5" s="358"/>
      <c r="B5" s="359"/>
      <c r="C5" s="3722" t="s">
        <v>1671</v>
      </c>
      <c r="D5" s="3723"/>
      <c r="E5" s="3729" t="s">
        <v>1672</v>
      </c>
      <c r="F5" s="3730"/>
      <c r="G5" s="3722" t="s">
        <v>1673</v>
      </c>
      <c r="H5" s="3723"/>
      <c r="I5" s="3722" t="s">
        <v>1674</v>
      </c>
      <c r="J5" s="3723"/>
      <c r="K5" s="559"/>
      <c r="L5" s="2710"/>
      <c r="M5" s="2711"/>
      <c r="N5" s="2711"/>
      <c r="O5" s="2711"/>
      <c r="P5" s="3710"/>
      <c r="Q5" s="3711"/>
      <c r="R5" s="3716"/>
      <c r="S5" s="3717"/>
      <c r="T5" s="3716"/>
      <c r="U5" s="3717"/>
      <c r="V5" s="3701"/>
      <c r="W5" s="3701"/>
      <c r="X5" s="1352"/>
      <c r="Y5" s="3716"/>
      <c r="Z5" s="3717"/>
      <c r="AA5" s="3703"/>
      <c r="AB5" s="3703"/>
      <c r="AC5" s="3703"/>
    </row>
    <row r="6" spans="1:29" ht="15.75" thickBot="1">
      <c r="A6" s="360"/>
      <c r="B6" s="361"/>
      <c r="C6" s="3720" t="s">
        <v>1675</v>
      </c>
      <c r="D6" s="3721"/>
      <c r="E6" s="3727" t="s">
        <v>1675</v>
      </c>
      <c r="F6" s="3728"/>
      <c r="G6" s="3720" t="s">
        <v>1675</v>
      </c>
      <c r="H6" s="3721"/>
      <c r="I6" s="3720" t="s">
        <v>1675</v>
      </c>
      <c r="J6" s="3721"/>
      <c r="K6" s="559" t="s">
        <v>1676</v>
      </c>
      <c r="L6" s="2710"/>
      <c r="M6" s="2711"/>
      <c r="N6" s="2711"/>
      <c r="O6" s="2711"/>
      <c r="P6" s="3712"/>
      <c r="Q6" s="3713"/>
      <c r="R6" s="3716"/>
      <c r="S6" s="3717"/>
      <c r="T6" s="3718"/>
      <c r="U6" s="3719"/>
      <c r="V6" s="3701"/>
      <c r="W6" s="3701"/>
      <c r="X6" s="1352"/>
      <c r="Y6" s="3718"/>
      <c r="Z6" s="3719"/>
      <c r="AA6" s="3704"/>
      <c r="AB6" s="3704"/>
      <c r="AC6" s="3704"/>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24" t="s">
        <v>1678</v>
      </c>
      <c r="Q7" s="3726"/>
      <c r="R7" s="700" t="s">
        <v>14</v>
      </c>
      <c r="S7" s="701">
        <f t="shared" ref="S7:S14" si="0">F7</f>
        <v>0</v>
      </c>
      <c r="T7" s="700" t="s">
        <v>14</v>
      </c>
      <c r="U7" s="701">
        <f t="shared" ref="U7:U14" si="1">H7</f>
        <v>0</v>
      </c>
      <c r="V7" s="700" t="s">
        <v>14</v>
      </c>
      <c r="W7" s="701">
        <f t="shared" ref="W7:W14" si="2">J7</f>
        <v>0</v>
      </c>
      <c r="X7" s="702"/>
      <c r="Y7" s="3724" t="s">
        <v>1678</v>
      </c>
      <c r="Z7" s="3725"/>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4" t="s">
        <v>1681</v>
      </c>
      <c r="Q8" s="3725"/>
      <c r="R8" s="700" t="s">
        <v>14</v>
      </c>
      <c r="S8" s="701">
        <f t="shared" si="0"/>
        <v>100</v>
      </c>
      <c r="T8" s="700" t="s">
        <v>14</v>
      </c>
      <c r="U8" s="701">
        <f t="shared" si="1"/>
        <v>100</v>
      </c>
      <c r="V8" s="700" t="s">
        <v>14</v>
      </c>
      <c r="W8" s="701">
        <f t="shared" si="2"/>
        <v>100</v>
      </c>
      <c r="X8" s="702"/>
      <c r="Y8" s="3724" t="s">
        <v>1681</v>
      </c>
      <c r="Z8" s="3725"/>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6" t="s">
        <v>1684</v>
      </c>
      <c r="Q9" s="1340" t="str">
        <f t="shared" ref="Q9:Q14" si="6">B9</f>
        <v>用途</v>
      </c>
      <c r="R9" s="700" t="s">
        <v>14</v>
      </c>
      <c r="S9" s="701">
        <f t="shared" si="0"/>
        <v>100</v>
      </c>
      <c r="T9" s="700" t="s">
        <v>14</v>
      </c>
      <c r="U9" s="701">
        <f t="shared" si="1"/>
        <v>100</v>
      </c>
      <c r="V9" s="700" t="s">
        <v>14</v>
      </c>
      <c r="W9" s="701">
        <f t="shared" si="2"/>
        <v>100</v>
      </c>
      <c r="X9" s="702"/>
      <c r="Y9" s="3593"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6"/>
      <c r="Q10" s="1340" t="str">
        <f t="shared" si="6"/>
        <v>土地使用年限（年）</v>
      </c>
      <c r="R10" s="700" t="s">
        <v>14</v>
      </c>
      <c r="S10" s="701">
        <f t="shared" si="0"/>
        <v>100</v>
      </c>
      <c r="T10" s="700" t="s">
        <v>14</v>
      </c>
      <c r="U10" s="701">
        <f t="shared" si="1"/>
        <v>100</v>
      </c>
      <c r="V10" s="700" t="s">
        <v>14</v>
      </c>
      <c r="W10" s="701">
        <f t="shared" si="2"/>
        <v>100</v>
      </c>
      <c r="X10" s="702"/>
      <c r="Y10" s="3593"/>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6"/>
      <c r="Q11" s="1340">
        <f t="shared" si="6"/>
        <v>111</v>
      </c>
      <c r="R11" s="700" t="s">
        <v>14</v>
      </c>
      <c r="S11" s="701">
        <f t="shared" si="0"/>
        <v>100</v>
      </c>
      <c r="T11" s="700" t="s">
        <v>14</v>
      </c>
      <c r="U11" s="701">
        <f t="shared" si="1"/>
        <v>100</v>
      </c>
      <c r="V11" s="700" t="s">
        <v>14</v>
      </c>
      <c r="W11" s="701">
        <f t="shared" si="2"/>
        <v>100</v>
      </c>
      <c r="X11" s="702"/>
      <c r="Y11" s="3593"/>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6"/>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96"/>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7" t="s">
        <v>1689</v>
      </c>
      <c r="Q14" s="1349" t="str">
        <f t="shared" si="6"/>
        <v>交通便捷度</v>
      </c>
      <c r="R14" s="704" t="s">
        <v>14</v>
      </c>
      <c r="S14" s="705">
        <f t="shared" si="0"/>
        <v>100</v>
      </c>
      <c r="T14" s="704" t="s">
        <v>14</v>
      </c>
      <c r="U14" s="705">
        <f t="shared" si="1"/>
        <v>100</v>
      </c>
      <c r="V14" s="704" t="s">
        <v>14</v>
      </c>
      <c r="W14" s="705">
        <f t="shared" si="2"/>
        <v>100</v>
      </c>
      <c r="X14" s="1352"/>
      <c r="Y14" s="3697"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698"/>
      <c r="Q15" s="1349"/>
      <c r="R15" s="704"/>
      <c r="S15" s="705"/>
      <c r="T15" s="704"/>
      <c r="U15" s="705"/>
      <c r="V15" s="704"/>
      <c r="W15" s="705"/>
      <c r="X15" s="1352"/>
      <c r="Y15" s="3698"/>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8"/>
      <c r="Q16" s="1349" t="str">
        <f>B16</f>
        <v>公共配套设施</v>
      </c>
      <c r="R16" s="704" t="s">
        <v>14</v>
      </c>
      <c r="S16" s="705">
        <f>F16</f>
        <v>100</v>
      </c>
      <c r="T16" s="704" t="s">
        <v>14</v>
      </c>
      <c r="U16" s="705">
        <f>H16</f>
        <v>100</v>
      </c>
      <c r="V16" s="704" t="s">
        <v>14</v>
      </c>
      <c r="W16" s="705">
        <f>J16</f>
        <v>100</v>
      </c>
      <c r="X16" s="1352"/>
      <c r="Y16" s="3698"/>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698"/>
      <c r="Q17" s="1349"/>
      <c r="R17" s="704"/>
      <c r="S17" s="705"/>
      <c r="T17" s="704"/>
      <c r="U17" s="705"/>
      <c r="V17" s="704"/>
      <c r="W17" s="705"/>
      <c r="X17" s="1352"/>
      <c r="Y17" s="3698"/>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8"/>
      <c r="Q18" s="1349" t="str">
        <f>B18</f>
        <v>基础设施水平</v>
      </c>
      <c r="R18" s="704" t="s">
        <v>14</v>
      </c>
      <c r="S18" s="705">
        <f>F18</f>
        <v>100</v>
      </c>
      <c r="T18" s="704" t="s">
        <v>14</v>
      </c>
      <c r="U18" s="705">
        <f>H18</f>
        <v>100</v>
      </c>
      <c r="V18" s="704" t="s">
        <v>14</v>
      </c>
      <c r="W18" s="705">
        <f>J18</f>
        <v>100</v>
      </c>
      <c r="X18" s="1352"/>
      <c r="Y18" s="3698"/>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698"/>
      <c r="Q19" s="1349"/>
      <c r="R19" s="704"/>
      <c r="S19" s="705"/>
      <c r="T19" s="704"/>
      <c r="U19" s="705"/>
      <c r="V19" s="704"/>
      <c r="W19" s="705"/>
      <c r="X19" s="1352"/>
      <c r="Y19" s="3698"/>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8"/>
      <c r="Q20" s="1349" t="str">
        <f>B20</f>
        <v>自然及人文环境</v>
      </c>
      <c r="R20" s="704" t="s">
        <v>14</v>
      </c>
      <c r="S20" s="705">
        <f>F20</f>
        <v>100</v>
      </c>
      <c r="T20" s="704" t="s">
        <v>14</v>
      </c>
      <c r="U20" s="705">
        <f>H20</f>
        <v>100</v>
      </c>
      <c r="V20" s="704" t="s">
        <v>14</v>
      </c>
      <c r="W20" s="705">
        <f>J20</f>
        <v>100</v>
      </c>
      <c r="X20" s="1352"/>
      <c r="Y20" s="369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698"/>
      <c r="Q21" s="1349"/>
      <c r="R21" s="704"/>
      <c r="S21" s="705"/>
      <c r="T21" s="704"/>
      <c r="U21" s="705"/>
      <c r="V21" s="704"/>
      <c r="W21" s="705"/>
      <c r="X21" s="1352"/>
      <c r="Y21" s="3698"/>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8"/>
      <c r="Q22" s="1349" t="str">
        <f>B22</f>
        <v>楼层</v>
      </c>
      <c r="R22" s="704" t="s">
        <v>14</v>
      </c>
      <c r="S22" s="705">
        <f>F22</f>
        <v>100</v>
      </c>
      <c r="T22" s="704" t="s">
        <v>14</v>
      </c>
      <c r="U22" s="705">
        <f>H22</f>
        <v>100</v>
      </c>
      <c r="V22" s="704" t="s">
        <v>14</v>
      </c>
      <c r="W22" s="705">
        <f>J22</f>
        <v>100</v>
      </c>
      <c r="X22" s="1352"/>
      <c r="Y22" s="3698"/>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8"/>
      <c r="Q23" s="1349">
        <f>B23</f>
        <v>111</v>
      </c>
      <c r="R23" s="704" t="s">
        <v>14</v>
      </c>
      <c r="S23" s="705">
        <f>F23</f>
        <v>100</v>
      </c>
      <c r="T23" s="704" t="s">
        <v>14</v>
      </c>
      <c r="U23" s="705">
        <f>H23</f>
        <v>100</v>
      </c>
      <c r="V23" s="704" t="s">
        <v>14</v>
      </c>
      <c r="W23" s="705">
        <f>J23</f>
        <v>100</v>
      </c>
      <c r="X23" s="1352"/>
      <c r="Y23" s="3698"/>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8"/>
      <c r="Q24" s="1349">
        <f t="shared" ref="Q24:Q34" si="11">B24</f>
        <v>111</v>
      </c>
      <c r="R24" s="704" t="s">
        <v>14</v>
      </c>
      <c r="S24" s="705">
        <f>F24</f>
        <v>100</v>
      </c>
      <c r="T24" s="704" t="s">
        <v>14</v>
      </c>
      <c r="U24" s="705">
        <f>H24</f>
        <v>100</v>
      </c>
      <c r="V24" s="704" t="s">
        <v>14</v>
      </c>
      <c r="W24" s="705">
        <f>J24</f>
        <v>100</v>
      </c>
      <c r="X24" s="1352"/>
      <c r="Y24" s="3698"/>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98"/>
      <c r="Q25" s="1340">
        <f t="shared" si="11"/>
        <v>111</v>
      </c>
      <c r="R25" s="700" t="s">
        <v>14</v>
      </c>
      <c r="S25" s="701">
        <f>F25</f>
        <v>100</v>
      </c>
      <c r="T25" s="700" t="s">
        <v>14</v>
      </c>
      <c r="U25" s="701">
        <f>H25</f>
        <v>100</v>
      </c>
      <c r="V25" s="700" t="s">
        <v>14</v>
      </c>
      <c r="W25" s="701">
        <f>J25</f>
        <v>100</v>
      </c>
      <c r="X25" s="702"/>
      <c r="Y25" s="3698"/>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699"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00"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0"/>
      <c r="Q28" s="1349" t="str">
        <f t="shared" si="11"/>
        <v>物业等级</v>
      </c>
      <c r="R28" s="704" t="s">
        <v>14</v>
      </c>
      <c r="S28" s="705">
        <f t="shared" si="12"/>
        <v>100</v>
      </c>
      <c r="T28" s="704" t="s">
        <v>14</v>
      </c>
      <c r="U28" s="705">
        <f t="shared" si="13"/>
        <v>100</v>
      </c>
      <c r="V28" s="704" t="s">
        <v>14</v>
      </c>
      <c r="W28" s="705">
        <f t="shared" si="14"/>
        <v>100</v>
      </c>
      <c r="X28" s="1352"/>
      <c r="Y28" s="3700"/>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0"/>
      <c r="Q29" s="1349" t="str">
        <f t="shared" si="11"/>
        <v>有无电梯</v>
      </c>
      <c r="R29" s="704" t="s">
        <v>14</v>
      </c>
      <c r="S29" s="705">
        <f t="shared" si="12"/>
        <v>100</v>
      </c>
      <c r="T29" s="704" t="s">
        <v>14</v>
      </c>
      <c r="U29" s="705">
        <f t="shared" si="13"/>
        <v>100</v>
      </c>
      <c r="V29" s="704" t="s">
        <v>14</v>
      </c>
      <c r="W29" s="705">
        <f t="shared" si="14"/>
        <v>100</v>
      </c>
      <c r="X29" s="1352"/>
      <c r="Y29" s="3700"/>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0"/>
      <c r="Q30" s="1349" t="str">
        <f t="shared" si="11"/>
        <v>建筑面积</v>
      </c>
      <c r="R30" s="704" t="s">
        <v>14</v>
      </c>
      <c r="S30" s="705" t="e">
        <f t="shared" si="12"/>
        <v>#N/A</v>
      </c>
      <c r="T30" s="704" t="s">
        <v>14</v>
      </c>
      <c r="U30" s="705" t="e">
        <f t="shared" si="13"/>
        <v>#N/A</v>
      </c>
      <c r="V30" s="704" t="s">
        <v>14</v>
      </c>
      <c r="W30" s="705" t="e">
        <f t="shared" si="14"/>
        <v>#N/A</v>
      </c>
      <c r="X30" s="1352"/>
      <c r="Y30" s="3700"/>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0"/>
      <c r="Q31" s="1340"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0" t="s">
        <v>1694</v>
      </c>
      <c r="Q32" s="1349">
        <f t="shared" si="11"/>
        <v>111</v>
      </c>
      <c r="R32" s="704" t="s">
        <v>14</v>
      </c>
      <c r="S32" s="705">
        <f t="shared" si="12"/>
        <v>100</v>
      </c>
      <c r="T32" s="704" t="s">
        <v>14</v>
      </c>
      <c r="U32" s="705">
        <f t="shared" si="13"/>
        <v>100</v>
      </c>
      <c r="V32" s="704" t="s">
        <v>14</v>
      </c>
      <c r="W32" s="705">
        <f t="shared" si="14"/>
        <v>100</v>
      </c>
      <c r="X32" s="1352"/>
      <c r="Y32" s="3700"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0"/>
      <c r="Q33" s="1349">
        <f t="shared" si="11"/>
        <v>111</v>
      </c>
      <c r="R33" s="704" t="s">
        <v>14</v>
      </c>
      <c r="S33" s="705">
        <f t="shared" si="12"/>
        <v>100</v>
      </c>
      <c r="T33" s="704" t="s">
        <v>14</v>
      </c>
      <c r="U33" s="705">
        <f t="shared" si="13"/>
        <v>100</v>
      </c>
      <c r="V33" s="704" t="s">
        <v>14</v>
      </c>
      <c r="W33" s="705">
        <f t="shared" si="14"/>
        <v>100</v>
      </c>
      <c r="X33" s="1352"/>
      <c r="Y33" s="3700"/>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00"/>
      <c r="Q34" s="1349">
        <f t="shared" si="11"/>
        <v>111</v>
      </c>
      <c r="R34" s="704" t="s">
        <v>14</v>
      </c>
      <c r="S34" s="705">
        <f t="shared" si="12"/>
        <v>100</v>
      </c>
      <c r="T34" s="704" t="s">
        <v>14</v>
      </c>
      <c r="U34" s="705">
        <f t="shared" si="13"/>
        <v>100</v>
      </c>
      <c r="V34" s="704" t="s">
        <v>14</v>
      </c>
      <c r="W34" s="705">
        <f t="shared" si="14"/>
        <v>100</v>
      </c>
      <c r="X34" s="1352"/>
      <c r="Y34" s="3700"/>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696" t="str">
        <f>A35</f>
        <v>成交单价（元/平方米）</v>
      </c>
      <c r="Q35" s="3696"/>
      <c r="R35" s="3732">
        <f>E35</f>
        <v>0</v>
      </c>
      <c r="S35" s="3732"/>
      <c r="T35" s="3732">
        <f>G35</f>
        <v>0</v>
      </c>
      <c r="U35" s="3732"/>
      <c r="V35" s="3732">
        <f>I35</f>
        <v>0</v>
      </c>
      <c r="W35" s="3732"/>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696" t="str">
        <f>A36</f>
        <v>比较价值（元/平方米）</v>
      </c>
      <c r="Q36" s="3696"/>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690" t="str">
        <f>A37</f>
        <v>估价对象XX用房的比较价值（楼面单价，元/平方米）</v>
      </c>
      <c r="Q37" s="3691"/>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3" t="s">
        <v>1768</v>
      </c>
      <c r="D4" s="3705"/>
      <c r="E4" s="3706" t="s">
        <v>1769</v>
      </c>
      <c r="F4" s="3707"/>
      <c r="G4" s="3693" t="s">
        <v>1770</v>
      </c>
      <c r="H4" s="3705"/>
      <c r="I4" s="3693" t="s">
        <v>1771</v>
      </c>
      <c r="J4" s="3705"/>
      <c r="K4" s="559" t="s">
        <v>1772</v>
      </c>
      <c r="L4" s="2710"/>
      <c r="M4" s="2711"/>
      <c r="N4" s="2711"/>
      <c r="O4" s="2711"/>
      <c r="P4" s="3708" t="s">
        <v>1773</v>
      </c>
      <c r="Q4" s="3709"/>
      <c r="R4" s="3714" t="s">
        <v>1769</v>
      </c>
      <c r="S4" s="3715"/>
      <c r="T4" s="3714" t="s">
        <v>1770</v>
      </c>
      <c r="U4" s="3715"/>
      <c r="V4" s="3701" t="s">
        <v>1771</v>
      </c>
      <c r="W4" s="3701"/>
      <c r="X4" s="1352"/>
      <c r="Y4" s="3714" t="s">
        <v>1773</v>
      </c>
      <c r="Z4" s="3715"/>
      <c r="AA4" s="3702" t="s">
        <v>1769</v>
      </c>
      <c r="AB4" s="3703" t="s">
        <v>1770</v>
      </c>
      <c r="AC4" s="3702" t="s">
        <v>1771</v>
      </c>
    </row>
    <row r="5" spans="1:29" ht="15">
      <c r="A5" s="358"/>
      <c r="B5" s="359"/>
      <c r="C5" s="3722" t="s">
        <v>1671</v>
      </c>
      <c r="D5" s="3723"/>
      <c r="E5" s="3729" t="s">
        <v>1672</v>
      </c>
      <c r="F5" s="3730"/>
      <c r="G5" s="3722" t="s">
        <v>1673</v>
      </c>
      <c r="H5" s="3723"/>
      <c r="I5" s="3722" t="s">
        <v>1674</v>
      </c>
      <c r="J5" s="3723"/>
      <c r="K5" s="559"/>
      <c r="L5" s="2710"/>
      <c r="M5" s="2711"/>
      <c r="N5" s="2711"/>
      <c r="O5" s="2711"/>
      <c r="P5" s="3710"/>
      <c r="Q5" s="3711"/>
      <c r="R5" s="3716"/>
      <c r="S5" s="3717"/>
      <c r="T5" s="3716"/>
      <c r="U5" s="3717"/>
      <c r="V5" s="3701"/>
      <c r="W5" s="3701"/>
      <c r="X5" s="1352"/>
      <c r="Y5" s="3716"/>
      <c r="Z5" s="3717"/>
      <c r="AA5" s="3703"/>
      <c r="AB5" s="3703"/>
      <c r="AC5" s="3703"/>
    </row>
    <row r="6" spans="1:29" ht="15.75" thickBot="1">
      <c r="A6" s="360"/>
      <c r="B6" s="361"/>
      <c r="C6" s="3791" t="s">
        <v>1917</v>
      </c>
      <c r="D6" s="3792"/>
      <c r="E6" s="3793" t="s">
        <v>1917</v>
      </c>
      <c r="F6" s="3794"/>
      <c r="G6" s="3791" t="s">
        <v>1917</v>
      </c>
      <c r="H6" s="3792"/>
      <c r="I6" s="3791" t="s">
        <v>1917</v>
      </c>
      <c r="J6" s="3792"/>
      <c r="K6" s="559" t="s">
        <v>1676</v>
      </c>
      <c r="L6" s="2710"/>
      <c r="M6" s="2711"/>
      <c r="N6" s="2711"/>
      <c r="O6" s="2711"/>
      <c r="P6" s="3712"/>
      <c r="Q6" s="3713"/>
      <c r="R6" s="3716"/>
      <c r="S6" s="3717"/>
      <c r="T6" s="3718"/>
      <c r="U6" s="3719"/>
      <c r="V6" s="3701"/>
      <c r="W6" s="3701"/>
      <c r="X6" s="1352"/>
      <c r="Y6" s="3718"/>
      <c r="Z6" s="3719"/>
      <c r="AA6" s="3704"/>
      <c r="AB6" s="3704"/>
      <c r="AC6" s="3704"/>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24" t="s">
        <v>1678</v>
      </c>
      <c r="Q7" s="3726"/>
      <c r="R7" s="700" t="s">
        <v>14</v>
      </c>
      <c r="S7" s="701">
        <f t="shared" ref="S7:S15" si="0">F7</f>
        <v>0</v>
      </c>
      <c r="T7" s="700" t="s">
        <v>14</v>
      </c>
      <c r="U7" s="701">
        <f t="shared" ref="U7:U15" si="1">H7</f>
        <v>0</v>
      </c>
      <c r="V7" s="700" t="s">
        <v>14</v>
      </c>
      <c r="W7" s="701">
        <f t="shared" ref="W7:W15" si="2">J7</f>
        <v>0</v>
      </c>
      <c r="X7" s="702"/>
      <c r="Y7" s="3724" t="s">
        <v>1678</v>
      </c>
      <c r="Z7" s="3725"/>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4" t="s">
        <v>1681</v>
      </c>
      <c r="Q8" s="3725"/>
      <c r="R8" s="700" t="s">
        <v>14</v>
      </c>
      <c r="S8" s="701">
        <f t="shared" si="0"/>
        <v>0</v>
      </c>
      <c r="T8" s="700" t="s">
        <v>14</v>
      </c>
      <c r="U8" s="701">
        <f t="shared" si="1"/>
        <v>0</v>
      </c>
      <c r="V8" s="700" t="s">
        <v>14</v>
      </c>
      <c r="W8" s="701">
        <f t="shared" si="2"/>
        <v>0</v>
      </c>
      <c r="X8" s="702"/>
      <c r="Y8" s="3724" t="s">
        <v>1681</v>
      </c>
      <c r="Z8" s="3725"/>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96" t="s">
        <v>1684</v>
      </c>
      <c r="Q9" s="1340" t="str">
        <f t="shared" ref="Q9:Q15" si="6">B9</f>
        <v>用途</v>
      </c>
      <c r="R9" s="700" t="s">
        <v>14</v>
      </c>
      <c r="S9" s="701">
        <f t="shared" si="0"/>
        <v>100</v>
      </c>
      <c r="T9" s="700" t="s">
        <v>14</v>
      </c>
      <c r="U9" s="701">
        <f t="shared" si="1"/>
        <v>100</v>
      </c>
      <c r="V9" s="700" t="s">
        <v>14</v>
      </c>
      <c r="W9" s="701">
        <f t="shared" si="2"/>
        <v>100</v>
      </c>
      <c r="X9" s="702"/>
      <c r="Y9" s="359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696"/>
      <c r="Q10" s="1340" t="str">
        <f t="shared" si="6"/>
        <v>土地使用年限（年）</v>
      </c>
      <c r="R10" s="700" t="s">
        <v>14</v>
      </c>
      <c r="S10" s="701">
        <f t="shared" si="0"/>
        <v>101</v>
      </c>
      <c r="T10" s="700" t="s">
        <v>14</v>
      </c>
      <c r="U10" s="701">
        <f t="shared" si="1"/>
        <v>101</v>
      </c>
      <c r="V10" s="700" t="s">
        <v>14</v>
      </c>
      <c r="W10" s="701">
        <f t="shared" si="2"/>
        <v>101</v>
      </c>
      <c r="X10" s="702"/>
      <c r="Y10" s="3593"/>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6"/>
      <c r="Q11" s="1340" t="str">
        <f t="shared" si="6"/>
        <v>容积率</v>
      </c>
      <c r="R11" s="700" t="s">
        <v>14</v>
      </c>
      <c r="S11" s="701" t="e">
        <f t="shared" si="0"/>
        <v>#N/A</v>
      </c>
      <c r="T11" s="700" t="s">
        <v>14</v>
      </c>
      <c r="U11" s="701" t="e">
        <f t="shared" si="1"/>
        <v>#N/A</v>
      </c>
      <c r="V11" s="700" t="s">
        <v>14</v>
      </c>
      <c r="W11" s="701" t="e">
        <f t="shared" si="2"/>
        <v>#N/A</v>
      </c>
      <c r="X11" s="702"/>
      <c r="Y11" s="3593"/>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6"/>
      <c r="Q12" s="1340">
        <f t="shared" si="6"/>
        <v>111</v>
      </c>
      <c r="R12" s="700" t="s">
        <v>14</v>
      </c>
      <c r="S12" s="701">
        <f t="shared" si="0"/>
        <v>100</v>
      </c>
      <c r="T12" s="700" t="s">
        <v>14</v>
      </c>
      <c r="U12" s="701">
        <f t="shared" si="1"/>
        <v>100</v>
      </c>
      <c r="V12" s="700" t="s">
        <v>14</v>
      </c>
      <c r="W12" s="701">
        <f t="shared" si="2"/>
        <v>100</v>
      </c>
      <c r="X12" s="702"/>
      <c r="Y12" s="3593"/>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6"/>
      <c r="Q13" s="1340">
        <f t="shared" si="6"/>
        <v>111</v>
      </c>
      <c r="R13" s="700" t="s">
        <v>14</v>
      </c>
      <c r="S13" s="701">
        <f t="shared" si="0"/>
        <v>100</v>
      </c>
      <c r="T13" s="700" t="s">
        <v>14</v>
      </c>
      <c r="U13" s="701">
        <f t="shared" si="1"/>
        <v>100</v>
      </c>
      <c r="V13" s="700" t="s">
        <v>14</v>
      </c>
      <c r="W13" s="701">
        <f t="shared" si="2"/>
        <v>100</v>
      </c>
      <c r="X13" s="702"/>
      <c r="Y13" s="3593"/>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6"/>
      <c r="Q14" s="1340">
        <f t="shared" si="6"/>
        <v>111</v>
      </c>
      <c r="R14" s="700" t="s">
        <v>14</v>
      </c>
      <c r="S14" s="701">
        <f t="shared" si="0"/>
        <v>100</v>
      </c>
      <c r="T14" s="700" t="s">
        <v>14</v>
      </c>
      <c r="U14" s="701">
        <f t="shared" si="1"/>
        <v>100</v>
      </c>
      <c r="V14" s="700" t="s">
        <v>14</v>
      </c>
      <c r="W14" s="701">
        <f t="shared" si="2"/>
        <v>100</v>
      </c>
      <c r="X14" s="702"/>
      <c r="Y14" s="3593"/>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7" t="s">
        <v>1689</v>
      </c>
      <c r="Q15" s="1349" t="str">
        <f t="shared" si="6"/>
        <v>产业集聚程度</v>
      </c>
      <c r="R15" s="704" t="s">
        <v>14</v>
      </c>
      <c r="S15" s="705">
        <f t="shared" si="0"/>
        <v>100</v>
      </c>
      <c r="T15" s="704" t="s">
        <v>14</v>
      </c>
      <c r="U15" s="705">
        <f t="shared" si="1"/>
        <v>100</v>
      </c>
      <c r="V15" s="704" t="s">
        <v>14</v>
      </c>
      <c r="W15" s="705">
        <f t="shared" si="2"/>
        <v>100</v>
      </c>
      <c r="X15" s="1352"/>
      <c r="Y15" s="3697"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698"/>
      <c r="Q16" s="1349"/>
      <c r="R16" s="704"/>
      <c r="S16" s="705"/>
      <c r="T16" s="704"/>
      <c r="U16" s="705"/>
      <c r="V16" s="704"/>
      <c r="W16" s="705"/>
      <c r="X16" s="1352"/>
      <c r="Y16" s="3698"/>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8"/>
      <c r="Q17" s="1349" t="str">
        <f>B17</f>
        <v>交通便捷度</v>
      </c>
      <c r="R17" s="704" t="s">
        <v>14</v>
      </c>
      <c r="S17" s="705">
        <f>F17</f>
        <v>100</v>
      </c>
      <c r="T17" s="704" t="s">
        <v>14</v>
      </c>
      <c r="U17" s="705">
        <f>H17</f>
        <v>100</v>
      </c>
      <c r="V17" s="704" t="s">
        <v>14</v>
      </c>
      <c r="W17" s="705">
        <f>J17</f>
        <v>100</v>
      </c>
      <c r="X17" s="1352"/>
      <c r="Y17" s="3698"/>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698"/>
      <c r="Q18" s="1349"/>
      <c r="R18" s="704"/>
      <c r="S18" s="705"/>
      <c r="T18" s="704"/>
      <c r="U18" s="705"/>
      <c r="V18" s="704"/>
      <c r="W18" s="705"/>
      <c r="X18" s="1352"/>
      <c r="Y18" s="3698"/>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8"/>
      <c r="Q19" s="1349" t="str">
        <f t="shared" ref="Q19:Q33" si="8">B19</f>
        <v>区域土地利用方向</v>
      </c>
      <c r="R19" s="704" t="s">
        <v>14</v>
      </c>
      <c r="S19" s="705">
        <f>F19</f>
        <v>100</v>
      </c>
      <c r="T19" s="704" t="s">
        <v>14</v>
      </c>
      <c r="U19" s="705">
        <f>H19</f>
        <v>100</v>
      </c>
      <c r="V19" s="704" t="s">
        <v>14</v>
      </c>
      <c r="W19" s="705">
        <f>J19</f>
        <v>100</v>
      </c>
      <c r="X19" s="1352"/>
      <c r="Y19" s="3698"/>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698"/>
      <c r="Q20" s="1349"/>
      <c r="R20" s="704"/>
      <c r="S20" s="705"/>
      <c r="T20" s="704"/>
      <c r="U20" s="705"/>
      <c r="V20" s="704"/>
      <c r="W20" s="705"/>
      <c r="X20" s="1352"/>
      <c r="Y20" s="3698"/>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8"/>
      <c r="Q21" s="1349" t="str">
        <f t="shared" si="8"/>
        <v>环境状况</v>
      </c>
      <c r="R21" s="704" t="s">
        <v>14</v>
      </c>
      <c r="S21" s="705">
        <f>F21</f>
        <v>100</v>
      </c>
      <c r="T21" s="704" t="s">
        <v>14</v>
      </c>
      <c r="U21" s="705">
        <f>H21</f>
        <v>100</v>
      </c>
      <c r="V21" s="704" t="s">
        <v>14</v>
      </c>
      <c r="W21" s="705">
        <f>J21</f>
        <v>100</v>
      </c>
      <c r="X21" s="1352"/>
      <c r="Y21" s="3698"/>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698"/>
      <c r="Q22" s="1349"/>
      <c r="R22" s="704"/>
      <c r="S22" s="705"/>
      <c r="T22" s="704"/>
      <c r="U22" s="705"/>
      <c r="V22" s="704"/>
      <c r="W22" s="705"/>
      <c r="X22" s="1352"/>
      <c r="Y22" s="3698"/>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8"/>
      <c r="Q23" s="1340" t="str">
        <f t="shared" si="8"/>
        <v>公共配套设施</v>
      </c>
      <c r="R23" s="700" t="s">
        <v>14</v>
      </c>
      <c r="S23" s="701">
        <f>F23</f>
        <v>100</v>
      </c>
      <c r="T23" s="700" t="s">
        <v>14</v>
      </c>
      <c r="U23" s="701">
        <f>H23</f>
        <v>100</v>
      </c>
      <c r="V23" s="700" t="s">
        <v>14</v>
      </c>
      <c r="W23" s="701">
        <f>J23</f>
        <v>100</v>
      </c>
      <c r="X23" s="702"/>
      <c r="Y23" s="3698"/>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698"/>
      <c r="Q24" s="1340"/>
      <c r="R24" s="700"/>
      <c r="S24" s="701"/>
      <c r="T24" s="700"/>
      <c r="U24" s="701"/>
      <c r="V24" s="700"/>
      <c r="W24" s="701"/>
      <c r="X24" s="702"/>
      <c r="Y24" s="3698"/>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8"/>
      <c r="Q25" s="1340"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698"/>
      <c r="Q26" s="1340"/>
      <c r="R26" s="700"/>
      <c r="S26" s="701"/>
      <c r="T26" s="700"/>
      <c r="U26" s="701"/>
      <c r="V26" s="700"/>
      <c r="W26" s="701"/>
      <c r="X26" s="702"/>
      <c r="Y26" s="3698"/>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8"/>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698"/>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8"/>
      <c r="Q28" s="1349" t="str">
        <f t="shared" si="8"/>
        <v>毗邻道路的类型与等级</v>
      </c>
      <c r="R28" s="704" t="s">
        <v>14</v>
      </c>
      <c r="S28" s="705">
        <f t="shared" si="10"/>
        <v>100</v>
      </c>
      <c r="T28" s="704" t="s">
        <v>14</v>
      </c>
      <c r="U28" s="705">
        <f t="shared" si="11"/>
        <v>100</v>
      </c>
      <c r="V28" s="704" t="s">
        <v>14</v>
      </c>
      <c r="W28" s="705">
        <f t="shared" si="12"/>
        <v>100</v>
      </c>
      <c r="X28" s="1352"/>
      <c r="Y28" s="3698"/>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698"/>
      <c r="Q29" s="1349"/>
      <c r="R29" s="704"/>
      <c r="S29" s="705"/>
      <c r="T29" s="704"/>
      <c r="U29" s="705"/>
      <c r="V29" s="704"/>
      <c r="W29" s="705"/>
      <c r="X29" s="1352"/>
      <c r="Y29" s="3698"/>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8"/>
      <c r="Q30" s="1349" t="str">
        <f t="shared" si="8"/>
        <v>土地级别</v>
      </c>
      <c r="R30" s="704" t="s">
        <v>14</v>
      </c>
      <c r="S30" s="705">
        <f t="shared" si="10"/>
        <v>100</v>
      </c>
      <c r="T30" s="704" t="s">
        <v>14</v>
      </c>
      <c r="U30" s="705">
        <f t="shared" si="11"/>
        <v>100</v>
      </c>
      <c r="V30" s="704" t="s">
        <v>14</v>
      </c>
      <c r="W30" s="705">
        <f t="shared" si="12"/>
        <v>100</v>
      </c>
      <c r="X30" s="1352"/>
      <c r="Y30" s="3698"/>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8"/>
      <c r="Q31" s="1349">
        <f t="shared" si="8"/>
        <v>111</v>
      </c>
      <c r="R31" s="704" t="s">
        <v>14</v>
      </c>
      <c r="S31" s="705">
        <f t="shared" si="10"/>
        <v>100</v>
      </c>
      <c r="T31" s="704" t="s">
        <v>14</v>
      </c>
      <c r="U31" s="705">
        <f t="shared" si="11"/>
        <v>100</v>
      </c>
      <c r="V31" s="704" t="s">
        <v>14</v>
      </c>
      <c r="W31" s="705">
        <f t="shared" si="12"/>
        <v>100</v>
      </c>
      <c r="X31" s="1352"/>
      <c r="Y31" s="3698"/>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699" t="s">
        <v>1694</v>
      </c>
      <c r="Q32" s="1349">
        <f t="shared" si="8"/>
        <v>111</v>
      </c>
      <c r="R32" s="704" t="s">
        <v>14</v>
      </c>
      <c r="S32" s="705">
        <f t="shared" si="10"/>
        <v>100</v>
      </c>
      <c r="T32" s="704" t="s">
        <v>14</v>
      </c>
      <c r="U32" s="705">
        <f t="shared" si="11"/>
        <v>100</v>
      </c>
      <c r="V32" s="704" t="s">
        <v>14</v>
      </c>
      <c r="W32" s="705">
        <f t="shared" si="12"/>
        <v>100</v>
      </c>
      <c r="X32" s="1352"/>
      <c r="Y32" s="3700"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0"/>
      <c r="Q33" s="1349">
        <f t="shared" si="8"/>
        <v>111</v>
      </c>
      <c r="R33" s="707" t="s">
        <v>14</v>
      </c>
      <c r="S33" s="708">
        <f t="shared" si="10"/>
        <v>100</v>
      </c>
      <c r="T33" s="707" t="s">
        <v>14</v>
      </c>
      <c r="U33" s="708">
        <f t="shared" si="11"/>
        <v>100</v>
      </c>
      <c r="V33" s="707" t="s">
        <v>14</v>
      </c>
      <c r="W33" s="708">
        <f t="shared" si="12"/>
        <v>100</v>
      </c>
      <c r="X33" s="709"/>
      <c r="Y33" s="3700"/>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0"/>
      <c r="Q34" s="1349" t="str">
        <f>B34</f>
        <v>宗地面积</v>
      </c>
      <c r="R34" s="704" t="s">
        <v>14</v>
      </c>
      <c r="S34" s="705" t="e">
        <f t="shared" si="10"/>
        <v>#N/A</v>
      </c>
      <c r="T34" s="704" t="s">
        <v>14</v>
      </c>
      <c r="U34" s="705" t="e">
        <f t="shared" si="11"/>
        <v>#N/A</v>
      </c>
      <c r="V34" s="704" t="s">
        <v>14</v>
      </c>
      <c r="W34" s="705" t="e">
        <f t="shared" si="12"/>
        <v>#N/A</v>
      </c>
      <c r="X34" s="1352"/>
      <c r="Y34" s="3700"/>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00"/>
      <c r="Q35" s="1349" t="str">
        <f t="shared" ref="Q35:Q40" si="14">B35</f>
        <v>宗地形状</v>
      </c>
      <c r="R35" s="704" t="s">
        <v>14</v>
      </c>
      <c r="S35" s="705">
        <f t="shared" si="10"/>
        <v>100</v>
      </c>
      <c r="T35" s="704" t="s">
        <v>14</v>
      </c>
      <c r="U35" s="705">
        <f t="shared" si="11"/>
        <v>100</v>
      </c>
      <c r="V35" s="704" t="s">
        <v>14</v>
      </c>
      <c r="W35" s="705">
        <f t="shared" si="12"/>
        <v>100</v>
      </c>
      <c r="X35" s="1352"/>
      <c r="Y35" s="3700"/>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00"/>
      <c r="Q36" s="1349"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00" t="s">
        <v>1694</v>
      </c>
      <c r="Q37" s="1349" t="str">
        <f t="shared" si="14"/>
        <v>工程地质条件</v>
      </c>
      <c r="R37" s="704" t="s">
        <v>14</v>
      </c>
      <c r="S37" s="705">
        <f t="shared" si="10"/>
        <v>100</v>
      </c>
      <c r="T37" s="704" t="s">
        <v>14</v>
      </c>
      <c r="U37" s="705">
        <f t="shared" si="11"/>
        <v>100</v>
      </c>
      <c r="V37" s="704" t="s">
        <v>14</v>
      </c>
      <c r="W37" s="705">
        <f t="shared" si="12"/>
        <v>100</v>
      </c>
      <c r="X37" s="1352"/>
      <c r="Y37" s="3700"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0"/>
      <c r="Q38" s="1349">
        <f t="shared" si="14"/>
        <v>111</v>
      </c>
      <c r="R38" s="704" t="s">
        <v>14</v>
      </c>
      <c r="S38" s="705">
        <f t="shared" si="10"/>
        <v>100</v>
      </c>
      <c r="T38" s="704" t="s">
        <v>14</v>
      </c>
      <c r="U38" s="705">
        <f t="shared" si="11"/>
        <v>100</v>
      </c>
      <c r="V38" s="704" t="s">
        <v>14</v>
      </c>
      <c r="W38" s="705">
        <f t="shared" si="12"/>
        <v>100</v>
      </c>
      <c r="X38" s="1352"/>
      <c r="Y38" s="3700"/>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0"/>
      <c r="Q39" s="1349">
        <f t="shared" si="14"/>
        <v>111</v>
      </c>
      <c r="R39" s="704" t="s">
        <v>14</v>
      </c>
      <c r="S39" s="705">
        <f t="shared" si="10"/>
        <v>100</v>
      </c>
      <c r="T39" s="704" t="s">
        <v>14</v>
      </c>
      <c r="U39" s="705">
        <f t="shared" si="11"/>
        <v>100</v>
      </c>
      <c r="V39" s="704" t="s">
        <v>14</v>
      </c>
      <c r="W39" s="705">
        <f t="shared" si="12"/>
        <v>100</v>
      </c>
      <c r="X39" s="1352"/>
      <c r="Y39" s="3700"/>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0"/>
      <c r="Q40" s="1349">
        <f t="shared" si="14"/>
        <v>111</v>
      </c>
      <c r="R40" s="707" t="s">
        <v>14</v>
      </c>
      <c r="S40" s="708">
        <f t="shared" si="10"/>
        <v>100</v>
      </c>
      <c r="T40" s="707" t="s">
        <v>14</v>
      </c>
      <c r="U40" s="708">
        <f t="shared" si="11"/>
        <v>100</v>
      </c>
      <c r="V40" s="707" t="s">
        <v>14</v>
      </c>
      <c r="W40" s="708">
        <f t="shared" si="12"/>
        <v>100</v>
      </c>
      <c r="X40" s="709"/>
      <c r="Y40" s="3700"/>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696" t="str">
        <f>A41</f>
        <v>成交单价</v>
      </c>
      <c r="Q41" s="3696"/>
      <c r="R41" s="3701">
        <f>E41</f>
        <v>0</v>
      </c>
      <c r="S41" s="3701"/>
      <c r="T41" s="3701">
        <f>G41</f>
        <v>0</v>
      </c>
      <c r="U41" s="3701"/>
      <c r="V41" s="3701">
        <f>I41</f>
        <v>0</v>
      </c>
      <c r="W41" s="3701"/>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696" t="str">
        <f>A42</f>
        <v>比较价值（元/平方米）</v>
      </c>
      <c r="Q42" s="3696"/>
      <c r="R42" s="3689" t="e">
        <f>ROUND(PRODUCT(R41,AA7:AA40),0)</f>
        <v>#DIV/0!</v>
      </c>
      <c r="S42" s="3689"/>
      <c r="T42" s="3689" t="e">
        <f>ROUND(PRODUCT(T41,AB7:AB40),0)</f>
        <v>#DIV/0!</v>
      </c>
      <c r="U42" s="3689"/>
      <c r="V42" s="3689" t="e">
        <f>ROUND(PRODUCT(V41,AC7:AC40),0)</f>
        <v>#DIV/0!</v>
      </c>
      <c r="W42" s="368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690" t="str">
        <f>A43</f>
        <v>估价对象XX用房的比较价值（楼面单价，元/平方米）</v>
      </c>
      <c r="Q43" s="3691"/>
      <c r="R43" s="3692" t="e">
        <f>ROUND(IF(D42="简单平均",AVERAGE(R42:W42),R42*F42+T42*H42+V42*J42),0)</f>
        <v>#DIV/0!</v>
      </c>
      <c r="S43" s="3692"/>
      <c r="T43" s="3692"/>
      <c r="U43" s="3692"/>
      <c r="V43" s="3692"/>
      <c r="W43" s="3692"/>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693" t="s">
        <v>1885</v>
      </c>
      <c r="H50" s="3694"/>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695"/>
      <c r="H51" s="3696"/>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17150.68</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0"/>
      <c r="B4" s="3505" t="s">
        <v>915</v>
      </c>
      <c r="C4" s="3505"/>
      <c r="D4" s="3505"/>
      <c r="E4" s="1490"/>
    </row>
    <row r="5" spans="1:5" ht="16.5" thickTop="1">
      <c r="A5" s="1488"/>
      <c r="B5" s="3503" t="s">
        <v>907</v>
      </c>
      <c r="C5" s="1491" t="s">
        <v>908</v>
      </c>
      <c r="D5" s="849">
        <f ca="1">结果表!H101</f>
        <v>94903</v>
      </c>
      <c r="E5" s="1488"/>
    </row>
    <row r="6" spans="1:5" ht="15.75">
      <c r="A6" s="1488"/>
      <c r="B6" s="3503"/>
      <c r="C6" s="1491" t="s">
        <v>909</v>
      </c>
      <c r="D6" s="849" t="str">
        <f ca="1">NUMBERSTRING(INT(D5*10000),2)&amp;"元整"</f>
        <v>玖亿肆仟玖佰零叁万元整</v>
      </c>
      <c r="E6" s="1488"/>
    </row>
    <row r="7" spans="1:5" ht="15.75">
      <c r="A7" s="1488"/>
      <c r="B7" s="3508"/>
      <c r="C7" s="1492" t="s">
        <v>910</v>
      </c>
      <c r="D7" s="850">
        <f ca="1">结果表!H102</f>
        <v>22039</v>
      </c>
      <c r="E7" s="1488"/>
    </row>
    <row r="8" spans="1:5" ht="15.75">
      <c r="A8" s="1488"/>
      <c r="B8" s="3509" t="str">
        <f>结果表!E103</f>
        <v>2.估价师知悉的法定优先受偿款</v>
      </c>
      <c r="C8" s="1493" t="s">
        <v>911</v>
      </c>
      <c r="D8" s="850">
        <f>结果表!H103</f>
        <v>643</v>
      </c>
      <c r="E8" s="1488"/>
    </row>
    <row r="9" spans="1:5" ht="15.75">
      <c r="A9" s="1488"/>
      <c r="B9" s="3511"/>
      <c r="C9" s="1491" t="s">
        <v>909</v>
      </c>
      <c r="D9" s="849" t="str">
        <f>NUMBERSTRING(INT(D8*10000),2)&amp;"元整"</f>
        <v>陆佰肆拾叁万元整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643</v>
      </c>
      <c r="E12" s="1488"/>
    </row>
    <row r="13" spans="1:5" ht="15.75">
      <c r="A13" s="1488"/>
      <c r="B13" s="3502" t="str">
        <f>结果表!E107</f>
        <v>3.房地产抵押价值</v>
      </c>
      <c r="C13" s="1496" t="s">
        <v>908</v>
      </c>
      <c r="D13" s="852">
        <f ca="1">结果表!H107</f>
        <v>94260</v>
      </c>
      <c r="E13" s="1488"/>
    </row>
    <row r="14" spans="1:5" ht="15.75">
      <c r="A14" s="1488"/>
      <c r="B14" s="3503"/>
      <c r="C14" s="1491" t="s">
        <v>909</v>
      </c>
      <c r="D14" s="849" t="str">
        <f ca="1">NUMBERSTRING(INT(D13*10000),2)&amp;"元整"</f>
        <v>玖亿肆仟贰佰陆拾万元整</v>
      </c>
      <c r="E14" s="1488"/>
    </row>
    <row r="15" spans="1:5" ht="15">
      <c r="A15" s="1488"/>
      <c r="B15" s="3508"/>
      <c r="C15" s="1492" t="s">
        <v>919</v>
      </c>
      <c r="D15" s="858">
        <f ca="1">结果表!H108</f>
        <v>21890</v>
      </c>
      <c r="E15" s="1488"/>
    </row>
    <row r="16" spans="1:5" ht="15">
      <c r="A16" s="1488"/>
      <c r="B16" s="3509" t="str">
        <f>结果表!E109</f>
        <v>——</v>
      </c>
      <c r="C16" s="1496" t="s">
        <v>920</v>
      </c>
      <c r="D16" s="1497" t="str">
        <f>结果表!H109</f>
        <v>——</v>
      </c>
      <c r="E16" s="1488"/>
    </row>
    <row r="17" spans="1:5" ht="15.75">
      <c r="A17" s="1488"/>
      <c r="B17" s="3510"/>
      <c r="C17" s="1491" t="s">
        <v>921</v>
      </c>
      <c r="D17" s="849" t="e">
        <f>NUMBERSTRING(INT(D16*10000),2)&amp;"元整"</f>
        <v>#VALUE!</v>
      </c>
      <c r="E17" s="1488"/>
    </row>
    <row r="18" spans="1:5" ht="15">
      <c r="A18" s="1488"/>
      <c r="B18" s="3511"/>
      <c r="C18" s="1492" t="s">
        <v>910</v>
      </c>
      <c r="D18" s="858" t="str">
        <f>结果表!H110</f>
        <v>——</v>
      </c>
      <c r="E18" s="1488"/>
    </row>
    <row r="19" spans="1:5" ht="15.75">
      <c r="A19" s="1488"/>
      <c r="B19" s="3502" t="str">
        <f>结果表!E111</f>
        <v>4.抵押净值</v>
      </c>
      <c r="C19" s="1496" t="s">
        <v>908</v>
      </c>
      <c r="D19" s="850">
        <f ca="1">结果表!H111</f>
        <v>89276</v>
      </c>
      <c r="E19" s="1488"/>
    </row>
    <row r="20" spans="1:5" ht="15.75">
      <c r="A20" s="1488"/>
      <c r="B20" s="3503"/>
      <c r="C20" s="1491" t="s">
        <v>921</v>
      </c>
      <c r="D20" s="849" t="str">
        <f ca="1">NUMBERSTRING(INT(D19*10000),2)&amp;"元整"</f>
        <v>捌亿玖仟贰佰柒拾陆万元整</v>
      </c>
      <c r="E20" s="1488"/>
    </row>
    <row r="21" spans="1:5" ht="15.75" thickBot="1">
      <c r="A21" s="1488"/>
      <c r="B21" s="3504"/>
      <c r="C21" s="1498" t="s">
        <v>919</v>
      </c>
      <c r="D21" s="859">
        <f ca="1">结果表!H112</f>
        <v>20732</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2"/>
      <c r="B4" s="3803"/>
      <c r="C4" s="3803"/>
      <c r="D4" s="3804"/>
      <c r="E4" s="3804"/>
      <c r="F4" s="3804"/>
      <c r="G4" s="3804"/>
      <c r="H4" s="3804"/>
      <c r="I4" s="3804"/>
      <c r="J4" s="3805"/>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9" t="s">
        <v>1958</v>
      </c>
      <c r="X8" s="3800"/>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0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6" t="s">
        <v>3257</v>
      </c>
      <c r="B20" s="167" t="s">
        <v>1992</v>
      </c>
      <c r="C20" s="3320" t="e">
        <f>ROUND(IF(F21="与级别开发程度一致",0,(G21-E21)/C21),0)</f>
        <v>#DIV/0!</v>
      </c>
      <c r="D20" s="3336" t="s">
        <v>1996</v>
      </c>
      <c r="E20" s="3337"/>
      <c r="F20" s="3812" t="s">
        <v>1993</v>
      </c>
      <c r="G20" s="3813"/>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7"/>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10"/>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11"/>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11"/>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8" t="s">
        <v>3297</v>
      </c>
      <c r="B103" s="3808"/>
      <c r="C103" s="3808"/>
      <c r="D103" s="3808"/>
      <c r="E103" s="3808"/>
      <c r="F103" s="3808"/>
      <c r="G103" s="3808"/>
      <c r="H103" s="3808"/>
      <c r="I103" s="3808"/>
      <c r="J103" s="3808"/>
      <c r="K103" s="3385"/>
      <c r="L103" s="3385"/>
      <c r="M103" s="3385"/>
      <c r="N103" s="3385"/>
    </row>
    <row r="104" spans="1:14">
      <c r="A104" s="3809" t="s">
        <v>3298</v>
      </c>
      <c r="B104" s="3809" t="s">
        <v>3299</v>
      </c>
      <c r="C104" s="3386" t="s">
        <v>3300</v>
      </c>
      <c r="D104" s="3387"/>
      <c r="E104" s="3387"/>
      <c r="F104" s="3387"/>
      <c r="G104" s="3387"/>
      <c r="H104" s="3387"/>
      <c r="I104" s="3387"/>
      <c r="J104" s="3388"/>
      <c r="K104" s="3389"/>
      <c r="L104" s="3389"/>
      <c r="M104" s="3389"/>
      <c r="N104" s="3389"/>
    </row>
    <row r="105" spans="1:14">
      <c r="A105" s="3809"/>
      <c r="B105" s="380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8" t="s">
        <v>3314</v>
      </c>
      <c r="B113" s="3798"/>
      <c r="C113" s="3798"/>
      <c r="D113" s="3798"/>
      <c r="E113" s="3798"/>
      <c r="F113" s="3798"/>
      <c r="G113" s="3798"/>
      <c r="H113" s="3798"/>
      <c r="I113" s="3798"/>
      <c r="J113" s="37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23" t="s">
        <v>2608</v>
      </c>
      <c r="B20" s="3818" t="s">
        <v>2629</v>
      </c>
      <c r="C20" s="3098" t="s">
        <v>2440</v>
      </c>
      <c r="D20" s="3099"/>
      <c r="E20" s="3100">
        <v>1</v>
      </c>
      <c r="F20" s="3101" t="s">
        <v>2441</v>
      </c>
      <c r="G20" s="3101"/>
    </row>
    <row r="21" spans="1:13" ht="19.5" customHeight="1">
      <c r="A21" s="3824"/>
      <c r="B21" s="3817"/>
      <c r="C21" s="3102" t="s">
        <v>2442</v>
      </c>
      <c r="D21" s="3103"/>
      <c r="E21" s="3104">
        <v>1</v>
      </c>
      <c r="F21" s="3101" t="s">
        <v>2443</v>
      </c>
      <c r="G21" s="3101"/>
    </row>
    <row r="22" spans="1:13" ht="19.5" customHeight="1">
      <c r="A22" s="3824"/>
      <c r="B22" s="3817"/>
      <c r="C22" s="3102" t="s">
        <v>2444</v>
      </c>
      <c r="D22" s="3103"/>
      <c r="E22" s="3104">
        <v>0.9</v>
      </c>
      <c r="F22" s="3101" t="s">
        <v>2445</v>
      </c>
      <c r="G22" s="3101"/>
    </row>
    <row r="23" spans="1:13" ht="19.5" customHeight="1">
      <c r="A23" s="3824"/>
      <c r="B23" s="3817"/>
      <c r="C23" s="3102" t="s">
        <v>2446</v>
      </c>
      <c r="D23" s="3103"/>
      <c r="E23" s="3104">
        <v>0.9</v>
      </c>
      <c r="F23" s="3101" t="s">
        <v>2447</v>
      </c>
      <c r="G23" s="3101"/>
    </row>
    <row r="24" spans="1:13" ht="19.5" customHeight="1">
      <c r="A24" s="3824"/>
      <c r="B24" s="3817"/>
      <c r="C24" s="3102" t="s">
        <v>2448</v>
      </c>
      <c r="D24" s="3103"/>
      <c r="E24" s="3104">
        <v>0.8</v>
      </c>
      <c r="F24" s="3101" t="s">
        <v>2449</v>
      </c>
      <c r="G24" s="3101"/>
    </row>
    <row r="25" spans="1:13" ht="19.5" customHeight="1" thickBot="1">
      <c r="A25" s="3825"/>
      <c r="B25" s="3819"/>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20" t="s">
        <v>2632</v>
      </c>
      <c r="B27" s="3818" t="s">
        <v>2613</v>
      </c>
      <c r="C27" s="3098" t="s">
        <v>2453</v>
      </c>
      <c r="D27" s="3099"/>
      <c r="E27" s="3100">
        <v>1</v>
      </c>
      <c r="F27" s="3101" t="s">
        <v>2454</v>
      </c>
      <c r="G27" s="3101"/>
    </row>
    <row r="28" spans="1:13" ht="19.5" customHeight="1">
      <c r="A28" s="3821"/>
      <c r="B28" s="3817"/>
      <c r="C28" s="3102" t="s">
        <v>2455</v>
      </c>
      <c r="D28" s="3103"/>
      <c r="E28" s="3104">
        <v>1</v>
      </c>
      <c r="F28" s="3101" t="s">
        <v>2456</v>
      </c>
      <c r="G28" s="3101"/>
    </row>
    <row r="29" spans="1:13" ht="19.5" customHeight="1">
      <c r="A29" s="3821"/>
      <c r="B29" s="3817"/>
      <c r="C29" s="3102" t="s">
        <v>2457</v>
      </c>
      <c r="D29" s="3103"/>
      <c r="E29" s="3104">
        <v>0.8</v>
      </c>
      <c r="F29" s="3101" t="s">
        <v>2458</v>
      </c>
      <c r="G29" s="3101"/>
    </row>
    <row r="30" spans="1:13" ht="19.5" customHeight="1">
      <c r="A30" s="3821"/>
      <c r="B30" s="3817"/>
      <c r="C30" s="3102" t="s">
        <v>2459</v>
      </c>
      <c r="D30" s="3103"/>
      <c r="E30" s="3104">
        <v>0.8</v>
      </c>
      <c r="F30" s="3101" t="s">
        <v>2460</v>
      </c>
      <c r="G30" s="3101"/>
    </row>
    <row r="31" spans="1:13" ht="19.5" customHeight="1">
      <c r="A31" s="3821"/>
      <c r="B31" s="3817"/>
      <c r="C31" s="3102" t="s">
        <v>2461</v>
      </c>
      <c r="D31" s="3103"/>
      <c r="E31" s="3104">
        <v>0.8</v>
      </c>
      <c r="F31" s="3101" t="s">
        <v>2462</v>
      </c>
      <c r="G31" s="3101"/>
    </row>
    <row r="32" spans="1:13" ht="19.5" customHeight="1">
      <c r="A32" s="3821"/>
      <c r="B32" s="3817"/>
      <c r="C32" s="3102" t="s">
        <v>2463</v>
      </c>
      <c r="D32" s="3103"/>
      <c r="E32" s="3104">
        <v>0.7</v>
      </c>
      <c r="F32" s="3101" t="s">
        <v>2464</v>
      </c>
      <c r="G32" s="3101"/>
    </row>
    <row r="33" spans="1:7" ht="19.5" customHeight="1">
      <c r="A33" s="3821"/>
      <c r="B33" s="3817"/>
      <c r="C33" s="3102" t="s">
        <v>2465</v>
      </c>
      <c r="D33" s="3103"/>
      <c r="E33" s="3104">
        <v>0.8</v>
      </c>
      <c r="F33" s="3101" t="s">
        <v>2466</v>
      </c>
      <c r="G33" s="3101"/>
    </row>
    <row r="34" spans="1:7" ht="19.5" customHeight="1">
      <c r="A34" s="3821"/>
      <c r="B34" s="3817"/>
      <c r="C34" s="3102" t="s">
        <v>2467</v>
      </c>
      <c r="D34" s="3103"/>
      <c r="E34" s="3104">
        <v>0.6</v>
      </c>
      <c r="F34" s="3101" t="s">
        <v>2468</v>
      </c>
      <c r="G34" s="3101"/>
    </row>
    <row r="35" spans="1:7" ht="19.5" customHeight="1">
      <c r="A35" s="3821"/>
      <c r="B35" s="3817"/>
      <c r="C35" s="3102" t="s">
        <v>2469</v>
      </c>
      <c r="D35" s="3103"/>
      <c r="E35" s="3104">
        <v>0.2</v>
      </c>
      <c r="F35" s="3101" t="s">
        <v>2470</v>
      </c>
      <c r="G35" s="3101"/>
    </row>
    <row r="36" spans="1:7" ht="19.5" customHeight="1">
      <c r="A36" s="3821"/>
      <c r="B36" s="3817"/>
      <c r="C36" s="3102" t="s">
        <v>2471</v>
      </c>
      <c r="D36" s="3103"/>
      <c r="E36" s="3104">
        <v>0.2</v>
      </c>
      <c r="F36" s="3101" t="s">
        <v>2472</v>
      </c>
      <c r="G36" s="3101"/>
    </row>
    <row r="37" spans="1:7" ht="19.5" customHeight="1">
      <c r="A37" s="3821"/>
      <c r="B37" s="3815" t="s">
        <v>2633</v>
      </c>
      <c r="C37" s="3102" t="s">
        <v>2473</v>
      </c>
      <c r="D37" s="3103"/>
      <c r="E37" s="3104">
        <v>0.6</v>
      </c>
      <c r="F37" s="3101" t="s">
        <v>2474</v>
      </c>
      <c r="G37" s="3101"/>
    </row>
    <row r="38" spans="1:7" ht="19.5" customHeight="1">
      <c r="A38" s="3821"/>
      <c r="B38" s="3817"/>
      <c r="C38" s="3102" t="s">
        <v>2475</v>
      </c>
      <c r="D38" s="3103"/>
      <c r="E38" s="3104">
        <v>0.6</v>
      </c>
      <c r="F38" s="3101" t="s">
        <v>2476</v>
      </c>
      <c r="G38" s="3101"/>
    </row>
    <row r="39" spans="1:7" ht="19.5" customHeight="1" thickBot="1">
      <c r="A39" s="3822"/>
      <c r="B39" s="3819"/>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23" t="s">
        <v>2611</v>
      </c>
      <c r="B41" s="3818" t="s">
        <v>2635</v>
      </c>
      <c r="C41" s="3098" t="s">
        <v>2480</v>
      </c>
      <c r="D41" s="3099"/>
      <c r="E41" s="3100">
        <v>1</v>
      </c>
      <c r="F41" s="3101" t="s">
        <v>2481</v>
      </c>
      <c r="G41" s="3101"/>
    </row>
    <row r="42" spans="1:7" ht="19.5" customHeight="1">
      <c r="A42" s="3824"/>
      <c r="B42" s="3817"/>
      <c r="C42" s="3102" t="s">
        <v>2482</v>
      </c>
      <c r="D42" s="3103"/>
      <c r="E42" s="3104">
        <v>1</v>
      </c>
      <c r="F42" s="3101" t="s">
        <v>2483</v>
      </c>
      <c r="G42" s="3101"/>
    </row>
    <row r="43" spans="1:7" ht="19.5" customHeight="1">
      <c r="A43" s="3824"/>
      <c r="B43" s="3816"/>
      <c r="C43" s="3102" t="s">
        <v>2484</v>
      </c>
      <c r="D43" s="3103"/>
      <c r="E43" s="3104">
        <v>1.5</v>
      </c>
      <c r="F43" s="3101" t="s">
        <v>2485</v>
      </c>
      <c r="G43" s="3101"/>
    </row>
    <row r="44" spans="1:7" ht="19.5" customHeight="1">
      <c r="A44" s="3824"/>
      <c r="B44" s="3113" t="s">
        <v>2636</v>
      </c>
      <c r="C44" s="3102" t="s">
        <v>2637</v>
      </c>
      <c r="D44" s="3103"/>
      <c r="E44" s="3104">
        <v>2</v>
      </c>
      <c r="F44" s="3101" t="s">
        <v>2486</v>
      </c>
      <c r="G44" s="3101"/>
    </row>
    <row r="45" spans="1:7" ht="19.5" customHeight="1">
      <c r="A45" s="3824"/>
      <c r="B45" s="3815" t="s">
        <v>2638</v>
      </c>
      <c r="C45" s="3102" t="s">
        <v>2487</v>
      </c>
      <c r="D45" s="3103"/>
      <c r="E45" s="3104">
        <v>1</v>
      </c>
      <c r="F45" s="3101" t="s">
        <v>2488</v>
      </c>
      <c r="G45" s="3101"/>
    </row>
    <row r="46" spans="1:7" ht="19.5" customHeight="1">
      <c r="A46" s="3824"/>
      <c r="B46" s="3817"/>
      <c r="C46" s="3102" t="s">
        <v>2489</v>
      </c>
      <c r="D46" s="3103"/>
      <c r="E46" s="3104">
        <v>1</v>
      </c>
      <c r="F46" s="3101" t="s">
        <v>2490</v>
      </c>
      <c r="G46" s="3101"/>
    </row>
    <row r="47" spans="1:7" ht="19.5" customHeight="1">
      <c r="A47" s="3824"/>
      <c r="B47" s="3817"/>
      <c r="C47" s="3102" t="s">
        <v>2491</v>
      </c>
      <c r="D47" s="3103"/>
      <c r="E47" s="3104">
        <v>1</v>
      </c>
      <c r="F47" s="3101" t="s">
        <v>2492</v>
      </c>
      <c r="G47" s="3101"/>
    </row>
    <row r="48" spans="1:7" ht="19.5" customHeight="1">
      <c r="A48" s="3824"/>
      <c r="B48" s="3817"/>
      <c r="C48" s="3102" t="s">
        <v>2493</v>
      </c>
      <c r="D48" s="3103"/>
      <c r="E48" s="3104">
        <v>1</v>
      </c>
      <c r="F48" s="3101" t="s">
        <v>2494</v>
      </c>
      <c r="G48" s="3101"/>
    </row>
    <row r="49" spans="1:7" ht="19.5" customHeight="1">
      <c r="A49" s="3824"/>
      <c r="B49" s="3817"/>
      <c r="C49" s="3102" t="s">
        <v>2495</v>
      </c>
      <c r="D49" s="3103"/>
      <c r="E49" s="3104">
        <v>1</v>
      </c>
      <c r="F49" s="3101" t="s">
        <v>2496</v>
      </c>
      <c r="G49" s="3101"/>
    </row>
    <row r="50" spans="1:7" ht="19.5" customHeight="1">
      <c r="A50" s="3824"/>
      <c r="B50" s="3817"/>
      <c r="C50" s="3102" t="s">
        <v>2497</v>
      </c>
      <c r="D50" s="3103"/>
      <c r="E50" s="3104">
        <v>1</v>
      </c>
      <c r="F50" s="3101" t="s">
        <v>2498</v>
      </c>
      <c r="G50" s="3101"/>
    </row>
    <row r="51" spans="1:7" ht="19.5" customHeight="1" thickBot="1">
      <c r="A51" s="3825"/>
      <c r="B51" s="3819"/>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15" t="s">
        <v>2652</v>
      </c>
      <c r="C73" s="3087" t="s">
        <v>2653</v>
      </c>
      <c r="D73" s="3087" t="s">
        <v>2654</v>
      </c>
      <c r="E73" s="3113">
        <v>0.2</v>
      </c>
      <c r="F73" s="3113">
        <v>25</v>
      </c>
    </row>
    <row r="74" spans="1:7" ht="24">
      <c r="A74" s="3113">
        <v>2</v>
      </c>
      <c r="B74" s="3817"/>
      <c r="C74" s="3087" t="s">
        <v>2655</v>
      </c>
      <c r="D74" s="3087" t="s">
        <v>2656</v>
      </c>
      <c r="E74" s="3113">
        <v>0.2</v>
      </c>
      <c r="F74" s="3113">
        <v>25</v>
      </c>
    </row>
    <row r="75" spans="1:7" ht="24">
      <c r="A75" s="3113">
        <v>3</v>
      </c>
      <c r="B75" s="3817"/>
      <c r="C75" s="3087" t="s">
        <v>2657</v>
      </c>
      <c r="D75" s="3087" t="s">
        <v>2658</v>
      </c>
      <c r="E75" s="3113">
        <v>0.2</v>
      </c>
      <c r="F75" s="3113">
        <v>25</v>
      </c>
    </row>
    <row r="76" spans="1:7" ht="13.5">
      <c r="A76" s="3113">
        <v>4</v>
      </c>
      <c r="B76" s="3817"/>
      <c r="C76" s="3087" t="s">
        <v>2659</v>
      </c>
      <c r="D76" s="3087" t="s">
        <v>2660</v>
      </c>
      <c r="E76" s="3113">
        <v>0.15</v>
      </c>
      <c r="F76" s="3113">
        <v>20</v>
      </c>
    </row>
    <row r="77" spans="1:7" ht="24">
      <c r="A77" s="3113">
        <v>5</v>
      </c>
      <c r="B77" s="3817"/>
      <c r="C77" s="3087" t="s">
        <v>2661</v>
      </c>
      <c r="D77" s="3087" t="s">
        <v>2662</v>
      </c>
      <c r="E77" s="3113">
        <v>0.15</v>
      </c>
      <c r="F77" s="3113">
        <v>20</v>
      </c>
    </row>
    <row r="78" spans="1:7" ht="24">
      <c r="A78" s="3113">
        <v>6</v>
      </c>
      <c r="B78" s="3817"/>
      <c r="C78" s="3087" t="s">
        <v>2663</v>
      </c>
      <c r="D78" s="3087" t="s">
        <v>2664</v>
      </c>
      <c r="E78" s="3113">
        <v>0.15</v>
      </c>
      <c r="F78" s="3113">
        <v>20</v>
      </c>
    </row>
    <row r="79" spans="1:7" ht="24">
      <c r="A79" s="3113">
        <v>7</v>
      </c>
      <c r="B79" s="3817"/>
      <c r="C79" s="3087" t="s">
        <v>2665</v>
      </c>
      <c r="D79" s="3087" t="s">
        <v>2666</v>
      </c>
      <c r="E79" s="3113">
        <v>0.15</v>
      </c>
      <c r="F79" s="3113">
        <v>20</v>
      </c>
    </row>
    <row r="80" spans="1:7" ht="24">
      <c r="A80" s="3113">
        <v>8</v>
      </c>
      <c r="B80" s="3817"/>
      <c r="C80" s="3087" t="s">
        <v>2667</v>
      </c>
      <c r="D80" s="3087" t="s">
        <v>2668</v>
      </c>
      <c r="E80" s="3113">
        <v>0.1</v>
      </c>
      <c r="F80" s="3113">
        <v>15</v>
      </c>
    </row>
    <row r="81" spans="1:6" ht="24">
      <c r="A81" s="3113">
        <v>9</v>
      </c>
      <c r="B81" s="3817"/>
      <c r="C81" s="3087" t="s">
        <v>2669</v>
      </c>
      <c r="D81" s="3087" t="s">
        <v>2670</v>
      </c>
      <c r="E81" s="3113">
        <v>0.1</v>
      </c>
      <c r="F81" s="3113">
        <v>15</v>
      </c>
    </row>
    <row r="82" spans="1:6" ht="24">
      <c r="A82" s="3113">
        <v>10</v>
      </c>
      <c r="B82" s="3817"/>
      <c r="C82" s="3087" t="s">
        <v>2671</v>
      </c>
      <c r="D82" s="3087" t="s">
        <v>2672</v>
      </c>
      <c r="E82" s="3113">
        <v>0.1</v>
      </c>
      <c r="F82" s="3113">
        <v>15</v>
      </c>
    </row>
    <row r="83" spans="1:6" ht="24">
      <c r="A83" s="3113">
        <v>11</v>
      </c>
      <c r="B83" s="3817"/>
      <c r="C83" s="3087" t="s">
        <v>2673</v>
      </c>
      <c r="D83" s="3087" t="s">
        <v>2674</v>
      </c>
      <c r="E83" s="3113">
        <v>0.1</v>
      </c>
      <c r="F83" s="3113">
        <v>15</v>
      </c>
    </row>
    <row r="84" spans="1:6" ht="24">
      <c r="A84" s="3113">
        <v>12</v>
      </c>
      <c r="B84" s="3817"/>
      <c r="C84" s="3087" t="s">
        <v>2675</v>
      </c>
      <c r="D84" s="3087" t="s">
        <v>2676</v>
      </c>
      <c r="E84" s="3113">
        <v>0.1</v>
      </c>
      <c r="F84" s="3113">
        <v>15</v>
      </c>
    </row>
    <row r="85" spans="1:6" ht="13.5">
      <c r="A85" s="3113">
        <v>13</v>
      </c>
      <c r="B85" s="3817"/>
      <c r="C85" s="3087" t="s">
        <v>2677</v>
      </c>
      <c r="D85" s="3087" t="s">
        <v>2678</v>
      </c>
      <c r="E85" s="3113">
        <v>0.1</v>
      </c>
      <c r="F85" s="3113">
        <v>15</v>
      </c>
    </row>
    <row r="86" spans="1:6" ht="13.5">
      <c r="A86" s="3113">
        <v>14</v>
      </c>
      <c r="B86" s="3817"/>
      <c r="C86" s="3087" t="s">
        <v>2679</v>
      </c>
      <c r="D86" s="3087" t="s">
        <v>2680</v>
      </c>
      <c r="E86" s="3113">
        <v>0.1</v>
      </c>
      <c r="F86" s="3113">
        <v>15</v>
      </c>
    </row>
    <row r="87" spans="1:6" ht="13.5">
      <c r="A87" s="3113">
        <v>15</v>
      </c>
      <c r="B87" s="3817"/>
      <c r="C87" s="3087" t="s">
        <v>2681</v>
      </c>
      <c r="D87" s="3087" t="s">
        <v>2682</v>
      </c>
      <c r="E87" s="3113">
        <v>0.1</v>
      </c>
      <c r="F87" s="3113">
        <v>15</v>
      </c>
    </row>
    <row r="88" spans="1:6" ht="24">
      <c r="A88" s="3113">
        <v>16</v>
      </c>
      <c r="B88" s="3817"/>
      <c r="C88" s="3087" t="s">
        <v>2683</v>
      </c>
      <c r="D88" s="3087" t="s">
        <v>2684</v>
      </c>
      <c r="E88" s="3113">
        <v>0.1</v>
      </c>
      <c r="F88" s="3113">
        <v>15</v>
      </c>
    </row>
    <row r="89" spans="1:6" ht="24">
      <c r="A89" s="3113">
        <v>17</v>
      </c>
      <c r="B89" s="3816"/>
      <c r="C89" s="3087" t="s">
        <v>2685</v>
      </c>
      <c r="D89" s="3087" t="s">
        <v>2686</v>
      </c>
      <c r="E89" s="3113">
        <v>0.1</v>
      </c>
      <c r="F89" s="3113">
        <v>15</v>
      </c>
    </row>
    <row r="90" spans="1:6" ht="13.5">
      <c r="A90" s="3113">
        <v>18</v>
      </c>
      <c r="B90" s="3815" t="s">
        <v>2687</v>
      </c>
      <c r="C90" s="3087" t="s">
        <v>2688</v>
      </c>
      <c r="D90" s="3087" t="s">
        <v>2689</v>
      </c>
      <c r="E90" s="3113">
        <v>0.2</v>
      </c>
      <c r="F90" s="3113">
        <v>25</v>
      </c>
    </row>
    <row r="91" spans="1:6" ht="24">
      <c r="A91" s="3113">
        <v>19</v>
      </c>
      <c r="B91" s="3817"/>
      <c r="C91" s="3087" t="s">
        <v>2690</v>
      </c>
      <c r="D91" s="3087" t="s">
        <v>2691</v>
      </c>
      <c r="E91" s="3113">
        <v>0.2</v>
      </c>
      <c r="F91" s="3113">
        <v>25</v>
      </c>
    </row>
    <row r="92" spans="1:6" ht="13.5">
      <c r="A92" s="3113">
        <v>20</v>
      </c>
      <c r="B92" s="3817"/>
      <c r="C92" s="3087" t="s">
        <v>2692</v>
      </c>
      <c r="D92" s="3087" t="s">
        <v>2693</v>
      </c>
      <c r="E92" s="3113">
        <v>0.15</v>
      </c>
      <c r="F92" s="3113">
        <v>20</v>
      </c>
    </row>
    <row r="93" spans="1:6" ht="13.5">
      <c r="A93" s="3113">
        <v>21</v>
      </c>
      <c r="B93" s="3817"/>
      <c r="C93" s="3087" t="s">
        <v>2694</v>
      </c>
      <c r="D93" s="3087" t="s">
        <v>2695</v>
      </c>
      <c r="E93" s="3113">
        <v>0.15</v>
      </c>
      <c r="F93" s="3113">
        <v>20</v>
      </c>
    </row>
    <row r="94" spans="1:6" ht="13.5">
      <c r="A94" s="3113">
        <v>22</v>
      </c>
      <c r="B94" s="3817"/>
      <c r="C94" s="3087" t="s">
        <v>2696</v>
      </c>
      <c r="D94" s="3087" t="s">
        <v>2697</v>
      </c>
      <c r="E94" s="3113">
        <v>0.15</v>
      </c>
      <c r="F94" s="3113">
        <v>20</v>
      </c>
    </row>
    <row r="95" spans="1:6" ht="36">
      <c r="A95" s="3113">
        <v>23</v>
      </c>
      <c r="B95" s="3817"/>
      <c r="C95" s="3087" t="s">
        <v>2698</v>
      </c>
      <c r="D95" s="3087" t="s">
        <v>2699</v>
      </c>
      <c r="E95" s="3113">
        <v>0.15</v>
      </c>
      <c r="F95" s="3113">
        <v>20</v>
      </c>
    </row>
    <row r="96" spans="1:6" ht="13.5">
      <c r="A96" s="3113">
        <v>24</v>
      </c>
      <c r="B96" s="3817"/>
      <c r="C96" s="3087" t="s">
        <v>2700</v>
      </c>
      <c r="D96" s="3087" t="s">
        <v>2701</v>
      </c>
      <c r="E96" s="3113">
        <v>0.1</v>
      </c>
      <c r="F96" s="3113">
        <v>15</v>
      </c>
    </row>
    <row r="97" spans="1:6" ht="13.5">
      <c r="A97" s="3113">
        <v>25</v>
      </c>
      <c r="B97" s="3817"/>
      <c r="C97" s="3087" t="s">
        <v>2702</v>
      </c>
      <c r="D97" s="3087" t="s">
        <v>2703</v>
      </c>
      <c r="E97" s="3113">
        <v>0.1</v>
      </c>
      <c r="F97" s="3113">
        <v>15</v>
      </c>
    </row>
    <row r="98" spans="1:6" ht="24">
      <c r="A98" s="3113">
        <v>26</v>
      </c>
      <c r="B98" s="3817"/>
      <c r="C98" s="3087" t="s">
        <v>2704</v>
      </c>
      <c r="D98" s="3087" t="s">
        <v>2705</v>
      </c>
      <c r="E98" s="3113">
        <v>0.1</v>
      </c>
      <c r="F98" s="3113">
        <v>15</v>
      </c>
    </row>
    <row r="99" spans="1:6" ht="24">
      <c r="A99" s="3113">
        <v>27</v>
      </c>
      <c r="B99" s="3817"/>
      <c r="C99" s="3087" t="s">
        <v>2706</v>
      </c>
      <c r="D99" s="3087" t="s">
        <v>2707</v>
      </c>
      <c r="E99" s="3113">
        <v>0.1</v>
      </c>
      <c r="F99" s="3113">
        <v>15</v>
      </c>
    </row>
    <row r="100" spans="1:6" ht="13.5">
      <c r="A100" s="3113">
        <v>28</v>
      </c>
      <c r="B100" s="3817"/>
      <c r="C100" s="3087" t="s">
        <v>2708</v>
      </c>
      <c r="D100" s="3087" t="s">
        <v>2709</v>
      </c>
      <c r="E100" s="3113">
        <v>0.1</v>
      </c>
      <c r="F100" s="3113">
        <v>15</v>
      </c>
    </row>
    <row r="101" spans="1:6" ht="13.5">
      <c r="A101" s="3113">
        <v>29</v>
      </c>
      <c r="B101" s="3817"/>
      <c r="C101" s="3087" t="s">
        <v>2710</v>
      </c>
      <c r="D101" s="3087" t="s">
        <v>2711</v>
      </c>
      <c r="E101" s="3113">
        <v>0.1</v>
      </c>
      <c r="F101" s="3113">
        <v>15</v>
      </c>
    </row>
    <row r="102" spans="1:6" ht="13.5">
      <c r="A102" s="3113">
        <v>30</v>
      </c>
      <c r="B102" s="3817"/>
      <c r="C102" s="3087" t="s">
        <v>2712</v>
      </c>
      <c r="D102" s="3087" t="s">
        <v>2713</v>
      </c>
      <c r="E102" s="3113">
        <v>0.1</v>
      </c>
      <c r="F102" s="3113">
        <v>15</v>
      </c>
    </row>
    <row r="103" spans="1:6" ht="24">
      <c r="A103" s="3113">
        <v>31</v>
      </c>
      <c r="B103" s="3817"/>
      <c r="C103" s="3087" t="s">
        <v>2714</v>
      </c>
      <c r="D103" s="3087" t="s">
        <v>2715</v>
      </c>
      <c r="E103" s="3113">
        <v>0.1</v>
      </c>
      <c r="F103" s="3113">
        <v>15</v>
      </c>
    </row>
    <row r="104" spans="1:6" ht="24">
      <c r="A104" s="3113">
        <v>32</v>
      </c>
      <c r="B104" s="3817"/>
      <c r="C104" s="3087" t="s">
        <v>2716</v>
      </c>
      <c r="D104" s="3087" t="s">
        <v>2717</v>
      </c>
      <c r="E104" s="3113">
        <v>0.1</v>
      </c>
      <c r="F104" s="3113">
        <v>15</v>
      </c>
    </row>
    <row r="105" spans="1:6" ht="24">
      <c r="A105" s="3113">
        <v>33</v>
      </c>
      <c r="B105" s="3817"/>
      <c r="C105" s="3087" t="s">
        <v>2718</v>
      </c>
      <c r="D105" s="3087" t="s">
        <v>2719</v>
      </c>
      <c r="E105" s="3113">
        <v>0.1</v>
      </c>
      <c r="F105" s="3113">
        <v>15</v>
      </c>
    </row>
    <row r="106" spans="1:6" ht="24">
      <c r="A106" s="3113">
        <v>34</v>
      </c>
      <c r="B106" s="3816"/>
      <c r="C106" s="3087" t="s">
        <v>2720</v>
      </c>
      <c r="D106" s="3087" t="s">
        <v>2721</v>
      </c>
      <c r="E106" s="3113">
        <v>0.1</v>
      </c>
      <c r="F106" s="3113">
        <v>15</v>
      </c>
    </row>
    <row r="107" spans="1:6" ht="24">
      <c r="A107" s="3113">
        <v>35</v>
      </c>
      <c r="B107" s="3815" t="s">
        <v>2722</v>
      </c>
      <c r="C107" s="3113" t="s">
        <v>2723</v>
      </c>
      <c r="D107" s="3087" t="s">
        <v>2724</v>
      </c>
      <c r="E107" s="3113">
        <v>0.15</v>
      </c>
      <c r="F107" s="3113">
        <v>20</v>
      </c>
    </row>
    <row r="108" spans="1:6" ht="13.5">
      <c r="A108" s="3113">
        <v>36</v>
      </c>
      <c r="B108" s="3817"/>
      <c r="C108" s="3113" t="s">
        <v>2725</v>
      </c>
      <c r="D108" s="3087" t="s">
        <v>2726</v>
      </c>
      <c r="E108" s="3113">
        <v>0.15</v>
      </c>
      <c r="F108" s="3113">
        <v>20</v>
      </c>
    </row>
    <row r="109" spans="1:6" ht="13.5">
      <c r="A109" s="3113">
        <v>37</v>
      </c>
      <c r="B109" s="3817"/>
      <c r="C109" s="3113" t="s">
        <v>2727</v>
      </c>
      <c r="D109" s="3087" t="s">
        <v>2728</v>
      </c>
      <c r="E109" s="3113">
        <v>0.15</v>
      </c>
      <c r="F109" s="3113">
        <v>20</v>
      </c>
    </row>
    <row r="110" spans="1:6" ht="13.5">
      <c r="A110" s="3113">
        <v>38</v>
      </c>
      <c r="B110" s="3817"/>
      <c r="C110" s="3113" t="s">
        <v>2729</v>
      </c>
      <c r="D110" s="3087" t="s">
        <v>2730</v>
      </c>
      <c r="E110" s="3113">
        <v>0.1</v>
      </c>
      <c r="F110" s="3113">
        <v>15</v>
      </c>
    </row>
    <row r="111" spans="1:6" ht="24">
      <c r="A111" s="3113">
        <v>39</v>
      </c>
      <c r="B111" s="3817"/>
      <c r="C111" s="3113" t="s">
        <v>2731</v>
      </c>
      <c r="D111" s="3087" t="s">
        <v>2732</v>
      </c>
      <c r="E111" s="3113">
        <v>0.1</v>
      </c>
      <c r="F111" s="3113">
        <v>15</v>
      </c>
    </row>
    <row r="112" spans="1:6" ht="24">
      <c r="A112" s="3113">
        <v>40</v>
      </c>
      <c r="B112" s="3816"/>
      <c r="C112" s="3113" t="s">
        <v>2733</v>
      </c>
      <c r="D112" s="3087" t="s">
        <v>2734</v>
      </c>
      <c r="E112" s="3113">
        <v>0.1</v>
      </c>
      <c r="F112" s="3113">
        <v>15</v>
      </c>
    </row>
    <row r="113" spans="1:6" ht="13.5">
      <c r="A113" s="3113">
        <v>41</v>
      </c>
      <c r="B113" s="3814" t="s">
        <v>2735</v>
      </c>
      <c r="C113" s="3113" t="s">
        <v>2736</v>
      </c>
      <c r="D113" s="3087" t="s">
        <v>2737</v>
      </c>
      <c r="E113" s="3113">
        <v>0.1</v>
      </c>
      <c r="F113" s="3113">
        <v>15</v>
      </c>
    </row>
    <row r="114" spans="1:6" ht="13.5">
      <c r="A114" s="3113">
        <v>42</v>
      </c>
      <c r="B114" s="3814"/>
      <c r="C114" s="3113" t="s">
        <v>2738</v>
      </c>
      <c r="D114" s="3087" t="s">
        <v>2739</v>
      </c>
      <c r="E114" s="3113">
        <v>0.1</v>
      </c>
      <c r="F114" s="3113">
        <v>15</v>
      </c>
    </row>
    <row r="115" spans="1:6" ht="24">
      <c r="A115" s="3113">
        <v>43</v>
      </c>
      <c r="B115" s="3814"/>
      <c r="C115" s="3113" t="s">
        <v>2740</v>
      </c>
      <c r="D115" s="3087" t="s">
        <v>2741</v>
      </c>
      <c r="E115" s="3113">
        <v>0.1</v>
      </c>
      <c r="F115" s="3113">
        <v>15</v>
      </c>
    </row>
    <row r="116" spans="1:6" ht="13.5">
      <c r="A116" s="3113">
        <v>44</v>
      </c>
      <c r="B116" s="3815" t="s">
        <v>2742</v>
      </c>
      <c r="C116" s="3113" t="s">
        <v>2743</v>
      </c>
      <c r="D116" s="3087" t="s">
        <v>2744</v>
      </c>
      <c r="E116" s="3113">
        <v>0.1</v>
      </c>
      <c r="F116" s="3113">
        <v>15</v>
      </c>
    </row>
    <row r="117" spans="1:6" ht="24">
      <c r="A117" s="3113">
        <v>45</v>
      </c>
      <c r="B117" s="3816"/>
      <c r="C117" s="3087" t="s">
        <v>2745</v>
      </c>
      <c r="D117" s="3087" t="s">
        <v>2746</v>
      </c>
      <c r="E117" s="3113">
        <v>0.1</v>
      </c>
      <c r="F117" s="3113">
        <v>15</v>
      </c>
    </row>
    <row r="118" spans="1:6" ht="24">
      <c r="A118" s="3113">
        <v>46</v>
      </c>
      <c r="B118" s="3815" t="s">
        <v>2747</v>
      </c>
      <c r="C118" s="3113" t="s">
        <v>2748</v>
      </c>
      <c r="D118" s="3087" t="s">
        <v>2749</v>
      </c>
      <c r="E118" s="3113">
        <v>0.1</v>
      </c>
      <c r="F118" s="3113">
        <v>15</v>
      </c>
    </row>
    <row r="119" spans="1:6" ht="24">
      <c r="A119" s="3113">
        <v>47</v>
      </c>
      <c r="B119" s="3816"/>
      <c r="C119" s="3113" t="s">
        <v>2750</v>
      </c>
      <c r="D119" s="3087" t="s">
        <v>2751</v>
      </c>
      <c r="E119" s="3113">
        <v>0.1</v>
      </c>
      <c r="F119" s="3113">
        <v>15</v>
      </c>
    </row>
    <row r="120" spans="1:6" ht="13.5">
      <c r="A120" s="3113">
        <v>48</v>
      </c>
      <c r="B120" s="3815" t="s">
        <v>2752</v>
      </c>
      <c r="C120" s="3113" t="s">
        <v>2753</v>
      </c>
      <c r="D120" s="3087" t="s">
        <v>2754</v>
      </c>
      <c r="E120" s="3113">
        <v>0.1</v>
      </c>
      <c r="F120" s="3113">
        <v>15</v>
      </c>
    </row>
    <row r="121" spans="1:6" ht="13.5">
      <c r="A121" s="3113">
        <v>49</v>
      </c>
      <c r="B121" s="3816"/>
      <c r="C121" s="3113" t="s">
        <v>2755</v>
      </c>
      <c r="D121" s="3087" t="s">
        <v>2756</v>
      </c>
      <c r="E121" s="3113">
        <v>0.1</v>
      </c>
      <c r="F121" s="3113">
        <v>15</v>
      </c>
    </row>
    <row r="122" spans="1:6" ht="24">
      <c r="A122" s="3113">
        <v>50</v>
      </c>
      <c r="B122" s="3814" t="s">
        <v>2757</v>
      </c>
      <c r="C122" s="3113" t="s">
        <v>2758</v>
      </c>
      <c r="D122" s="3087" t="s">
        <v>2759</v>
      </c>
      <c r="E122" s="3113">
        <v>0.1</v>
      </c>
      <c r="F122" s="3113">
        <v>15</v>
      </c>
    </row>
    <row r="123" spans="1:6" ht="24">
      <c r="A123" s="3113">
        <v>51</v>
      </c>
      <c r="B123" s="3814"/>
      <c r="C123" s="3113" t="s">
        <v>2760</v>
      </c>
      <c r="D123" s="3087" t="s">
        <v>2761</v>
      </c>
      <c r="E123" s="3113">
        <v>0.1</v>
      </c>
      <c r="F123" s="3113">
        <v>15</v>
      </c>
    </row>
    <row r="124" spans="1:6" ht="24">
      <c r="A124" s="3113">
        <v>52</v>
      </c>
      <c r="B124" s="3814" t="s">
        <v>2762</v>
      </c>
      <c r="C124" s="3113" t="s">
        <v>2763</v>
      </c>
      <c r="D124" s="3087" t="s">
        <v>2764</v>
      </c>
      <c r="E124" s="3113">
        <v>0.1</v>
      </c>
      <c r="F124" s="3113">
        <v>15</v>
      </c>
    </row>
    <row r="125" spans="1:6" ht="24">
      <c r="A125" s="3113">
        <v>53</v>
      </c>
      <c r="B125" s="381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14" t="s">
        <v>2770</v>
      </c>
      <c r="C127" s="3113" t="s">
        <v>2771</v>
      </c>
      <c r="D127" s="3087" t="s">
        <v>2772</v>
      </c>
      <c r="E127" s="3113">
        <v>0.1</v>
      </c>
      <c r="F127" s="3113">
        <v>15</v>
      </c>
    </row>
    <row r="128" spans="1:6" ht="13.5">
      <c r="A128" s="3113">
        <v>56</v>
      </c>
      <c r="B128" s="3814"/>
      <c r="C128" s="3113" t="s">
        <v>2773</v>
      </c>
      <c r="D128" s="3087" t="s">
        <v>2774</v>
      </c>
      <c r="E128" s="3113">
        <v>0.1</v>
      </c>
      <c r="F128" s="3113">
        <v>15</v>
      </c>
    </row>
    <row r="129" spans="1:6" ht="24">
      <c r="A129" s="3113">
        <v>57</v>
      </c>
      <c r="B129" s="3814"/>
      <c r="C129" s="3113" t="s">
        <v>2775</v>
      </c>
      <c r="D129" s="3087" t="s">
        <v>2776</v>
      </c>
      <c r="E129" s="3113">
        <v>0.1</v>
      </c>
      <c r="F129" s="3113">
        <v>15</v>
      </c>
    </row>
    <row r="130" spans="1:6" ht="24">
      <c r="A130" s="3113">
        <v>58</v>
      </c>
      <c r="B130" s="3814" t="s">
        <v>2777</v>
      </c>
      <c r="C130" s="3113" t="s">
        <v>2778</v>
      </c>
      <c r="D130" s="3087" t="s">
        <v>2779</v>
      </c>
      <c r="E130" s="3113">
        <v>0.1</v>
      </c>
      <c r="F130" s="3113">
        <v>15</v>
      </c>
    </row>
    <row r="131" spans="1:6" ht="13.5">
      <c r="A131" s="3113">
        <v>59</v>
      </c>
      <c r="B131" s="3814"/>
      <c r="C131" s="3113" t="s">
        <v>2780</v>
      </c>
      <c r="D131" s="3087" t="s">
        <v>2781</v>
      </c>
      <c r="E131" s="3113">
        <v>0.1</v>
      </c>
      <c r="F131" s="3113">
        <v>15</v>
      </c>
    </row>
    <row r="132" spans="1:6" ht="13.5">
      <c r="A132" s="3113">
        <v>60</v>
      </c>
      <c r="B132" s="3815" t="s">
        <v>2782</v>
      </c>
      <c r="C132" s="3113" t="s">
        <v>2783</v>
      </c>
      <c r="D132" s="3087" t="s">
        <v>2784</v>
      </c>
      <c r="E132" s="3113">
        <v>0.1</v>
      </c>
      <c r="F132" s="3113">
        <v>15</v>
      </c>
    </row>
    <row r="133" spans="1:6" ht="13.5">
      <c r="A133" s="3113">
        <v>61</v>
      </c>
      <c r="B133" s="3816"/>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14" t="s">
        <v>2790</v>
      </c>
      <c r="C135" s="3113" t="s">
        <v>2791</v>
      </c>
      <c r="D135" s="3087" t="s">
        <v>2792</v>
      </c>
      <c r="E135" s="3113">
        <v>0.1</v>
      </c>
      <c r="F135" s="3113">
        <v>15</v>
      </c>
    </row>
    <row r="136" spans="1:6" ht="13.5">
      <c r="A136" s="3113">
        <v>64</v>
      </c>
      <c r="B136" s="381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37935</v>
      </c>
      <c r="C2" s="2" t="s">
        <v>106</v>
      </c>
      <c r="D2" s="199"/>
      <c r="E2" s="199"/>
      <c r="F2" s="199"/>
      <c r="G2" s="199"/>
    </row>
    <row r="3" spans="1:7" s="200" customFormat="1" ht="18" customHeight="1" thickBot="1">
      <c r="A3" s="203" t="s">
        <v>58</v>
      </c>
      <c r="B3" s="204">
        <f ca="1">ROUND(B2*10000/'数据-汇总表'!E3,0)</f>
        <v>8810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165</v>
      </c>
      <c r="D10" s="844">
        <f>'数据-汇总表'!E6</f>
        <v>8677.7000000000044</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861</v>
      </c>
      <c r="D19" s="848">
        <f>'数据-汇总表'!E3</f>
        <v>43061.14</v>
      </c>
      <c r="E19" s="211">
        <f>'数据-取费表'!B31</f>
        <v>200</v>
      </c>
      <c r="F19" s="231"/>
      <c r="G19" s="1" t="s">
        <v>436</v>
      </c>
    </row>
    <row r="20" spans="1:7" s="214" customFormat="1" ht="13.5" customHeight="1">
      <c r="A20" s="776" t="s">
        <v>419</v>
      </c>
      <c r="B20" s="210" t="s">
        <v>77</v>
      </c>
      <c r="C20" s="232">
        <f>ROUND((C5+C19)*F20,0)</f>
        <v>429</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733</v>
      </c>
      <c r="D22" s="235">
        <f ca="1">C26</f>
        <v>2.9999999999999997E-4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697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29</v>
      </c>
      <c r="D24" s="238"/>
      <c r="E24" s="238"/>
      <c r="F24" s="239"/>
      <c r="G24" s="240" t="s">
        <v>82</v>
      </c>
    </row>
    <row r="25" spans="1:7" s="214" customFormat="1" ht="24">
      <c r="A25" s="779" t="s">
        <v>348</v>
      </c>
      <c r="B25" s="215" t="s">
        <v>420</v>
      </c>
      <c r="C25" s="1103">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1395</v>
      </c>
      <c r="D27" s="235">
        <f>C29</f>
        <v>1.2999999999999999E-3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1395</v>
      </c>
      <c r="D28" s="235"/>
      <c r="E28" s="236"/>
      <c r="F28" s="246"/>
      <c r="G28" s="247"/>
    </row>
    <row r="29" spans="1:7" s="214" customFormat="1" ht="13.5" customHeight="1">
      <c r="A29" s="779" t="s">
        <v>347</v>
      </c>
      <c r="B29" s="248" t="s">
        <v>425</v>
      </c>
      <c r="C29" s="238">
        <f>ROUND(C21*F27*'数据-取费表'!B21/'数据-取费表'!B20,4)</f>
        <v>1.2999999999999999E-3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8185</v>
      </c>
      <c r="D34" s="217"/>
      <c r="E34" s="220"/>
      <c r="F34" s="257">
        <f>IF('数据-取费表'!B24=0,1,'数据-取费表'!N16)</f>
        <v>0.49</v>
      </c>
      <c r="G34" s="219" t="s">
        <v>89</v>
      </c>
    </row>
    <row r="35" spans="1:7" ht="13.5" customHeight="1">
      <c r="A35" s="779" t="s">
        <v>351</v>
      </c>
      <c r="B35" s="215" t="s">
        <v>33</v>
      </c>
      <c r="C35" s="220">
        <f>ROUND(C34*F35,0)</f>
        <v>409</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337</v>
      </c>
      <c r="D36" s="220"/>
      <c r="E36" s="220"/>
      <c r="F36" s="259">
        <f>'数据-取费表'!B34</f>
        <v>0.05</v>
      </c>
      <c r="G36" s="260" t="s">
        <v>35</v>
      </c>
    </row>
    <row r="37" spans="1:7" s="258" customFormat="1" ht="13.5" customHeight="1">
      <c r="A37" s="779" t="s">
        <v>353</v>
      </c>
      <c r="B37" s="215" t="s">
        <v>91</v>
      </c>
      <c r="C37" s="249">
        <f>ROUND(E37*D37*F34/10000,0)</f>
        <v>422</v>
      </c>
      <c r="D37" s="217">
        <f>'数据-汇总表'!E3</f>
        <v>43061.14</v>
      </c>
      <c r="E37" s="249">
        <f>'数据-取费表'!B35</f>
        <v>200</v>
      </c>
      <c r="F37" s="259"/>
      <c r="G37" s="261" t="s">
        <v>92</v>
      </c>
    </row>
    <row r="38" spans="1:7" ht="13.5" customHeight="1">
      <c r="A38" s="779" t="s">
        <v>354</v>
      </c>
      <c r="B38" s="215" t="s">
        <v>36</v>
      </c>
      <c r="C38" s="220">
        <f>ROUND(C34*F38,0)</f>
        <v>123</v>
      </c>
      <c r="D38" s="220"/>
      <c r="E38" s="220"/>
      <c r="F38" s="259">
        <f>'数据-取费表'!B36</f>
        <v>1.4999999999999999E-2</v>
      </c>
      <c r="G38" s="219" t="s">
        <v>90</v>
      </c>
    </row>
    <row r="39" spans="1:7" s="214" customFormat="1" ht="13.5" customHeight="1">
      <c r="A39" s="776" t="s">
        <v>338</v>
      </c>
      <c r="B39" s="210" t="s">
        <v>77</v>
      </c>
      <c r="C39" s="232">
        <f>ROUND(C33*F20,0)</f>
        <v>190</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162</v>
      </c>
      <c r="D41" s="235">
        <f ca="1">C44</f>
        <v>2.9999999999999997E-4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159</v>
      </c>
      <c r="D42" s="238"/>
      <c r="E42" s="238"/>
      <c r="F42" s="239"/>
      <c r="G42" s="3686" t="s">
        <v>94</v>
      </c>
    </row>
    <row r="43" spans="1:7" ht="13.5" customHeight="1">
      <c r="A43" s="779" t="s">
        <v>347</v>
      </c>
      <c r="B43" s="215" t="s">
        <v>426</v>
      </c>
      <c r="C43" s="238">
        <f ca="1">ROUND(IF('数据-取费表'!B22&lt;=1,C39*F22*'数据-取费表'!B21/2,C39*(POWER((1+F22),'数据-取费表'!B21/2)-1)),0)</f>
        <v>3</v>
      </c>
      <c r="D43" s="238"/>
      <c r="E43" s="238"/>
      <c r="F43" s="239"/>
      <c r="G43" s="3687"/>
    </row>
    <row r="44" spans="1:7" ht="13.5" customHeight="1">
      <c r="A44" s="779" t="s">
        <v>348</v>
      </c>
      <c r="B44" s="215" t="s">
        <v>428</v>
      </c>
      <c r="C44" s="238">
        <f ca="1">ROUND(IF('数据-取费表'!B22&lt;=1,C40*F22*'数据-取费表'!B21/2,C40*(POWER((1+F22),'数据-取费表'!B21/2)-1)),4)</f>
        <v>2.9999999999999997E-4</v>
      </c>
      <c r="D44" s="238"/>
      <c r="E44" s="238"/>
      <c r="F44" s="239"/>
      <c r="G44" s="3688"/>
    </row>
    <row r="45" spans="1:7" s="214" customFormat="1" ht="13.5" customHeight="1">
      <c r="A45" s="776" t="s">
        <v>341</v>
      </c>
      <c r="B45" s="244" t="s">
        <v>85</v>
      </c>
      <c r="C45" s="245">
        <f>C46</f>
        <v>1257</v>
      </c>
      <c r="D45" s="235">
        <f>C47</f>
        <v>2.5999999999999999E-3</v>
      </c>
      <c r="E45" s="236" t="s">
        <v>102</v>
      </c>
      <c r="F45" s="246"/>
      <c r="G45" s="247" t="s">
        <v>434</v>
      </c>
    </row>
    <row r="46" spans="1:7" s="214" customFormat="1" ht="13.5" customHeight="1">
      <c r="A46" s="779" t="s">
        <v>349</v>
      </c>
      <c r="B46" s="248" t="s">
        <v>427</v>
      </c>
      <c r="C46" s="249">
        <f>ROUND((C33+C39)*F27,0)</f>
        <v>1257</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11987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11987</v>
      </c>
      <c r="D51" s="232"/>
      <c r="E51" s="232"/>
      <c r="F51" s="264"/>
      <c r="G51" s="234" t="s">
        <v>37</v>
      </c>
    </row>
    <row r="52" spans="1:7" s="208" customFormat="1" ht="16.5" thickBot="1">
      <c r="A52" s="265" t="s">
        <v>38</v>
      </c>
      <c r="B52" s="266"/>
      <c r="C52" s="267">
        <f ca="1">C31+C51</f>
        <v>37935</v>
      </c>
      <c r="D52" s="266"/>
      <c r="E52" s="266"/>
      <c r="F52" s="266"/>
      <c r="G52" s="268"/>
    </row>
    <row r="55" spans="1:7" ht="15">
      <c r="B55" s="270" t="s">
        <v>39</v>
      </c>
      <c r="C55" s="271"/>
    </row>
    <row r="56" spans="1:7">
      <c r="B56" s="273" t="s">
        <v>40</v>
      </c>
      <c r="C56" s="274">
        <f ca="1">ROUND(C51/C52,3)</f>
        <v>0.316</v>
      </c>
    </row>
    <row r="57" spans="1:7">
      <c r="B57" s="273" t="s">
        <v>41</v>
      </c>
      <c r="C57" s="275">
        <f ca="1">1-C56</f>
        <v>0.68399999999999994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8" t="s">
        <v>2842</v>
      </c>
      <c r="B1" s="3828"/>
      <c r="C1" s="3828"/>
      <c r="D1" s="3828"/>
      <c r="E1" s="3828"/>
      <c r="F1" s="3828"/>
      <c r="G1" s="382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6"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0" t="s">
        <v>3184</v>
      </c>
      <c r="B1" s="3830"/>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3285"/>
  </cols>
  <sheetData>
    <row r="1" spans="1:6" ht="15">
      <c r="A1" s="3831" t="s">
        <v>3235</v>
      </c>
      <c r="B1" s="3831"/>
      <c r="C1" s="3831"/>
      <c r="D1" s="3831"/>
      <c r="E1" s="3831"/>
      <c r="F1" s="3832"/>
    </row>
    <row r="2" spans="1:6" ht="15">
      <c r="A2" s="3286" t="s">
        <v>3236</v>
      </c>
      <c r="B2" s="3287"/>
      <c r="C2" s="3287"/>
      <c r="D2" s="3287"/>
      <c r="E2" s="3287"/>
      <c r="F2" s="3287"/>
    </row>
    <row r="3" spans="1:6" ht="15">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3" t="s">
        <v>456</v>
      </c>
      <c r="S1" s="3834"/>
      <c r="T1" s="3834"/>
      <c r="U1" s="3834"/>
      <c r="V1" s="3834"/>
      <c r="W1" s="3834"/>
      <c r="X1" s="3160"/>
      <c r="Y1" s="3833" t="s">
        <v>457</v>
      </c>
      <c r="Z1" s="3834"/>
      <c r="AA1" s="3834"/>
      <c r="AB1" s="3834"/>
      <c r="AC1" s="3834"/>
      <c r="AD1" s="3834"/>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3" t="s">
        <v>2829</v>
      </c>
      <c r="S21" s="3834"/>
      <c r="T21" s="3834"/>
      <c r="U21" s="3834"/>
      <c r="V21" s="3834"/>
      <c r="W21" s="3834"/>
      <c r="X21" s="3160"/>
      <c r="Y21" s="3833" t="s">
        <v>2830</v>
      </c>
      <c r="Z21" s="3834"/>
      <c r="AA21" s="3834"/>
      <c r="AB21" s="3834"/>
      <c r="AC21" s="3834"/>
      <c r="AD21" s="383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4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926</v>
      </c>
      <c r="B2" s="3520" t="s">
        <v>927</v>
      </c>
      <c r="C2" s="3520" t="s">
        <v>928</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3" t="s">
        <v>923</v>
      </c>
      <c r="E3" s="853" t="s">
        <v>929</v>
      </c>
      <c r="F3" s="853" t="s">
        <v>923</v>
      </c>
      <c r="G3" s="853" t="s">
        <v>924</v>
      </c>
      <c r="H3" s="853" t="s">
        <v>923</v>
      </c>
      <c r="I3" s="853" t="s">
        <v>924</v>
      </c>
    </row>
    <row r="4" spans="1:9" ht="15">
      <c r="A4" s="1502" t="str">
        <f>项目基本情况!S2</f>
        <v>北京市房地产</v>
      </c>
      <c r="B4" s="853">
        <f>项目基本情况!C17</f>
        <v>43061.14</v>
      </c>
      <c r="C4" s="853">
        <f>项目基本情况!C18</f>
        <v>17150.68</v>
      </c>
      <c r="D4" s="853">
        <f ca="1">结果表!D118</f>
        <v>83325</v>
      </c>
      <c r="E4" s="853">
        <f ca="1">结果表!E118</f>
        <v>19350</v>
      </c>
      <c r="F4" s="853">
        <f ca="1">结果表!F118</f>
        <v>11578</v>
      </c>
      <c r="G4" s="853">
        <f ca="1">结果表!G118</f>
        <v>2689</v>
      </c>
      <c r="H4" s="853">
        <f ca="1">结果表!H118</f>
        <v>94903</v>
      </c>
      <c r="I4" s="853">
        <f ca="1">结果表!I118</f>
        <v>22039</v>
      </c>
    </row>
    <row r="5" spans="1:9" ht="30" customHeight="1">
      <c r="A5" s="3515" t="s">
        <v>925</v>
      </c>
      <c r="B5" s="3515"/>
      <c r="C5" s="3515"/>
      <c r="D5" s="3515" t="str">
        <f ca="1">结果表!D119</f>
        <v>捌亿叁仟叁佰贰拾伍万元整</v>
      </c>
      <c r="E5" s="3515"/>
      <c r="F5" s="3515" t="str">
        <f ca="1">结果表!F119</f>
        <v>壹亿壹仟伍佰柒拾捌万元整</v>
      </c>
      <c r="G5" s="3515"/>
      <c r="H5" s="3515" t="str">
        <f ca="1">结果表!H119</f>
        <v>玖亿肆仟玖佰零叁万元整</v>
      </c>
      <c r="I5" s="3515"/>
    </row>
    <row r="6" spans="1:9" ht="15.75">
      <c r="A6" s="3514" t="str">
        <f>结果表!A120</f>
        <v>估价师知悉的法定优先受偿款</v>
      </c>
      <c r="B6" s="3514"/>
      <c r="C6" s="3514"/>
      <c r="D6" s="3514">
        <f>结果表!D120</f>
        <v>643</v>
      </c>
      <c r="E6" s="3514"/>
      <c r="F6" s="3514"/>
      <c r="G6" s="3514"/>
      <c r="H6" s="3514"/>
      <c r="I6" s="3514"/>
    </row>
    <row r="7" spans="1:9" ht="15">
      <c r="A7" s="3515" t="s">
        <v>925</v>
      </c>
      <c r="B7" s="3515"/>
      <c r="C7" s="3515"/>
      <c r="D7" s="3516" t="str">
        <f>结果表!D121</f>
        <v>陆佰肆拾叁万元整</v>
      </c>
      <c r="E7" s="3517"/>
      <c r="F7" s="3517"/>
      <c r="G7" s="3517"/>
      <c r="H7" s="3517"/>
      <c r="I7" s="3518"/>
    </row>
    <row r="8" spans="1:9" ht="15.75">
      <c r="A8" s="3514" t="str">
        <f>结果表!A122</f>
        <v>房地产抵押价值</v>
      </c>
      <c r="B8" s="3514"/>
      <c r="C8" s="3514"/>
      <c r="D8" s="3514">
        <f ca="1">结果表!D122</f>
        <v>94260</v>
      </c>
      <c r="E8" s="3514"/>
      <c r="F8" s="3514"/>
      <c r="G8" s="3514"/>
      <c r="H8" s="3514"/>
      <c r="I8" s="3514"/>
    </row>
    <row r="9" spans="1:9" ht="15">
      <c r="A9" s="3515" t="s">
        <v>925</v>
      </c>
      <c r="B9" s="3515"/>
      <c r="C9" s="3515"/>
      <c r="D9" s="3515" t="str">
        <f ca="1">结果表!D123</f>
        <v>玖亿肆仟贰佰陆拾万元整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925</v>
      </c>
      <c r="B11" s="3515"/>
      <c r="C11" s="3515"/>
      <c r="D11" s="3515" t="e">
        <f>结果表!D125</f>
        <v>#VALUE!</v>
      </c>
      <c r="E11" s="3515"/>
      <c r="F11" s="3515"/>
      <c r="G11" s="3515"/>
      <c r="H11" s="3515"/>
      <c r="I11" s="3515"/>
    </row>
    <row r="12" spans="1:9" ht="15.75">
      <c r="A12" s="3514" t="str">
        <f>结果表!A126</f>
        <v>抵押净值</v>
      </c>
      <c r="B12" s="3514"/>
      <c r="C12" s="3514"/>
      <c r="D12" s="3514">
        <f ca="1">结果表!D126</f>
        <v>89276</v>
      </c>
      <c r="E12" s="3514"/>
      <c r="F12" s="3514"/>
      <c r="G12" s="3514"/>
      <c r="H12" s="3514"/>
      <c r="I12" s="3514"/>
    </row>
    <row r="13" spans="1:9" ht="15.75" thickBot="1">
      <c r="A13" s="3512" t="s">
        <v>925</v>
      </c>
      <c r="B13" s="3512"/>
      <c r="C13" s="3512"/>
      <c r="D13" s="3512" t="str">
        <f ca="1">结果表!D127</f>
        <v>捌亿玖仟贰佰柒拾陆万元整</v>
      </c>
      <c r="E13" s="3512"/>
      <c r="F13" s="3512"/>
      <c r="G13" s="3512"/>
      <c r="H13" s="3512"/>
      <c r="I13" s="3512"/>
    </row>
    <row r="14" spans="1:9" ht="15" thickTop="1">
      <c r="A14" s="3513" t="s">
        <v>930</v>
      </c>
      <c r="B14" s="3513"/>
      <c r="C14" s="3513"/>
      <c r="D14" s="3513"/>
      <c r="E14" s="3513"/>
      <c r="F14" s="3513"/>
      <c r="G14" s="3513"/>
      <c r="H14" s="3513"/>
      <c r="I14" s="3513"/>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8" t="s">
        <v>2082</v>
      </c>
      <c r="D1" s="3749"/>
      <c r="E1" s="3749"/>
      <c r="F1" s="3749"/>
      <c r="G1" s="3749"/>
      <c r="H1" s="3749"/>
      <c r="I1" s="3749"/>
      <c r="J1" s="3749"/>
      <c r="K1" s="3749"/>
      <c r="L1" s="3749"/>
      <c r="M1" s="3749"/>
      <c r="N1" s="3749"/>
      <c r="O1" s="3749"/>
      <c r="P1" s="3749"/>
      <c r="Q1" s="3749"/>
      <c r="R1" s="3749"/>
      <c r="S1" s="3750"/>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1" t="s">
        <v>27</v>
      </c>
      <c r="D22" s="3752"/>
      <c r="E22" s="3752"/>
      <c r="F22" s="3752"/>
      <c r="G22" s="3752"/>
      <c r="H22" s="3752"/>
      <c r="I22" s="3752"/>
      <c r="J22" s="3752"/>
      <c r="K22" s="3752"/>
      <c r="L22" s="3752"/>
      <c r="M22" s="3752"/>
      <c r="N22" s="3752"/>
      <c r="O22" s="3752"/>
      <c r="P22" s="3752"/>
      <c r="Q22" s="3753"/>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1355</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7" t="s">
        <v>947</v>
      </c>
      <c r="B1" s="3527"/>
      <c r="C1" s="3527"/>
      <c r="D1" s="3527"/>
    </row>
    <row r="2" spans="1:4" ht="18">
      <c r="A2" s="3528" t="s">
        <v>931</v>
      </c>
      <c r="B2" s="3528"/>
      <c r="C2" s="3528"/>
      <c r="D2" s="3528"/>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8" t="s">
        <v>937</v>
      </c>
      <c r="B6" s="3528"/>
      <c r="C6" s="3528"/>
      <c r="D6" s="3528"/>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9" t="s">
        <v>940</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941</v>
      </c>
      <c r="B16" s="3523"/>
      <c r="C16" s="3523"/>
      <c r="D16" s="3523"/>
    </row>
    <row r="17" spans="1:4" ht="144" customHeight="1">
      <c r="A17" s="3523" t="s">
        <v>942</v>
      </c>
      <c r="B17" s="3523"/>
      <c r="C17" s="3523"/>
      <c r="D17" s="3523"/>
    </row>
    <row r="18" spans="1:4" ht="15.75" customHeight="1">
      <c r="A18" s="3521" t="str">
        <f>IF(项目基本情况!B8="抵押",结果表!K120,"——")</f>
        <v>故，本次评估估价师知悉的法定优先受偿款为人民币643万元整。</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943</v>
      </c>
      <c r="B22" s="3525"/>
      <c r="C22" s="3525"/>
      <c r="D22" s="3525"/>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5" t="s">
        <v>954</v>
      </c>
      <c r="B15" s="3530" t="s">
        <v>109</v>
      </c>
      <c r="C15" s="3531"/>
    </row>
    <row r="16" spans="1:7" ht="13.5">
      <c r="A16" s="3536"/>
      <c r="B16" s="3530" t="s">
        <v>42</v>
      </c>
      <c r="C16" s="3531"/>
    </row>
    <row r="17" spans="1:3" ht="13.5">
      <c r="A17" s="3536"/>
      <c r="B17" s="3533" t="s">
        <v>955</v>
      </c>
      <c r="C17" s="1529" t="s">
        <v>954</v>
      </c>
    </row>
    <row r="18" spans="1:3" ht="13.5">
      <c r="A18" s="3536"/>
      <c r="B18" s="3533"/>
      <c r="C18" s="1529" t="s">
        <v>956</v>
      </c>
    </row>
    <row r="19" spans="1:3" ht="13.5">
      <c r="A19" s="3536"/>
      <c r="B19" s="3533"/>
      <c r="C19" s="1529" t="s">
        <v>957</v>
      </c>
    </row>
    <row r="20" spans="1:3" ht="13.5">
      <c r="A20" s="3537"/>
      <c r="B20" s="3532" t="s">
        <v>958</v>
      </c>
      <c r="C20" s="3531"/>
    </row>
    <row r="21" spans="1:3" ht="13.5">
      <c r="A21" s="1530" t="s">
        <v>959</v>
      </c>
      <c r="B21" s="1531"/>
      <c r="C21" s="1532"/>
    </row>
    <row r="22" spans="1:3" ht="13.5">
      <c r="A22" s="3534" t="s">
        <v>960</v>
      </c>
      <c r="B22" s="3532" t="s">
        <v>961</v>
      </c>
      <c r="C22" s="3531"/>
    </row>
    <row r="23" spans="1:3" ht="13.5">
      <c r="A23" s="3534"/>
      <c r="B23" s="3532" t="s">
        <v>962</v>
      </c>
      <c r="C23" s="3531"/>
    </row>
    <row r="24" spans="1:3" ht="13.5">
      <c r="A24" s="3534"/>
      <c r="B24" s="3532" t="s">
        <v>963</v>
      </c>
      <c r="C24" s="3531"/>
    </row>
    <row r="25" spans="1:3" ht="13.5">
      <c r="A25" s="3534"/>
      <c r="B25" s="3533" t="s">
        <v>964</v>
      </c>
      <c r="C25" s="1529" t="s">
        <v>965</v>
      </c>
    </row>
    <row r="26" spans="1:3" ht="13.5">
      <c r="A26" s="3534"/>
      <c r="B26" s="3533"/>
      <c r="C26" s="1529" t="s">
        <v>966</v>
      </c>
    </row>
    <row r="27" spans="1:3" ht="13.5">
      <c r="A27" s="3534"/>
      <c r="B27" s="3533"/>
      <c r="C27" s="1529" t="s">
        <v>967</v>
      </c>
    </row>
    <row r="28" spans="1:3" ht="13.5">
      <c r="A28" s="3534"/>
      <c r="B28" s="3533"/>
      <c r="C28" s="1529" t="s">
        <v>968</v>
      </c>
    </row>
    <row r="29" spans="1:3" ht="13.5">
      <c r="A29" s="3534"/>
      <c r="B29" s="3533"/>
      <c r="C29" s="1529" t="s">
        <v>969</v>
      </c>
    </row>
    <row r="30" spans="1:3" ht="13.5">
      <c r="A30" s="3534"/>
      <c r="B30" s="3533"/>
      <c r="C30" s="1529" t="s">
        <v>970</v>
      </c>
    </row>
    <row r="31" spans="1:3" ht="13.5">
      <c r="A31" s="3534"/>
      <c r="B31" s="3533"/>
      <c r="C31" s="1529" t="s">
        <v>971</v>
      </c>
    </row>
    <row r="32" spans="1:3" ht="13.5">
      <c r="A32" s="3534"/>
      <c r="B32" s="3533"/>
      <c r="C32" s="1529" t="s">
        <v>972</v>
      </c>
    </row>
    <row r="33" spans="1:3" ht="13.5">
      <c r="A33" s="3534"/>
      <c r="B33" s="3533"/>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45246</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8" t="s">
        <v>2157</v>
      </c>
      <c r="B17" s="3538"/>
      <c r="C17" s="3538"/>
      <c r="D17" s="3538"/>
      <c r="E17" s="3538"/>
      <c r="F17" s="3538"/>
      <c r="G17" s="3538"/>
      <c r="H17" s="3538"/>
    </row>
    <row r="18" spans="1:8" ht="24" customHeight="1">
      <c r="A18" s="3539" t="s">
        <v>2158</v>
      </c>
      <c r="B18" s="3539"/>
      <c r="C18" s="3539"/>
      <c r="D18" s="2338"/>
      <c r="E18" s="3540" t="s">
        <v>2159</v>
      </c>
      <c r="F18" s="3539"/>
      <c r="G18" s="3539"/>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2023-11-16T03:11:40Z</dcterms:modified>
</cp:coreProperties>
</file>