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60" windowWidth="11160" windowHeight="948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2" i="43" l="1"/>
  <c r="G53" i="43"/>
  <c r="G54" i="43"/>
  <c r="G55" i="43"/>
  <c r="G56" i="43"/>
  <c r="G57" i="43"/>
  <c r="G58" i="43"/>
  <c r="G59" i="43"/>
  <c r="G51" i="43"/>
  <c r="U4" i="43"/>
  <c r="U3" i="43"/>
  <c r="U2" i="43"/>
  <c r="I24" i="43"/>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S4" i="43"/>
  <c r="S2" i="43"/>
  <c r="S5" i="43"/>
  <c r="S3" i="43"/>
  <c r="F26" i="43"/>
  <c r="H26" i="43"/>
  <c r="C27"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101"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6" i="43"/>
  <c r="O36" i="43"/>
  <c r="P36" i="43"/>
  <c r="Q36" i="43"/>
  <c r="M36" i="43"/>
  <c r="O37" i="43"/>
  <c r="P37" i="43"/>
  <c r="G14" i="73"/>
  <c r="F14" i="73"/>
  <c r="E14" i="73"/>
  <c r="G13" i="73"/>
  <c r="F13" i="73"/>
  <c r="E13" i="73"/>
  <c r="R9" i="71"/>
  <c r="Q9" i="71"/>
  <c r="P9" i="71"/>
  <c r="O9" i="71"/>
  <c r="R43"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R11" i="77"/>
  <c r="D11" i="77"/>
  <c r="R10" i="77"/>
  <c r="D10" i="77"/>
  <c r="R9" i="77"/>
  <c r="D9" i="77"/>
  <c r="R8" i="77"/>
  <c r="R7" i="77"/>
  <c r="R4" i="77"/>
  <c r="R3" i="77"/>
  <c r="C29"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F48"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B19" i="72" s="1"/>
  <c r="K59" i="67"/>
  <c r="P61" i="67"/>
  <c r="K59" i="15"/>
  <c r="P74" i="15"/>
  <c r="P61" i="15"/>
  <c r="P74" i="67"/>
  <c r="D116" i="39"/>
  <c r="E116" i="39"/>
  <c r="F116" i="39"/>
  <c r="G116" i="39"/>
  <c r="H116" i="39"/>
  <c r="I116" i="39"/>
  <c r="J116" i="39"/>
  <c r="K116" i="39"/>
  <c r="L116" i="39"/>
  <c r="M116" i="39"/>
  <c r="C116" i="39"/>
  <c r="A21" i="62"/>
  <c r="B67" i="72" s="1"/>
  <c r="A20" i="62"/>
  <c r="A22" i="51"/>
  <c r="B17" i="72" s="1"/>
  <c r="A21" i="51"/>
  <c r="A20" i="51"/>
  <c r="B15" i="72" s="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c r="B54" i="72" s="1"/>
  <c r="E111" i="9"/>
  <c r="A126" i="9"/>
  <c r="A12" i="52" s="1"/>
  <c r="B56" i="72" s="1"/>
  <c r="E109" i="9"/>
  <c r="A124" i="9"/>
  <c r="B44" i="72"/>
  <c r="B42" i="72"/>
  <c r="B69" i="72"/>
  <c r="B68" i="72"/>
  <c r="B63" i="72"/>
  <c r="B62" i="72"/>
  <c r="B16" i="72"/>
  <c r="B60" i="72"/>
  <c r="B66" i="72"/>
  <c r="B10" i="72"/>
  <c r="C53" i="10"/>
  <c r="B51" i="10"/>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R29" i="71"/>
  <c r="G29" i="71" s="1"/>
  <c r="G28" i="71" s="1"/>
  <c r="G27" i="71" s="1"/>
  <c r="U69" i="71"/>
  <c r="D69" i="71"/>
  <c r="R69" i="71"/>
  <c r="C76" i="71"/>
  <c r="D76" i="71" s="1"/>
  <c r="D77" i="71"/>
  <c r="C80" i="71"/>
  <c r="D80" i="71" s="1"/>
  <c r="F80" i="71"/>
  <c r="F79" i="71" s="1"/>
  <c r="C88" i="7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H19" i="21"/>
  <c r="D83" i="21"/>
  <c r="F21" i="21"/>
  <c r="AA21" i="21" s="1"/>
  <c r="D81" i="21"/>
  <c r="G20" i="20"/>
  <c r="B89" i="43"/>
  <c r="C22" i="20"/>
  <c r="B78" i="43"/>
  <c r="B58" i="43"/>
  <c r="B69"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E83" i="21"/>
  <c r="S21" i="21"/>
  <c r="H1" i="69"/>
  <c r="AC25" i="40"/>
  <c r="W25" i="40"/>
  <c r="AB25" i="40"/>
  <c r="U25" i="40"/>
  <c r="AB29" i="39"/>
  <c r="U29" i="39"/>
  <c r="AC29" i="39"/>
  <c r="W29" i="39"/>
  <c r="AC18" i="36"/>
  <c r="W18" i="36"/>
  <c r="AB21" i="37"/>
  <c r="AA21" i="37"/>
  <c r="S21" i="37"/>
  <c r="AB21" i="34"/>
  <c r="U21" i="34"/>
  <c r="U21" i="33"/>
  <c r="AB21" i="33"/>
  <c r="AB18" i="35"/>
  <c r="U18" i="35"/>
  <c r="AC18" i="35"/>
  <c r="J21" i="37"/>
  <c r="J21" i="34"/>
  <c r="J21" i="33"/>
  <c r="F83" i="21"/>
  <c r="H21" i="21"/>
  <c r="F38" i="69"/>
  <c r="E37" i="69"/>
  <c r="F36" i="69"/>
  <c r="F35" i="69"/>
  <c r="F21" i="69"/>
  <c r="C21" i="69" s="1"/>
  <c r="F20" i="69"/>
  <c r="F39" i="69" s="1"/>
  <c r="E10" i="69"/>
  <c r="E9" i="69"/>
  <c r="AC21" i="37"/>
  <c r="W21" i="37"/>
  <c r="AC21" i="34"/>
  <c r="W21" i="34"/>
  <c r="AC21" i="33"/>
  <c r="W21" i="33"/>
  <c r="AB21" i="21"/>
  <c r="U21" i="21"/>
  <c r="G83" i="21"/>
  <c r="J21" i="21"/>
  <c r="C40" i="69"/>
  <c r="F38" i="68"/>
  <c r="E37" i="68"/>
  <c r="F36" i="68"/>
  <c r="F35" i="68"/>
  <c r="F21" i="68"/>
  <c r="F40" i="68" s="1"/>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c r="H8" i="31" s="1"/>
  <c r="I8" i="31" s="1"/>
  <c r="J8" i="31" s="1"/>
  <c r="K8" i="31"/>
  <c r="L8" i="31" s="1"/>
  <c r="M8" i="31" s="1"/>
  <c r="N8" i="31" s="1"/>
  <c r="O8" i="31" s="1"/>
  <c r="P8" i="31" s="1"/>
  <c r="Q8" i="31" s="1"/>
  <c r="R8" i="31" s="1"/>
  <c r="S8" i="3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A11" i="1"/>
  <c r="A12" i="1"/>
  <c r="R12" i="1" s="1"/>
  <c r="A13" i="1"/>
  <c r="A6" i="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AZ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AZ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AZ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A203" i="3" s="1"/>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L188" i="3" s="1"/>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AZ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AZ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G125" i="3" s="1"/>
  <c r="H125" i="3"/>
  <c r="BT124" i="3"/>
  <c r="BS124" i="3"/>
  <c r="BR124" i="3"/>
  <c r="BQ124" i="3"/>
  <c r="BP124" i="3"/>
  <c r="BO124" i="3"/>
  <c r="BN124" i="3"/>
  <c r="BL124" i="3" s="1"/>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AZ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s="1"/>
  <c r="AZ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s="1"/>
  <c r="AZ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AZ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J5" i="3" s="1"/>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BT388" i="3"/>
  <c r="BS388" i="3"/>
  <c r="BR388" i="3"/>
  <c r="BQ388" i="3"/>
  <c r="BP388" i="3"/>
  <c r="BO388" i="3"/>
  <c r="BN388" i="3"/>
  <c r="BL388" i="3" s="1"/>
  <c r="BM388" i="3"/>
  <c r="BK388" i="3"/>
  <c r="BJ388" i="3"/>
  <c r="BI388" i="3"/>
  <c r="BH388" i="3"/>
  <c r="BG388" i="3"/>
  <c r="BF388" i="3"/>
  <c r="BE388" i="3"/>
  <c r="BD388" i="3"/>
  <c r="BC388" i="3"/>
  <c r="BB388" i="3"/>
  <c r="BA388" i="3"/>
  <c r="AZ388" i="3" s="1"/>
  <c r="AX388" i="3"/>
  <c r="AW388" i="3"/>
  <c r="AV388" i="3"/>
  <c r="AC388" i="3"/>
  <c r="G388" i="3" s="1"/>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A379" i="3" s="1"/>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G377" i="3" s="1"/>
  <c r="H377" i="3"/>
  <c r="BT376" i="3"/>
  <c r="BS376" i="3"/>
  <c r="BR376" i="3"/>
  <c r="BQ376" i="3"/>
  <c r="BP376" i="3"/>
  <c r="BO376" i="3"/>
  <c r="BN376" i="3"/>
  <c r="BM376" i="3"/>
  <c r="BK376" i="3"/>
  <c r="BJ376" i="3"/>
  <c r="BI376" i="3"/>
  <c r="BH376" i="3"/>
  <c r="BG376" i="3"/>
  <c r="BF376" i="3"/>
  <c r="BE376" i="3"/>
  <c r="BD376" i="3"/>
  <c r="BC376" i="3"/>
  <c r="BA376" i="3" s="1"/>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AZ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L358" i="3" s="1"/>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L352" i="3" s="1"/>
  <c r="BM352" i="3"/>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A343" i="3" s="1"/>
  <c r="AZ343" i="3" s="1"/>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X312" i="3"/>
  <c r="AW312" i="3"/>
  <c r="AV312" i="3"/>
  <c r="AC312" i="3"/>
  <c r="G312" i="3" s="1"/>
  <c r="H312" i="3"/>
  <c r="BT311" i="3"/>
  <c r="BS311" i="3"/>
  <c r="BR311" i="3"/>
  <c r="BQ311" i="3"/>
  <c r="BP311" i="3"/>
  <c r="BO311" i="3"/>
  <c r="BN311" i="3"/>
  <c r="BL311" i="3" s="1"/>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AZ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AZ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S258" i="31" s="1"/>
  <c r="R259" i="31"/>
  <c r="S259" i="31"/>
  <c r="R260" i="31"/>
  <c r="R261" i="31"/>
  <c r="S261" i="31" s="1"/>
  <c r="R262" i="31"/>
  <c r="R263" i="31"/>
  <c r="S263" i="31"/>
  <c r="R264" i="31"/>
  <c r="R265" i="31"/>
  <c r="S265" i="31" s="1"/>
  <c r="R266" i="31"/>
  <c r="S266" i="31" s="1"/>
  <c r="R267" i="31"/>
  <c r="S267" i="31"/>
  <c r="R268" i="31"/>
  <c r="R269" i="31"/>
  <c r="S269" i="31" s="1"/>
  <c r="R270" i="31"/>
  <c r="R271" i="31"/>
  <c r="S271" i="31"/>
  <c r="R272" i="31"/>
  <c r="R273" i="31"/>
  <c r="S273" i="31" s="1"/>
  <c r="R274" i="31"/>
  <c r="S274" i="31" s="1"/>
  <c r="R275" i="31"/>
  <c r="S275" i="31"/>
  <c r="R276" i="31"/>
  <c r="R277" i="31"/>
  <c r="S277" i="31" s="1"/>
  <c r="R278" i="31"/>
  <c r="R279" i="31"/>
  <c r="S279" i="31"/>
  <c r="R280" i="31"/>
  <c r="R281" i="31"/>
  <c r="S281" i="31" s="1"/>
  <c r="R282" i="31"/>
  <c r="S282" i="31" s="1"/>
  <c r="R283" i="31"/>
  <c r="S283" i="31"/>
  <c r="R284" i="31"/>
  <c r="R285" i="31"/>
  <c r="S285" i="31" s="1"/>
  <c r="R286" i="31"/>
  <c r="R287" i="31"/>
  <c r="S287" i="31"/>
  <c r="R288" i="31"/>
  <c r="R289" i="31"/>
  <c r="S289" i="31" s="1"/>
  <c r="R290" i="31"/>
  <c r="S290" i="31" s="1"/>
  <c r="R291" i="31"/>
  <c r="S291" i="31"/>
  <c r="R292" i="31"/>
  <c r="R293" i="31"/>
  <c r="S293" i="31" s="1"/>
  <c r="R294" i="31"/>
  <c r="R295" i="31"/>
  <c r="S295" i="31"/>
  <c r="R296" i="31"/>
  <c r="R297" i="31"/>
  <c r="S297" i="31" s="1"/>
  <c r="R298" i="31"/>
  <c r="S298" i="31" s="1"/>
  <c r="R299" i="31"/>
  <c r="S299" i="31"/>
  <c r="R300" i="31"/>
  <c r="R301" i="31"/>
  <c r="S301" i="31" s="1"/>
  <c r="R302" i="31"/>
  <c r="R303" i="31"/>
  <c r="S303" i="31"/>
  <c r="R304" i="31"/>
  <c r="R305" i="31"/>
  <c r="S305" i="31" s="1"/>
  <c r="R306" i="31"/>
  <c r="S306" i="31" s="1"/>
  <c r="R307" i="31"/>
  <c r="S307" i="31"/>
  <c r="R308" i="31"/>
  <c r="R309" i="31"/>
  <c r="S309" i="31" s="1"/>
  <c r="R310" i="31"/>
  <c r="R311" i="31"/>
  <c r="S311" i="31"/>
  <c r="R312" i="31"/>
  <c r="R313" i="31"/>
  <c r="S313" i="31" s="1"/>
  <c r="R314" i="31"/>
  <c r="S314" i="31" s="1"/>
  <c r="R315" i="31"/>
  <c r="S315" i="31"/>
  <c r="R316" i="31"/>
  <c r="R317" i="31"/>
  <c r="S317" i="31" s="1"/>
  <c r="R318" i="31"/>
  <c r="R319" i="31"/>
  <c r="S319" i="31"/>
  <c r="R320" i="31"/>
  <c r="R321" i="31"/>
  <c r="S321" i="31" s="1"/>
  <c r="R322" i="31"/>
  <c r="S322" i="31" s="1"/>
  <c r="R323" i="31"/>
  <c r="S323" i="31"/>
  <c r="R324" i="31"/>
  <c r="R325" i="31"/>
  <c r="S325" i="31" s="1"/>
  <c r="R326" i="31"/>
  <c r="S326" i="31" s="1"/>
  <c r="R327" i="31"/>
  <c r="S327" i="31"/>
  <c r="R328" i="31"/>
  <c r="R329" i="31"/>
  <c r="S329" i="31" s="1"/>
  <c r="R330" i="31"/>
  <c r="S330" i="31" s="1"/>
  <c r="R331" i="31"/>
  <c r="S331" i="31"/>
  <c r="R332" i="31"/>
  <c r="R333" i="31"/>
  <c r="S333" i="31" s="1"/>
  <c r="R334" i="31"/>
  <c r="S334" i="31" s="1"/>
  <c r="R335" i="31"/>
  <c r="S335" i="31"/>
  <c r="R336" i="31"/>
  <c r="R337" i="31"/>
  <c r="S337" i="31" s="1"/>
  <c r="R338" i="31"/>
  <c r="S338" i="31" s="1"/>
  <c r="R339" i="31"/>
  <c r="S339" i="31"/>
  <c r="R340" i="31"/>
  <c r="R341" i="31"/>
  <c r="S341" i="31" s="1"/>
  <c r="R342" i="31"/>
  <c r="S342" i="31" s="1"/>
  <c r="R343" i="31"/>
  <c r="S343" i="31"/>
  <c r="R344" i="31"/>
  <c r="R345" i="31"/>
  <c r="S345" i="31" s="1"/>
  <c r="R346" i="31"/>
  <c r="S346" i="31" s="1"/>
  <c r="R347" i="31"/>
  <c r="S347" i="31"/>
  <c r="R348" i="31"/>
  <c r="R349" i="31"/>
  <c r="S349" i="31" s="1"/>
  <c r="R350" i="31"/>
  <c r="S350" i="31" s="1"/>
  <c r="R351" i="31"/>
  <c r="S351" i="31"/>
  <c r="R352" i="31"/>
  <c r="R353" i="31"/>
  <c r="S353" i="31" s="1"/>
  <c r="R354" i="31"/>
  <c r="S354" i="31" s="1"/>
  <c r="R355" i="31"/>
  <c r="S355" i="31"/>
  <c r="R356" i="31"/>
  <c r="R357" i="31"/>
  <c r="S357" i="31" s="1"/>
  <c r="R358" i="31"/>
  <c r="S358" i="31" s="1"/>
  <c r="R359" i="31"/>
  <c r="S359" i="31"/>
  <c r="R360" i="31"/>
  <c r="R361" i="31"/>
  <c r="S361" i="31" s="1"/>
  <c r="R362" i="31"/>
  <c r="S362" i="31" s="1"/>
  <c r="R363" i="31"/>
  <c r="S363" i="31"/>
  <c r="R364" i="31"/>
  <c r="R365" i="31"/>
  <c r="S365" i="31" s="1"/>
  <c r="R366" i="31"/>
  <c r="S366" i="31" s="1"/>
  <c r="R367" i="31"/>
  <c r="S367" i="31"/>
  <c r="R368" i="31"/>
  <c r="R369" i="31"/>
  <c r="S369" i="31" s="1"/>
  <c r="R370" i="31"/>
  <c r="S370" i="31" s="1"/>
  <c r="R371" i="31"/>
  <c r="S371" i="31"/>
  <c r="R372" i="31"/>
  <c r="R373" i="31"/>
  <c r="S373" i="31" s="1"/>
  <c r="R374" i="31"/>
  <c r="S374" i="31" s="1"/>
  <c r="R375" i="31"/>
  <c r="S375" i="31"/>
  <c r="R376" i="31"/>
  <c r="R377" i="31"/>
  <c r="S377" i="31" s="1"/>
  <c r="R378" i="31"/>
  <c r="S378" i="31" s="1"/>
  <c r="R379" i="31"/>
  <c r="S379" i="31"/>
  <c r="R380" i="31"/>
  <c r="R381" i="31"/>
  <c r="S381" i="31" s="1"/>
  <c r="R382" i="31"/>
  <c r="S382" i="31" s="1"/>
  <c r="R383" i="31"/>
  <c r="S383" i="31"/>
  <c r="R384" i="31"/>
  <c r="R385" i="31"/>
  <c r="S385" i="31" s="1"/>
  <c r="R386" i="31"/>
  <c r="S386" i="31" s="1"/>
  <c r="R387" i="31"/>
  <c r="S387" i="31"/>
  <c r="R388" i="31"/>
  <c r="R389" i="31"/>
  <c r="S389" i="31" s="1"/>
  <c r="R390" i="31"/>
  <c r="S390" i="31" s="1"/>
  <c r="R391" i="31"/>
  <c r="S391" i="31"/>
  <c r="R392" i="31"/>
  <c r="R393" i="31"/>
  <c r="S393" i="31" s="1"/>
  <c r="R394" i="31"/>
  <c r="S394" i="31" s="1"/>
  <c r="R395" i="31"/>
  <c r="S395" i="31"/>
  <c r="R396" i="31"/>
  <c r="R397" i="31"/>
  <c r="S397" i="31" s="1"/>
  <c r="R398" i="31"/>
  <c r="S398" i="31" s="1"/>
  <c r="R399" i="31"/>
  <c r="S399" i="31"/>
  <c r="R400" i="31"/>
  <c r="R401" i="31"/>
  <c r="S401" i="31" s="1"/>
  <c r="R402" i="31"/>
  <c r="S402" i="31" s="1"/>
  <c r="R403" i="31"/>
  <c r="S403" i="31"/>
  <c r="R404" i="31"/>
  <c r="R405" i="31"/>
  <c r="S405" i="31" s="1"/>
  <c r="R406" i="31"/>
  <c r="S406" i="31" s="1"/>
  <c r="R407" i="31"/>
  <c r="S407" i="31"/>
  <c r="R408" i="31"/>
  <c r="R409" i="31"/>
  <c r="S409" i="31" s="1"/>
  <c r="R410" i="31"/>
  <c r="S410" i="31" s="1"/>
  <c r="R411" i="31"/>
  <c r="S411" i="31"/>
  <c r="R412" i="31"/>
  <c r="R413" i="31"/>
  <c r="S413" i="31" s="1"/>
  <c r="R414" i="31"/>
  <c r="S414" i="31" s="1"/>
  <c r="R415" i="31"/>
  <c r="S415" i="31"/>
  <c r="R416" i="31"/>
  <c r="R417" i="31"/>
  <c r="S417" i="31" s="1"/>
  <c r="R418" i="31"/>
  <c r="S418" i="31" s="1"/>
  <c r="R419" i="31"/>
  <c r="S419" i="31"/>
  <c r="R420" i="31"/>
  <c r="R421" i="31"/>
  <c r="S421" i="31" s="1"/>
  <c r="R422" i="31"/>
  <c r="S422" i="31" s="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A3" i="51"/>
  <c r="C8" i="11"/>
  <c r="B40" i="48"/>
  <c r="B3" i="72"/>
  <c r="N1" i="43"/>
  <c r="F35" i="4"/>
  <c r="J55" i="39" s="1"/>
  <c r="H38" i="43"/>
  <c r="H39" i="43"/>
  <c r="H40" i="43"/>
  <c r="H41" i="43"/>
  <c r="H42" i="43"/>
  <c r="H37" i="43"/>
  <c r="J24" i="43"/>
  <c r="C22" i="43"/>
  <c r="C13" i="43"/>
  <c r="C10" i="43"/>
  <c r="C11" i="43" s="1"/>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L15" i="3" s="1"/>
  <c r="BN16" i="3"/>
  <c r="BN17" i="3"/>
  <c r="BP13" i="3"/>
  <c r="BP14" i="3"/>
  <c r="BP15" i="3"/>
  <c r="BP16" i="3"/>
  <c r="BP17" i="3"/>
  <c r="E19" i="6"/>
  <c r="E20" i="6"/>
  <c r="E21" i="6"/>
  <c r="K8" i="1"/>
  <c r="M8" i="1"/>
  <c r="F23" i="15"/>
  <c r="D24" i="15"/>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G13" i="3" s="1"/>
  <c r="H14" i="3"/>
  <c r="AC14" i="3"/>
  <c r="G14" i="3" s="1"/>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C18" i="9" s="1"/>
  <c r="D17" i="9"/>
  <c r="I55" i="9"/>
  <c r="F55" i="9"/>
  <c r="O53" i="9"/>
  <c r="D89" i="9"/>
  <c r="C89" i="9"/>
  <c r="C87" i="9" s="1"/>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BN503" i="3"/>
  <c r="BO503" i="3"/>
  <c r="BP503" i="3"/>
  <c r="BR503" i="3"/>
  <c r="BS503" i="3"/>
  <c r="BT503" i="3"/>
  <c r="H504" i="3"/>
  <c r="AC504" i="3"/>
  <c r="G504" i="3" s="1"/>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L511" i="3" s="1"/>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A549" i="3" s="1"/>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J31" i="35"/>
  <c r="W31" i="35" s="1"/>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J41" i="33"/>
  <c r="D113" i="33"/>
  <c r="F37" i="33"/>
  <c r="D111" i="33"/>
  <c r="E111" i="33" s="1"/>
  <c r="F111" i="33" s="1"/>
  <c r="S516" i="31"/>
  <c r="S518" i="31"/>
  <c r="S520" i="31"/>
  <c r="S522" i="31"/>
  <c r="S524" i="31"/>
  <c r="F41" i="21"/>
  <c r="J41" i="2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D109" i="39"/>
  <c r="F34" i="39"/>
  <c r="AA34" i="39"/>
  <c r="D107" i="39"/>
  <c r="E107" i="39"/>
  <c r="D105" i="39"/>
  <c r="E105" i="39"/>
  <c r="F105" i="39" s="1"/>
  <c r="G105" i="39" s="1"/>
  <c r="H105" i="39" s="1"/>
  <c r="I105" i="39"/>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U8" i="39" s="1"/>
  <c r="F8" i="39"/>
  <c r="C20" i="36"/>
  <c r="C20" i="35"/>
  <c r="C16" i="36"/>
  <c r="C16" i="35"/>
  <c r="C14" i="36"/>
  <c r="C14" i="35"/>
  <c r="B80" i="37"/>
  <c r="H25" i="37" s="1"/>
  <c r="U25" i="37"/>
  <c r="B110" i="37"/>
  <c r="J39" i="37"/>
  <c r="B108" i="37"/>
  <c r="C23" i="37"/>
  <c r="C19" i="37"/>
  <c r="C17" i="37"/>
  <c r="C15" i="37"/>
  <c r="B112" i="37"/>
  <c r="D107" i="37"/>
  <c r="E107" i="37" s="1"/>
  <c r="D105" i="37"/>
  <c r="E105" i="37" s="1"/>
  <c r="F105" i="37" s="1"/>
  <c r="G105" i="37" s="1"/>
  <c r="D103" i="37"/>
  <c r="J35" i="37"/>
  <c r="W35" i="37" s="1"/>
  <c r="F97" i="37"/>
  <c r="E97" i="37"/>
  <c r="D97" i="37"/>
  <c r="C97" i="37"/>
  <c r="D96" i="37"/>
  <c r="E96" i="37" s="1"/>
  <c r="F96" i="37" s="1"/>
  <c r="G96" i="37" s="1"/>
  <c r="D94" i="37"/>
  <c r="E94" i="37" s="1"/>
  <c r="F94" i="37" s="1"/>
  <c r="G94" i="37" s="1"/>
  <c r="H94" i="37" s="1"/>
  <c r="M90" i="37"/>
  <c r="L90" i="37"/>
  <c r="K90" i="37"/>
  <c r="J90" i="37"/>
  <c r="I90" i="37"/>
  <c r="H90" i="37"/>
  <c r="G90" i="37"/>
  <c r="F90" i="37"/>
  <c r="E90" i="37"/>
  <c r="D90" i="37"/>
  <c r="C90" i="37"/>
  <c r="D89" i="37"/>
  <c r="E89" i="37" s="1"/>
  <c r="F89" i="37" s="1"/>
  <c r="G89" i="37" s="1"/>
  <c r="B86" i="37"/>
  <c r="B84" i="37"/>
  <c r="B82" i="37"/>
  <c r="D79" i="37"/>
  <c r="E79" i="37" s="1"/>
  <c r="F79" i="37" s="1"/>
  <c r="D75" i="37"/>
  <c r="E75" i="37" s="1"/>
  <c r="F75" i="37" s="1"/>
  <c r="G75" i="37" s="1"/>
  <c r="D73" i="37"/>
  <c r="E73" i="37" s="1"/>
  <c r="F73" i="37"/>
  <c r="G73" i="37" s="1"/>
  <c r="D71" i="37"/>
  <c r="H15" i="37"/>
  <c r="B68" i="37"/>
  <c r="B66" i="37"/>
  <c r="B64" i="37"/>
  <c r="H12" i="37" s="1"/>
  <c r="D63" i="37"/>
  <c r="E63" i="37"/>
  <c r="F63" i="37" s="1"/>
  <c r="G63" i="37" s="1"/>
  <c r="H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c r="H81" i="36" s="1"/>
  <c r="I81" i="36" s="1"/>
  <c r="J81" i="36" s="1"/>
  <c r="K81" i="36" s="1"/>
  <c r="L81" i="36" s="1"/>
  <c r="M81" i="36" s="1"/>
  <c r="F79" i="36"/>
  <c r="E79" i="36"/>
  <c r="D79" i="36"/>
  <c r="C79" i="36"/>
  <c r="B93" i="36"/>
  <c r="H33" i="36"/>
  <c r="U33" i="36" s="1"/>
  <c r="B91" i="36"/>
  <c r="F32" i="36"/>
  <c r="S32" i="36" s="1"/>
  <c r="B95" i="36"/>
  <c r="H34" i="36"/>
  <c r="U34" i="36" s="1"/>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H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AB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F56" i="35"/>
  <c r="G56" i="35" s="1"/>
  <c r="H56" i="35" s="1"/>
  <c r="I56" i="35" s="1"/>
  <c r="C53" i="35"/>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U9" i="34" s="1"/>
  <c r="F9" i="34"/>
  <c r="AA9" i="34"/>
  <c r="J8" i="34"/>
  <c r="AC8" i="34"/>
  <c r="H8" i="34"/>
  <c r="U8" i="34"/>
  <c r="F8" i="34"/>
  <c r="D121" i="33"/>
  <c r="E121" i="33" s="1"/>
  <c r="F121" i="33" s="1"/>
  <c r="F109" i="33"/>
  <c r="E109" i="33"/>
  <c r="D109" i="33"/>
  <c r="C109" i="33"/>
  <c r="D91" i="33"/>
  <c r="E91" i="33" s="1"/>
  <c r="F91" i="33" s="1"/>
  <c r="B88" i="33"/>
  <c r="J26" i="33" s="1"/>
  <c r="W26" i="33" s="1"/>
  <c r="C23" i="33"/>
  <c r="C19" i="33"/>
  <c r="C17" i="33"/>
  <c r="C15" i="33"/>
  <c r="C15" i="21"/>
  <c r="D125" i="33"/>
  <c r="D123" i="33"/>
  <c r="E123" i="33" s="1"/>
  <c r="F123" i="33" s="1"/>
  <c r="G123" i="33" s="1"/>
  <c r="D117" i="33"/>
  <c r="E117" i="33"/>
  <c r="F117" i="33" s="1"/>
  <c r="G117" i="33" s="1"/>
  <c r="D115" i="33"/>
  <c r="E115" i="33"/>
  <c r="F115" i="33" s="1"/>
  <c r="G115" i="33"/>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F79" i="33" s="1"/>
  <c r="D77" i="33"/>
  <c r="E77" i="33"/>
  <c r="F77" i="33" s="1"/>
  <c r="G77" i="33"/>
  <c r="D69" i="33"/>
  <c r="E69" i="33"/>
  <c r="F69" i="33" s="1"/>
  <c r="G69" i="33" s="1"/>
  <c r="H69" i="33" s="1"/>
  <c r="I69" i="33" s="1"/>
  <c r="J69" i="33" s="1"/>
  <c r="K69" i="33" s="1"/>
  <c r="L69" i="33" s="1"/>
  <c r="M69" i="33"/>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H38" i="33"/>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H9" i="33"/>
  <c r="F9" i="33"/>
  <c r="AA9" i="33" s="1"/>
  <c r="J8" i="33"/>
  <c r="AC8" i="33" s="1"/>
  <c r="H8" i="33"/>
  <c r="AB8" i="33" s="1"/>
  <c r="F8" i="33"/>
  <c r="M102" i="21"/>
  <c r="D102" i="21"/>
  <c r="E102" i="21"/>
  <c r="F102" i="21"/>
  <c r="G102" i="21"/>
  <c r="H102" i="21"/>
  <c r="I102" i="21"/>
  <c r="J102" i="21"/>
  <c r="K102" i="21"/>
  <c r="L102" i="21"/>
  <c r="C102" i="21"/>
  <c r="C63" i="21"/>
  <c r="F9" i="21"/>
  <c r="AA9" i="21" s="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s="1"/>
  <c r="G125" i="21"/>
  <c r="D123" i="21"/>
  <c r="E123" i="21"/>
  <c r="F123" i="21" s="1"/>
  <c r="F42" i="21"/>
  <c r="D119" i="21"/>
  <c r="E119" i="21" s="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c r="M106" i="21" s="1"/>
  <c r="D101" i="21"/>
  <c r="E101" i="21" s="1"/>
  <c r="F101" i="21"/>
  <c r="G101" i="21" s="1"/>
  <c r="H101" i="21" s="1"/>
  <c r="I101" i="21" s="1"/>
  <c r="J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c r="I66" i="21" s="1"/>
  <c r="D111" i="21"/>
  <c r="E111" i="21"/>
  <c r="F111" i="21"/>
  <c r="C111" i="21"/>
  <c r="D79" i="21"/>
  <c r="E79" i="21" s="1"/>
  <c r="F79" i="21"/>
  <c r="G79" i="21" s="1"/>
  <c r="D85" i="21"/>
  <c r="F19" i="21"/>
  <c r="AA19" i="21"/>
  <c r="E81" i="21"/>
  <c r="F81" i="21"/>
  <c r="G81" i="21" s="1"/>
  <c r="D77" i="21"/>
  <c r="E77" i="21" s="1"/>
  <c r="B130" i="21"/>
  <c r="B128" i="21"/>
  <c r="J45" i="21"/>
  <c r="B126" i="21"/>
  <c r="B98" i="21"/>
  <c r="H31" i="21"/>
  <c r="AB31" i="21" s="1"/>
  <c r="B96" i="21"/>
  <c r="B94" i="21"/>
  <c r="B92" i="21"/>
  <c r="B90"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Q39" i="21"/>
  <c r="Z39" i="21" s="1"/>
  <c r="H40" i="2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J12" i="21"/>
  <c r="H12" i="21"/>
  <c r="J26" i="21"/>
  <c r="W26" i="21" s="1"/>
  <c r="F26" i="21"/>
  <c r="AB41" i="21"/>
  <c r="S41" i="21"/>
  <c r="AA41" i="21"/>
  <c r="J44" i="39"/>
  <c r="AC44" i="39"/>
  <c r="F36" i="39"/>
  <c r="S36" i="39"/>
  <c r="H36" i="39"/>
  <c r="AB36" i="39"/>
  <c r="J35" i="39"/>
  <c r="AC35" i="39"/>
  <c r="F35" i="39"/>
  <c r="AA35" i="39"/>
  <c r="J36" i="39"/>
  <c r="AC36" i="39"/>
  <c r="W40" i="39"/>
  <c r="W25" i="37"/>
  <c r="U30" i="37"/>
  <c r="W31" i="37"/>
  <c r="E103" i="37"/>
  <c r="F103" i="37" s="1"/>
  <c r="G103" i="37" s="1"/>
  <c r="H103" i="37" s="1"/>
  <c r="I103" i="37"/>
  <c r="J103" i="37" s="1"/>
  <c r="K103" i="37" s="1"/>
  <c r="L103" i="37" s="1"/>
  <c r="M103" i="37" s="1"/>
  <c r="F39" i="37"/>
  <c r="S39" i="37"/>
  <c r="F29" i="36"/>
  <c r="AA29" i="36" s="1"/>
  <c r="W8" i="36"/>
  <c r="F16" i="36"/>
  <c r="AA16" i="36"/>
  <c r="U9" i="36"/>
  <c r="W28" i="36"/>
  <c r="S30" i="36"/>
  <c r="AA31" i="36"/>
  <c r="AC31" i="36"/>
  <c r="W31" i="36"/>
  <c r="J33" i="36"/>
  <c r="H22" i="35"/>
  <c r="AC27" i="35"/>
  <c r="W28" i="35"/>
  <c r="U31" i="35"/>
  <c r="W34" i="35"/>
  <c r="W22" i="35"/>
  <c r="S31" i="35"/>
  <c r="F36" i="34"/>
  <c r="J35" i="34"/>
  <c r="AC35" i="34" s="1"/>
  <c r="S34" i="34"/>
  <c r="H39" i="33"/>
  <c r="AB39" i="33" s="1"/>
  <c r="F26" i="33"/>
  <c r="S9" i="33"/>
  <c r="U35" i="33"/>
  <c r="H39" i="37"/>
  <c r="AB39" i="37" s="1"/>
  <c r="S27" i="35"/>
  <c r="F11" i="40"/>
  <c r="AA11" i="40"/>
  <c r="H11" i="40"/>
  <c r="AB11" i="40"/>
  <c r="W8" i="40"/>
  <c r="AB39" i="40"/>
  <c r="AA9" i="40"/>
  <c r="U9" i="40"/>
  <c r="U38" i="40"/>
  <c r="U34" i="40"/>
  <c r="F42" i="39"/>
  <c r="F41" i="39"/>
  <c r="H40" i="39"/>
  <c r="H39" i="39"/>
  <c r="U39" i="39" s="1"/>
  <c r="S38" i="39"/>
  <c r="S34" i="39"/>
  <c r="H34" i="39"/>
  <c r="E109" i="39"/>
  <c r="E101" i="39"/>
  <c r="H19" i="39"/>
  <c r="F19" i="39"/>
  <c r="AA19" i="39" s="1"/>
  <c r="H17" i="39"/>
  <c r="AB17" i="39" s="1"/>
  <c r="F17" i="39"/>
  <c r="J23" i="40"/>
  <c r="AC23" i="40" s="1"/>
  <c r="F21" i="40"/>
  <c r="J21" i="40"/>
  <c r="W21" i="40" s="1"/>
  <c r="H42" i="39"/>
  <c r="J34" i="39"/>
  <c r="F109" i="39"/>
  <c r="G109" i="39" s="1"/>
  <c r="H109" i="39" s="1"/>
  <c r="I109" i="39" s="1"/>
  <c r="J109" i="39" s="1"/>
  <c r="K109" i="39" s="1"/>
  <c r="L109" i="39" s="1"/>
  <c r="M109" i="39" s="1"/>
  <c r="J31" i="39"/>
  <c r="F101" i="39"/>
  <c r="H27" i="39"/>
  <c r="J19" i="39"/>
  <c r="AC19" i="39" s="1"/>
  <c r="J17" i="39"/>
  <c r="J27" i="39"/>
  <c r="AC27" i="39"/>
  <c r="F27" i="39"/>
  <c r="F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W30" i="36"/>
  <c r="H16" i="36"/>
  <c r="AB16" i="36" s="1"/>
  <c r="E85" i="36"/>
  <c r="F85" i="36" s="1"/>
  <c r="G85" i="36" s="1"/>
  <c r="H85" i="36" s="1"/>
  <c r="I85" i="36"/>
  <c r="J85" i="36" s="1"/>
  <c r="K85" i="36" s="1"/>
  <c r="L85" i="36" s="1"/>
  <c r="M85" i="36" s="1"/>
  <c r="J29" i="36"/>
  <c r="AC29" i="36"/>
  <c r="F24" i="36"/>
  <c r="AA24" i="36" s="1"/>
  <c r="F34" i="36"/>
  <c r="S10" i="36"/>
  <c r="AB8" i="36"/>
  <c r="S8" i="36"/>
  <c r="U8" i="35"/>
  <c r="F14" i="35"/>
  <c r="F23" i="35"/>
  <c r="J32" i="35"/>
  <c r="J16" i="35"/>
  <c r="AC16" i="35" s="1"/>
  <c r="H16" i="35"/>
  <c r="F16" i="35"/>
  <c r="H14" i="35"/>
  <c r="AB14" i="35" s="1"/>
  <c r="J29" i="35"/>
  <c r="H33" i="35"/>
  <c r="AB33" i="35"/>
  <c r="AC8" i="35"/>
  <c r="J20" i="35"/>
  <c r="W20" i="35" s="1"/>
  <c r="F35" i="37"/>
  <c r="E101" i="37"/>
  <c r="F101" i="37" s="1"/>
  <c r="G101" i="37" s="1"/>
  <c r="H101" i="37" s="1"/>
  <c r="I101" i="37"/>
  <c r="J101" i="37" s="1"/>
  <c r="K101" i="37" s="1"/>
  <c r="L101" i="37" s="1"/>
  <c r="M101" i="37" s="1"/>
  <c r="J34" i="37"/>
  <c r="W34" i="37"/>
  <c r="S10" i="37"/>
  <c r="AA39" i="37"/>
  <c r="AB34" i="37"/>
  <c r="J33" i="37"/>
  <c r="U42" i="34"/>
  <c r="H40" i="34"/>
  <c r="U40" i="34"/>
  <c r="E114" i="34"/>
  <c r="H36" i="34"/>
  <c r="U36" i="34" s="1"/>
  <c r="F37" i="34"/>
  <c r="S35" i="34"/>
  <c r="F28" i="34"/>
  <c r="AA28" i="34"/>
  <c r="F25" i="34"/>
  <c r="S25" i="34"/>
  <c r="H23" i="34"/>
  <c r="U23" i="34"/>
  <c r="J23" i="34"/>
  <c r="F19" i="34"/>
  <c r="S19" i="34" s="1"/>
  <c r="H17" i="34"/>
  <c r="U17" i="34"/>
  <c r="F15" i="34"/>
  <c r="J15" i="34"/>
  <c r="H15" i="34"/>
  <c r="AB15" i="34"/>
  <c r="S9" i="34"/>
  <c r="W8" i="34"/>
  <c r="J28" i="34"/>
  <c r="W28" i="34"/>
  <c r="F41" i="33"/>
  <c r="AA41" i="33"/>
  <c r="E113" i="33"/>
  <c r="F113" i="33" s="1"/>
  <c r="F32" i="33"/>
  <c r="AA32" i="33"/>
  <c r="J19" i="33"/>
  <c r="AC19" i="33"/>
  <c r="J15" i="33"/>
  <c r="AC15" i="33"/>
  <c r="F11" i="33"/>
  <c r="AA11" i="33"/>
  <c r="U40" i="33"/>
  <c r="W40" i="33"/>
  <c r="U8" i="33"/>
  <c r="F37" i="40"/>
  <c r="F36" i="40"/>
  <c r="H28" i="40"/>
  <c r="U28" i="40" s="1"/>
  <c r="F23" i="40"/>
  <c r="F17" i="40"/>
  <c r="AA17" i="40" s="1"/>
  <c r="J17" i="40"/>
  <c r="F15" i="40"/>
  <c r="S15" i="40" s="1"/>
  <c r="H15" i="40"/>
  <c r="AB15" i="40" s="1"/>
  <c r="AC11" i="40"/>
  <c r="AB30" i="36"/>
  <c r="AC34" i="36"/>
  <c r="U33" i="35"/>
  <c r="F29" i="35"/>
  <c r="S29" i="35"/>
  <c r="H29" i="35"/>
  <c r="AB29" i="35"/>
  <c r="H33" i="37"/>
  <c r="AB33" i="37"/>
  <c r="F33" i="37"/>
  <c r="AA33" i="37"/>
  <c r="U34" i="37"/>
  <c r="S34" i="37"/>
  <c r="AA34" i="37"/>
  <c r="J43" i="34"/>
  <c r="AB42" i="34"/>
  <c r="J40" i="34"/>
  <c r="F114" i="34"/>
  <c r="G114" i="34" s="1"/>
  <c r="H114" i="34"/>
  <c r="I114" i="34" s="1"/>
  <c r="J114" i="34" s="1"/>
  <c r="K114" i="34" s="1"/>
  <c r="L114" i="34" s="1"/>
  <c r="M114" i="34" s="1"/>
  <c r="H38" i="34"/>
  <c r="J36" i="34"/>
  <c r="W36" i="34" s="1"/>
  <c r="H37" i="34"/>
  <c r="H25" i="34"/>
  <c r="J25" i="34"/>
  <c r="AB23" i="34"/>
  <c r="F23" i="34"/>
  <c r="AA23" i="34"/>
  <c r="J19" i="34"/>
  <c r="AC19" i="34"/>
  <c r="F17" i="34"/>
  <c r="AA17" i="34"/>
  <c r="J17" i="34"/>
  <c r="W17" i="34"/>
  <c r="AB17" i="34"/>
  <c r="AA15" i="34"/>
  <c r="S15" i="34"/>
  <c r="S41" i="33"/>
  <c r="G113" i="33"/>
  <c r="H113" i="33" s="1"/>
  <c r="I113" i="33"/>
  <c r="J113" i="33" s="1"/>
  <c r="K113" i="33" s="1"/>
  <c r="L113" i="33" s="1"/>
  <c r="M113" i="33"/>
  <c r="H37" i="33"/>
  <c r="AB37" i="33"/>
  <c r="H15" i="33"/>
  <c r="AB15" i="33"/>
  <c r="H11" i="33"/>
  <c r="AB11" i="33"/>
  <c r="F28" i="40"/>
  <c r="AA28" i="40"/>
  <c r="AA29" i="35"/>
  <c r="AA42" i="34"/>
  <c r="AC38" i="34"/>
  <c r="J37" i="34"/>
  <c r="J11" i="33"/>
  <c r="S28" i="34"/>
  <c r="U23" i="40"/>
  <c r="G123" i="21"/>
  <c r="H123" i="21" s="1"/>
  <c r="I123" i="21" s="1"/>
  <c r="J123" i="21" s="1"/>
  <c r="K123" i="21" s="1"/>
  <c r="L123" i="21" s="1"/>
  <c r="M123" i="21" s="1"/>
  <c r="J42" i="21"/>
  <c r="AC42" i="21"/>
  <c r="H42" i="21"/>
  <c r="U42" i="21"/>
  <c r="J44" i="34"/>
  <c r="F44" i="34"/>
  <c r="AA44" i="34" s="1"/>
  <c r="J10" i="35"/>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H28" i="33"/>
  <c r="F28" i="33"/>
  <c r="J28" i="33"/>
  <c r="F33" i="35"/>
  <c r="J33" i="35"/>
  <c r="F30" i="35"/>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J13" i="33"/>
  <c r="H13" i="33"/>
  <c r="F13" i="33"/>
  <c r="J29" i="33"/>
  <c r="H29" i="33"/>
  <c r="U29" i="33" s="1"/>
  <c r="F29" i="33"/>
  <c r="J31" i="33"/>
  <c r="W31" i="33" s="1"/>
  <c r="H31" i="33"/>
  <c r="AB31" i="33" s="1"/>
  <c r="F31" i="33"/>
  <c r="H45" i="33"/>
  <c r="J45" i="33"/>
  <c r="F45" i="33"/>
  <c r="J14" i="34"/>
  <c r="W14" i="34" s="1"/>
  <c r="F14" i="34"/>
  <c r="H14" i="34"/>
  <c r="AB14" i="34" s="1"/>
  <c r="H30" i="34"/>
  <c r="F30" i="34"/>
  <c r="S30" i="34" s="1"/>
  <c r="J30" i="34"/>
  <c r="H32" i="34"/>
  <c r="AB32" i="34" s="1"/>
  <c r="F32" i="34"/>
  <c r="J32" i="34"/>
  <c r="H46" i="34"/>
  <c r="F46" i="34"/>
  <c r="AA46" i="34" s="1"/>
  <c r="J46" i="34"/>
  <c r="H11" i="35"/>
  <c r="U11" i="35" s="1"/>
  <c r="J11" i="35"/>
  <c r="F11" i="35"/>
  <c r="S11" i="35" s="1"/>
  <c r="J26" i="36"/>
  <c r="H28" i="36"/>
  <c r="H32" i="36"/>
  <c r="J32" i="36"/>
  <c r="W32" i="36" s="1"/>
  <c r="J11" i="36"/>
  <c r="AC11" i="36" s="1"/>
  <c r="F11" i="36"/>
  <c r="H13" i="36"/>
  <c r="AB13" i="36" s="1"/>
  <c r="J13" i="36"/>
  <c r="F13" i="36"/>
  <c r="S13" i="36"/>
  <c r="H89" i="37"/>
  <c r="I89" i="37" s="1"/>
  <c r="J89" i="37" s="1"/>
  <c r="K89" i="37" s="1"/>
  <c r="L89" i="37" s="1"/>
  <c r="M89" i="37" s="1"/>
  <c r="J29" i="37"/>
  <c r="F29" i="37"/>
  <c r="H36" i="37"/>
  <c r="AB36" i="37"/>
  <c r="F107" i="37"/>
  <c r="J37" i="37"/>
  <c r="AC37" i="37" s="1"/>
  <c r="H37" i="37"/>
  <c r="H40" i="37"/>
  <c r="U40" i="37" s="1"/>
  <c r="J40" i="37"/>
  <c r="F40" i="37"/>
  <c r="AC12" i="40"/>
  <c r="W12" i="40"/>
  <c r="H14" i="33"/>
  <c r="F14" i="33"/>
  <c r="J14" i="33"/>
  <c r="W14" i="33" s="1"/>
  <c r="J30" i="33"/>
  <c r="J44" i="33"/>
  <c r="AC44" i="33" s="1"/>
  <c r="F44" i="33"/>
  <c r="J46" i="33"/>
  <c r="F46" i="33"/>
  <c r="H46" i="33"/>
  <c r="AB46" i="33" s="1"/>
  <c r="H13" i="34"/>
  <c r="J13" i="34"/>
  <c r="F13" i="34"/>
  <c r="J29" i="34"/>
  <c r="W29"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AA14" i="39" s="1"/>
  <c r="H14" i="39"/>
  <c r="AB14" i="39"/>
  <c r="F12" i="40"/>
  <c r="S12" i="40"/>
  <c r="H12" i="40"/>
  <c r="AB12" i="40"/>
  <c r="H30" i="40"/>
  <c r="AB30" i="40"/>
  <c r="J35" i="40"/>
  <c r="AC35" i="40"/>
  <c r="J37" i="40"/>
  <c r="AC37" i="40"/>
  <c r="H13" i="40"/>
  <c r="U13" i="40"/>
  <c r="J13" i="40"/>
  <c r="W13" i="40"/>
  <c r="F13" i="40"/>
  <c r="AA13" i="40"/>
  <c r="F13" i="39"/>
  <c r="J13" i="39"/>
  <c r="H13" i="39"/>
  <c r="AB13" i="39" s="1"/>
  <c r="H14" i="40"/>
  <c r="AB14" i="40"/>
  <c r="J14" i="40"/>
  <c r="W14" i="40"/>
  <c r="F14" i="40"/>
  <c r="AA14" i="40"/>
  <c r="U46" i="33"/>
  <c r="J36" i="37"/>
  <c r="AC36" i="37" s="1"/>
  <c r="AB11" i="35"/>
  <c r="J10" i="36"/>
  <c r="AC10" i="36"/>
  <c r="AB30" i="21"/>
  <c r="W11" i="36"/>
  <c r="AC28" i="21"/>
  <c r="S44" i="34"/>
  <c r="BA585" i="3"/>
  <c r="F17" i="21"/>
  <c r="AA17" i="21"/>
  <c r="H17" i="21"/>
  <c r="AB17" i="21"/>
  <c r="F15" i="21"/>
  <c r="S15" i="21"/>
  <c r="AB11" i="21"/>
  <c r="J41" i="39"/>
  <c r="W44" i="39"/>
  <c r="W36" i="39"/>
  <c r="W35" i="39"/>
  <c r="U36" i="39"/>
  <c r="S35" i="39"/>
  <c r="G544" i="3"/>
  <c r="G536" i="3"/>
  <c r="G528" i="3"/>
  <c r="G514" i="3"/>
  <c r="G500" i="3"/>
  <c r="G584" i="3"/>
  <c r="G576" i="3"/>
  <c r="G572" i="3"/>
  <c r="G568" i="3"/>
  <c r="G560" i="3"/>
  <c r="G554" i="3"/>
  <c r="BL584" i="3"/>
  <c r="BL580" i="3"/>
  <c r="BL572" i="3"/>
  <c r="AZ572" i="3" s="1"/>
  <c r="BL568" i="3"/>
  <c r="BL564" i="3"/>
  <c r="BL554" i="3"/>
  <c r="BL546" i="3"/>
  <c r="BL542" i="3"/>
  <c r="BL534" i="3"/>
  <c r="BL516" i="3"/>
  <c r="BL498" i="3"/>
  <c r="BL582" i="3"/>
  <c r="BL574" i="3"/>
  <c r="BL570" i="3"/>
  <c r="BL566" i="3"/>
  <c r="AZ566" i="3" s="1"/>
  <c r="BL556" i="3"/>
  <c r="BL552" i="3"/>
  <c r="BL544" i="3"/>
  <c r="BL536" i="3"/>
  <c r="BL528" i="3"/>
  <c r="BL514" i="3"/>
  <c r="BL496" i="3"/>
  <c r="BA584" i="3"/>
  <c r="BA582" i="3"/>
  <c r="AZ582" i="3"/>
  <c r="BA572" i="3"/>
  <c r="BA570" i="3"/>
  <c r="AZ570" i="3"/>
  <c r="BA568" i="3"/>
  <c r="AZ568" i="3"/>
  <c r="BA566" i="3"/>
  <c r="BA558" i="3"/>
  <c r="AZ558" i="3" s="1"/>
  <c r="BA556" i="3"/>
  <c r="AZ556" i="3" s="1"/>
  <c r="BA554" i="3"/>
  <c r="AZ554" i="3" s="1"/>
  <c r="BA552" i="3"/>
  <c r="AZ552" i="3" s="1"/>
  <c r="BA548" i="3"/>
  <c r="BA546" i="3"/>
  <c r="BA544" i="3"/>
  <c r="AZ544" i="3" s="1"/>
  <c r="BA542" i="3"/>
  <c r="AZ542" i="3" s="1"/>
  <c r="BA540" i="3"/>
  <c r="BA536" i="3"/>
  <c r="BA532" i="3"/>
  <c r="AZ532" i="3" s="1"/>
  <c r="BA512" i="3"/>
  <c r="BA508" i="3"/>
  <c r="AZ508" i="3" s="1"/>
  <c r="BA502" i="3"/>
  <c r="BA496" i="3"/>
  <c r="AZ496" i="3" s="1"/>
  <c r="BA583" i="3"/>
  <c r="AZ583" i="3" s="1"/>
  <c r="BA577" i="3"/>
  <c r="BA573" i="3"/>
  <c r="BA571" i="3"/>
  <c r="BA569" i="3"/>
  <c r="BA567" i="3"/>
  <c r="BA565" i="3"/>
  <c r="BA561" i="3"/>
  <c r="BA555" i="3"/>
  <c r="BA553" i="3"/>
  <c r="BA547" i="3"/>
  <c r="BA545" i="3"/>
  <c r="BA543" i="3"/>
  <c r="BA537" i="3"/>
  <c r="BA529" i="3"/>
  <c r="BA519" i="3"/>
  <c r="AZ519" i="3" s="1"/>
  <c r="BA511" i="3"/>
  <c r="AZ511" i="3" s="1"/>
  <c r="BA501" i="3"/>
  <c r="BA493" i="3"/>
  <c r="AZ493" i="3" s="1"/>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AZ555" i="3"/>
  <c r="BQ553" i="3"/>
  <c r="BL553" i="3"/>
  <c r="AZ553" i="3" s="1"/>
  <c r="BQ551" i="3"/>
  <c r="BQ549" i="3"/>
  <c r="BL549" i="3" s="1"/>
  <c r="BQ547" i="3"/>
  <c r="BL547" i="3"/>
  <c r="AZ547" i="3" s="1"/>
  <c r="BQ545" i="3"/>
  <c r="BL545" i="3" s="1"/>
  <c r="AZ545" i="3"/>
  <c r="BQ543" i="3"/>
  <c r="BL543" i="3"/>
  <c r="AZ543" i="3" s="1"/>
  <c r="BQ541" i="3"/>
  <c r="BQ539" i="3"/>
  <c r="BL539" i="3"/>
  <c r="BQ537" i="3"/>
  <c r="BQ535" i="3"/>
  <c r="BL535" i="3"/>
  <c r="BQ533" i="3"/>
  <c r="BQ531" i="3"/>
  <c r="BL531" i="3"/>
  <c r="BQ529" i="3"/>
  <c r="BQ527" i="3"/>
  <c r="BL527" i="3"/>
  <c r="BQ525" i="3"/>
  <c r="BQ523" i="3"/>
  <c r="BL523" i="3"/>
  <c r="AC521" i="3"/>
  <c r="BQ521" i="3"/>
  <c r="BL520" i="3"/>
  <c r="G515" i="3"/>
  <c r="BQ519" i="3"/>
  <c r="BQ517" i="3"/>
  <c r="BQ515" i="3"/>
  <c r="BQ513" i="3"/>
  <c r="BQ511" i="3"/>
  <c r="BA509" i="3"/>
  <c r="AC509" i="3"/>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U32" i="33"/>
  <c r="AA36" i="39"/>
  <c r="F39"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2" i="40"/>
  <c r="S32" i="40"/>
  <c r="H32" i="40"/>
  <c r="AB32" i="40"/>
  <c r="J36" i="40"/>
  <c r="W36" i="40"/>
  <c r="AA41" i="34"/>
  <c r="H19" i="37"/>
  <c r="H123" i="33"/>
  <c r="I123" i="33" s="1"/>
  <c r="J123" i="33" s="1"/>
  <c r="K123" i="33" s="1"/>
  <c r="L123" i="33"/>
  <c r="M123" i="33" s="1"/>
  <c r="H42" i="33"/>
  <c r="G125" i="33"/>
  <c r="J43" i="33"/>
  <c r="AC43" i="33"/>
  <c r="U43" i="33"/>
  <c r="S28" i="31"/>
  <c r="S27" i="31"/>
  <c r="S26" i="31"/>
  <c r="U14" i="40"/>
  <c r="AC32" i="36"/>
  <c r="AA12" i="35"/>
  <c r="AB28" i="37"/>
  <c r="U33" i="37"/>
  <c r="U39" i="37"/>
  <c r="W26" i="37"/>
  <c r="AC8" i="37"/>
  <c r="U26" i="37"/>
  <c r="AC36" i="34"/>
  <c r="AC31" i="33"/>
  <c r="W44" i="33"/>
  <c r="U11" i="33"/>
  <c r="U19" i="21"/>
  <c r="U26" i="21"/>
  <c r="AB38" i="21"/>
  <c r="F43" i="33"/>
  <c r="W16" i="35"/>
  <c r="G107" i="37"/>
  <c r="H107" i="37" s="1"/>
  <c r="I107" i="37"/>
  <c r="J107" i="37" s="1"/>
  <c r="K107" i="37" s="1"/>
  <c r="L107" i="37" s="1"/>
  <c r="M107" i="37" s="1"/>
  <c r="H37" i="21"/>
  <c r="U37" i="21"/>
  <c r="H19" i="34"/>
  <c r="F36" i="35"/>
  <c r="J9" i="37"/>
  <c r="W9" i="37" s="1"/>
  <c r="H9" i="37"/>
  <c r="F9" i="37"/>
  <c r="S9" i="37" s="1"/>
  <c r="J12" i="37"/>
  <c r="W12" i="37" s="1"/>
  <c r="F12" i="37"/>
  <c r="E71" i="37"/>
  <c r="F71" i="37" s="1"/>
  <c r="F15" i="37"/>
  <c r="AA15" i="37"/>
  <c r="F31" i="37"/>
  <c r="S31" i="37" s="1"/>
  <c r="F12" i="39"/>
  <c r="S12" i="39" s="1"/>
  <c r="J42" i="39"/>
  <c r="H21" i="40"/>
  <c r="AC12" i="37"/>
  <c r="I94" i="37"/>
  <c r="J94" i="37" s="1"/>
  <c r="K94" i="37" s="1"/>
  <c r="L94" i="37" s="1"/>
  <c r="M94" i="37"/>
  <c r="H31" i="37"/>
  <c r="U31" i="37"/>
  <c r="G71" i="37"/>
  <c r="J15" i="37"/>
  <c r="W15" i="37"/>
  <c r="AT6" i="3"/>
  <c r="AA25" i="21"/>
  <c r="H19" i="40"/>
  <c r="U19" i="40"/>
  <c r="F88" i="40"/>
  <c r="G88" i="40"/>
  <c r="F19" i="40"/>
  <c r="S19" i="40"/>
  <c r="S14" i="40"/>
  <c r="AC13" i="40"/>
  <c r="W23" i="39"/>
  <c r="AB44" i="39"/>
  <c r="U44" i="39"/>
  <c r="G101" i="39"/>
  <c r="H37" i="39"/>
  <c r="AB37" i="39" s="1"/>
  <c r="AC37" i="39"/>
  <c r="W37" i="39"/>
  <c r="H25" i="39"/>
  <c r="AB25" i="39" s="1"/>
  <c r="J25" i="39"/>
  <c r="AC25" i="39" s="1"/>
  <c r="F25" i="39"/>
  <c r="AA25" i="39"/>
  <c r="F15" i="39"/>
  <c r="AA15" i="39"/>
  <c r="H15" i="39"/>
  <c r="U15" i="39"/>
  <c r="J15" i="39"/>
  <c r="W15" i="39"/>
  <c r="H41" i="39"/>
  <c r="W27" i="39"/>
  <c r="W14" i="39"/>
  <c r="W9" i="39"/>
  <c r="J19" i="40"/>
  <c r="J50" i="40"/>
  <c r="H103" i="9"/>
  <c r="D8" i="53" s="1"/>
  <c r="B16" i="53"/>
  <c r="B33" i="72" s="1"/>
  <c r="C7" i="37"/>
  <c r="C52" i="37" s="1"/>
  <c r="D52" i="37" s="1"/>
  <c r="C7" i="34"/>
  <c r="C7" i="36"/>
  <c r="C46" i="36" s="1"/>
  <c r="D46" i="36" s="1"/>
  <c r="W35" i="40"/>
  <c r="A118" i="9"/>
  <c r="A4" i="52"/>
  <c r="B41" i="72"/>
  <c r="J11" i="39"/>
  <c r="W11" i="39"/>
  <c r="F11" i="39"/>
  <c r="AA11" i="39"/>
  <c r="S11" i="39"/>
  <c r="G4" i="4"/>
  <c r="I4" i="4"/>
  <c r="K5" i="4"/>
  <c r="B47" i="48" s="1"/>
  <c r="A2" i="9"/>
  <c r="AZ20" i="3"/>
  <c r="AZ24" i="3"/>
  <c r="AZ32" i="3"/>
  <c r="AZ546" i="3"/>
  <c r="G546"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5" i="3"/>
  <c r="AZ345" i="3" s="1"/>
  <c r="G356" i="3"/>
  <c r="BA359" i="3"/>
  <c r="AZ359" i="3" s="1"/>
  <c r="BA360" i="3"/>
  <c r="AZ360" i="3" s="1"/>
  <c r="G361" i="3"/>
  <c r="BA362" i="3"/>
  <c r="BL371" i="3"/>
  <c r="G372" i="3"/>
  <c r="BL373" i="3"/>
  <c r="BA375" i="3"/>
  <c r="AZ375" i="3"/>
  <c r="BL376" i="3"/>
  <c r="AZ376" i="3" s="1"/>
  <c r="BA378" i="3"/>
  <c r="BL378" i="3"/>
  <c r="BA380" i="3"/>
  <c r="AZ380" i="3" s="1"/>
  <c r="BL389" i="3"/>
  <c r="AZ389" i="3" s="1"/>
  <c r="BL391" i="3"/>
  <c r="AZ393" i="3"/>
  <c r="BL394" i="3"/>
  <c r="G113" i="3"/>
  <c r="BA115" i="3"/>
  <c r="AZ115" i="3" s="1"/>
  <c r="BL116" i="3"/>
  <c r="AZ116" i="3" s="1"/>
  <c r="G117" i="3"/>
  <c r="BA119" i="3"/>
  <c r="AZ119" i="3"/>
  <c r="BL120" i="3"/>
  <c r="G121" i="3"/>
  <c r="BA123" i="3"/>
  <c r="AZ123" i="3"/>
  <c r="AZ124" i="3"/>
  <c r="BA127" i="3"/>
  <c r="AZ127" i="3" s="1"/>
  <c r="BL128" i="3"/>
  <c r="BA131" i="3"/>
  <c r="AZ131" i="3" s="1"/>
  <c r="BL132" i="3"/>
  <c r="AZ132" i="3" s="1"/>
  <c r="G133" i="3"/>
  <c r="BA135" i="3"/>
  <c r="AZ135" i="3"/>
  <c r="BL136" i="3"/>
  <c r="G137" i="3"/>
  <c r="AZ139" i="3"/>
  <c r="AZ140" i="3"/>
  <c r="BA143" i="3"/>
  <c r="AZ143" i="3" s="1"/>
  <c r="BL144" i="3"/>
  <c r="G145" i="3"/>
  <c r="BA147" i="3"/>
  <c r="AZ147" i="3" s="1"/>
  <c r="BL148" i="3"/>
  <c r="G149"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AZ188" i="3"/>
  <c r="BA191" i="3"/>
  <c r="AZ191" i="3" s="1"/>
  <c r="BL192" i="3"/>
  <c r="BA195" i="3"/>
  <c r="AZ195" i="3" s="1"/>
  <c r="BL196" i="3"/>
  <c r="AZ196" i="3" s="1"/>
  <c r="G197" i="3"/>
  <c r="BA199" i="3"/>
  <c r="AZ199" i="3"/>
  <c r="G201" i="3"/>
  <c r="AZ203" i="3"/>
  <c r="BL204" i="3"/>
  <c r="AZ204" i="3"/>
  <c r="AZ39" i="3"/>
  <c r="AZ43" i="3"/>
  <c r="AZ47" i="3"/>
  <c r="AZ51" i="3"/>
  <c r="AZ55" i="3"/>
  <c r="AZ59" i="3"/>
  <c r="AZ63" i="3"/>
  <c r="AZ67" i="3"/>
  <c r="AZ71" i="3"/>
  <c r="AZ75" i="3"/>
  <c r="AZ83" i="3"/>
  <c r="AZ136" i="3"/>
  <c r="AZ144" i="3"/>
  <c r="AZ152" i="3"/>
  <c r="AZ160" i="3"/>
  <c r="AZ168" i="3"/>
  <c r="AZ184" i="3"/>
  <c r="AZ192" i="3"/>
  <c r="AZ85" i="3"/>
  <c r="AZ93" i="3"/>
  <c r="AZ97" i="3"/>
  <c r="AZ101" i="3"/>
  <c r="AZ109" i="3"/>
  <c r="AZ120" i="3"/>
  <c r="AZ128" i="3"/>
  <c r="G516" i="3"/>
  <c r="G494" i="3"/>
  <c r="G16" i="3"/>
  <c r="G15" i="3"/>
  <c r="BA304" i="3"/>
  <c r="AZ304" i="3"/>
  <c r="BA305" i="3"/>
  <c r="AZ305" i="3"/>
  <c r="BL305" i="3"/>
  <c r="G306" i="3"/>
  <c r="G309" i="3"/>
  <c r="BL310" i="3"/>
  <c r="AZ310" i="3" s="1"/>
  <c r="AZ312" i="3"/>
  <c r="BA313" i="3"/>
  <c r="BL313" i="3"/>
  <c r="AZ313" i="3" s="1"/>
  <c r="G314" i="3"/>
  <c r="G317" i="3"/>
  <c r="BL318" i="3"/>
  <c r="AZ318" i="3" s="1"/>
  <c r="BA320" i="3"/>
  <c r="AZ320" i="3"/>
  <c r="BA321" i="3"/>
  <c r="AZ321" i="3"/>
  <c r="BL321" i="3"/>
  <c r="G322" i="3"/>
  <c r="G325" i="3"/>
  <c r="BL326" i="3"/>
  <c r="AZ328" i="3"/>
  <c r="BA329" i="3"/>
  <c r="BL329" i="3"/>
  <c r="AZ329" i="3" s="1"/>
  <c r="G330" i="3"/>
  <c r="G333" i="3"/>
  <c r="BL334" i="3"/>
  <c r="BA336" i="3"/>
  <c r="AZ336" i="3"/>
  <c r="BA337" i="3"/>
  <c r="AZ337" i="3"/>
  <c r="BL337" i="3"/>
  <c r="G338" i="3"/>
  <c r="G341" i="3"/>
  <c r="BA342" i="3"/>
  <c r="BL342" i="3"/>
  <c r="AZ342" i="3"/>
  <c r="BL344" i="3"/>
  <c r="BA346" i="3"/>
  <c r="AZ346" i="3" s="1"/>
  <c r="BA347" i="3"/>
  <c r="BL347" i="3"/>
  <c r="BA351" i="3"/>
  <c r="BL351" i="3"/>
  <c r="G354" i="3"/>
  <c r="AZ355" i="3"/>
  <c r="BL356" i="3"/>
  <c r="G360" i="3"/>
  <c r="BA363" i="3"/>
  <c r="AZ363" i="3" s="1"/>
  <c r="BA364" i="3"/>
  <c r="AZ364" i="3" s="1"/>
  <c r="G365" i="3"/>
  <c r="G368" i="3"/>
  <c r="BL369" i="3"/>
  <c r="BA371" i="3"/>
  <c r="AZ371" i="3"/>
  <c r="BA372" i="3"/>
  <c r="AZ372" i="3"/>
  <c r="BL372" i="3"/>
  <c r="G373" i="3"/>
  <c r="BL377" i="3"/>
  <c r="BA381" i="3"/>
  <c r="AZ381" i="3" s="1"/>
  <c r="BA382" i="3"/>
  <c r="AZ382" i="3" s="1"/>
  <c r="G383" i="3"/>
  <c r="BL387" i="3"/>
  <c r="AZ387" i="3" s="1"/>
  <c r="BL390" i="3"/>
  <c r="G394" i="3"/>
  <c r="AZ142" i="3"/>
  <c r="AZ150" i="3"/>
  <c r="AZ154" i="3"/>
  <c r="AZ158" i="3"/>
  <c r="AZ162" i="3"/>
  <c r="AZ166" i="3"/>
  <c r="AZ170" i="3"/>
  <c r="AZ174" i="3"/>
  <c r="AZ178" i="3"/>
  <c r="AZ182" i="3"/>
  <c r="AZ190" i="3"/>
  <c r="AZ198" i="3"/>
  <c r="AZ202" i="3"/>
  <c r="AZ206" i="3"/>
  <c r="BA16" i="3"/>
  <c r="AZ16" i="3" s="1"/>
  <c r="BL303" i="3"/>
  <c r="AZ303" i="3" s="1"/>
  <c r="G304" i="3"/>
  <c r="BA306" i="3"/>
  <c r="AZ306" i="3" s="1"/>
  <c r="BL307" i="3"/>
  <c r="AZ307" i="3" s="1"/>
  <c r="G308" i="3"/>
  <c r="BA310" i="3"/>
  <c r="AZ311" i="3"/>
  <c r="BA314" i="3"/>
  <c r="AZ314" i="3" s="1"/>
  <c r="BL315" i="3"/>
  <c r="AZ315" i="3" s="1"/>
  <c r="G316" i="3"/>
  <c r="BA318" i="3"/>
  <c r="BL319" i="3"/>
  <c r="G320" i="3"/>
  <c r="BA322" i="3"/>
  <c r="AZ322" i="3"/>
  <c r="BL323" i="3"/>
  <c r="AZ323" i="3"/>
  <c r="G324" i="3"/>
  <c r="BA326" i="3"/>
  <c r="BL327" i="3"/>
  <c r="G328" i="3"/>
  <c r="BA330" i="3"/>
  <c r="AZ330" i="3"/>
  <c r="BL331" i="3"/>
  <c r="AZ331" i="3"/>
  <c r="G332" i="3"/>
  <c r="BA334" i="3"/>
  <c r="BL335" i="3"/>
  <c r="AZ335" i="3" s="1"/>
  <c r="G336" i="3"/>
  <c r="BA338" i="3"/>
  <c r="AZ338" i="3" s="1"/>
  <c r="BL339" i="3"/>
  <c r="AZ339" i="3" s="1"/>
  <c r="G340" i="3"/>
  <c r="G344" i="3"/>
  <c r="G348" i="3"/>
  <c r="G355" i="3"/>
  <c r="AZ209" i="3"/>
  <c r="AZ214" i="3"/>
  <c r="AZ222" i="3"/>
  <c r="AZ319" i="3"/>
  <c r="G342" i="3"/>
  <c r="AZ348" i="3"/>
  <c r="AZ349" i="3"/>
  <c r="G353" i="3"/>
  <c r="AZ357" i="3"/>
  <c r="AZ358" i="3"/>
  <c r="BA361" i="3"/>
  <c r="AZ361" i="3" s="1"/>
  <c r="BL362" i="3"/>
  <c r="AZ362" i="3" s="1"/>
  <c r="G363" i="3"/>
  <c r="BA365" i="3"/>
  <c r="AZ365" i="3" s="1"/>
  <c r="BL366" i="3"/>
  <c r="G367" i="3"/>
  <c r="AZ369" i="3"/>
  <c r="BL370" i="3"/>
  <c r="G371" i="3"/>
  <c r="BA373" i="3"/>
  <c r="AZ373" i="3"/>
  <c r="BL374" i="3"/>
  <c r="AZ374" i="3"/>
  <c r="G375" i="3"/>
  <c r="BA377" i="3"/>
  <c r="AZ229" i="3"/>
  <c r="AZ245" i="3"/>
  <c r="AZ253" i="3"/>
  <c r="AZ257" i="3"/>
  <c r="AZ261" i="3"/>
  <c r="AZ269" i="3"/>
  <c r="AZ273" i="3"/>
  <c r="AZ370" i="3"/>
  <c r="AZ379" i="3"/>
  <c r="BL380" i="3"/>
  <c r="G381" i="3"/>
  <c r="AZ383" i="3"/>
  <c r="G385" i="3"/>
  <c r="G389" i="3"/>
  <c r="AZ391" i="3"/>
  <c r="G393" i="3"/>
  <c r="AZ263" i="3"/>
  <c r="AZ275" i="3"/>
  <c r="AZ279" i="3"/>
  <c r="AZ283" i="3"/>
  <c r="AZ287" i="3"/>
  <c r="AZ291" i="3"/>
  <c r="AZ295" i="3"/>
  <c r="AZ299" i="3"/>
  <c r="BM5" i="3"/>
  <c r="BF5" i="3"/>
  <c r="AZ309" i="3"/>
  <c r="AZ325" i="3"/>
  <c r="AZ341" i="3"/>
  <c r="AC5" i="3"/>
  <c r="G548" i="3"/>
  <c r="BS5" i="3"/>
  <c r="BC5" i="3"/>
  <c r="G17" i="3"/>
  <c r="BA17" i="3"/>
  <c r="AZ350" i="3"/>
  <c r="AZ356" i="3"/>
  <c r="BA15" i="3"/>
  <c r="AZ384" i="3"/>
  <c r="AZ392" i="3"/>
  <c r="AZ396" i="3"/>
  <c r="AZ394" i="3"/>
  <c r="G509" i="3"/>
  <c r="BL493" i="3"/>
  <c r="U36" i="40"/>
  <c r="H117" i="43"/>
  <c r="D21" i="43"/>
  <c r="F42" i="43"/>
  <c r="I21" i="43"/>
  <c r="F39" i="43"/>
  <c r="J21" i="43"/>
  <c r="F6" i="1"/>
  <c r="U17" i="39"/>
  <c r="U43" i="21"/>
  <c r="U35" i="21"/>
  <c r="AC35" i="21"/>
  <c r="U10" i="21"/>
  <c r="G8" i="1"/>
  <c r="G9" i="1"/>
  <c r="G10" i="1"/>
  <c r="AC11" i="39"/>
  <c r="W37" i="37"/>
  <c r="W44" i="34"/>
  <c r="AC44" i="34"/>
  <c r="S15" i="37"/>
  <c r="U13" i="37"/>
  <c r="U12" i="40"/>
  <c r="AA12" i="40"/>
  <c r="J37" i="33"/>
  <c r="W37" i="33"/>
  <c r="AC17" i="34"/>
  <c r="F106" i="33"/>
  <c r="G106" i="33" s="1"/>
  <c r="H106" i="33" s="1"/>
  <c r="I106" i="33" s="1"/>
  <c r="J106" i="33" s="1"/>
  <c r="K106" i="33" s="1"/>
  <c r="L106" i="33" s="1"/>
  <c r="M106" i="33" s="1"/>
  <c r="J34" i="33"/>
  <c r="F33" i="34"/>
  <c r="H20" i="36"/>
  <c r="J20" i="36"/>
  <c r="J27" i="36"/>
  <c r="W27" i="36"/>
  <c r="AB25" i="37"/>
  <c r="F111" i="40"/>
  <c r="G111" i="40"/>
  <c r="H111" i="40" s="1"/>
  <c r="I111" i="40"/>
  <c r="J111" i="40" s="1"/>
  <c r="K111" i="40" s="1"/>
  <c r="L111" i="40" s="1"/>
  <c r="M111" i="40" s="1"/>
  <c r="H35" i="40"/>
  <c r="AB35" i="40"/>
  <c r="H35" i="37"/>
  <c r="U35" i="37"/>
  <c r="H20" i="35"/>
  <c r="F20" i="35"/>
  <c r="U29" i="36"/>
  <c r="H32" i="37"/>
  <c r="AB32" i="37"/>
  <c r="H27" i="40"/>
  <c r="J27" i="40"/>
  <c r="AC27" i="40" s="1"/>
  <c r="F27" i="40"/>
  <c r="S27" i="40" s="1"/>
  <c r="J30" i="40"/>
  <c r="F30" i="40"/>
  <c r="AC21" i="40"/>
  <c r="S11" i="40"/>
  <c r="E98" i="40"/>
  <c r="F98" i="40"/>
  <c r="G98" i="40" s="1"/>
  <c r="H98" i="40" s="1"/>
  <c r="I98" i="40" s="1"/>
  <c r="J98" i="40" s="1"/>
  <c r="K98" i="40" s="1"/>
  <c r="L98" i="40" s="1"/>
  <c r="M98" i="40" s="1"/>
  <c r="F10" i="33"/>
  <c r="F34" i="33"/>
  <c r="S34" i="33" s="1"/>
  <c r="H34" i="33"/>
  <c r="F35" i="33"/>
  <c r="S35" i="33" s="1"/>
  <c r="F39" i="34"/>
  <c r="J39" i="34"/>
  <c r="W39" i="34" s="1"/>
  <c r="F40" i="34"/>
  <c r="F43" i="34"/>
  <c r="H44" i="34"/>
  <c r="AB44" i="34" s="1"/>
  <c r="AC38" i="39"/>
  <c r="F39" i="39"/>
  <c r="S39" i="39"/>
  <c r="J39" i="39"/>
  <c r="AC39" i="39"/>
  <c r="E97" i="39"/>
  <c r="F97" i="39"/>
  <c r="G97" i="39" s="1"/>
  <c r="AZ353" i="3"/>
  <c r="AZ386" i="3"/>
  <c r="C40" i="11"/>
  <c r="AZ215" i="3"/>
  <c r="AZ223" i="3"/>
  <c r="AZ227" i="3"/>
  <c r="AZ235" i="3"/>
  <c r="AZ243" i="3"/>
  <c r="AZ251" i="3"/>
  <c r="AZ256" i="3"/>
  <c r="AZ259" i="3"/>
  <c r="AZ271" i="3"/>
  <c r="AZ280" i="3"/>
  <c r="AZ288" i="3"/>
  <c r="AZ296" i="3"/>
  <c r="AZ114" i="3"/>
  <c r="AZ117" i="3"/>
  <c r="AZ130" i="3"/>
  <c r="AZ21" i="3"/>
  <c r="AZ31" i="3"/>
  <c r="AZ33" i="3"/>
  <c r="AZ37" i="3"/>
  <c r="AZ45" i="3"/>
  <c r="AZ50" i="3"/>
  <c r="AZ53" i="3"/>
  <c r="AZ61" i="3"/>
  <c r="AZ69" i="3"/>
  <c r="AZ72" i="3"/>
  <c r="AZ74" i="3"/>
  <c r="AZ77" i="3"/>
  <c r="AZ82" i="3"/>
  <c r="AZ86" i="3"/>
  <c r="AZ94" i="3"/>
  <c r="AZ110" i="3"/>
  <c r="F23" i="39"/>
  <c r="AA23" i="39"/>
  <c r="H27" i="36"/>
  <c r="U27" i="36"/>
  <c r="F27" i="36"/>
  <c r="AA27" i="36"/>
  <c r="H33" i="34"/>
  <c r="U33" i="34"/>
  <c r="F32" i="37"/>
  <c r="AA32" i="37"/>
  <c r="H96" i="37"/>
  <c r="I96" i="37" s="1"/>
  <c r="J96" i="37" s="1"/>
  <c r="K96" i="37" s="1"/>
  <c r="L96" i="37" s="1"/>
  <c r="M96" i="37" s="1"/>
  <c r="F20" i="36"/>
  <c r="AA20" i="36" s="1"/>
  <c r="J33" i="34"/>
  <c r="H23" i="39"/>
  <c r="D48" i="9"/>
  <c r="M52" i="9" s="1"/>
  <c r="K9" i="1"/>
  <c r="M9" i="1" s="1"/>
  <c r="O9" i="1"/>
  <c r="AE9" i="1"/>
  <c r="D93" i="9"/>
  <c r="AC26" i="33"/>
  <c r="AB34" i="36"/>
  <c r="AB33" i="36"/>
  <c r="AC12" i="39"/>
  <c r="W12" i="39"/>
  <c r="AZ401" i="3"/>
  <c r="AZ433" i="3"/>
  <c r="E26" i="43"/>
  <c r="AA32" i="36"/>
  <c r="AZ408" i="3"/>
  <c r="AZ441" i="3"/>
  <c r="AZ473" i="3"/>
  <c r="BL14" i="3"/>
  <c r="W28" i="37"/>
  <c r="S19" i="39"/>
  <c r="H12" i="39"/>
  <c r="AB12" i="39" s="1"/>
  <c r="F39" i="40"/>
  <c r="AZ367" i="3"/>
  <c r="AZ213" i="3"/>
  <c r="AZ224" i="3"/>
  <c r="AZ234" i="3"/>
  <c r="AZ250" i="3"/>
  <c r="AZ281" i="3"/>
  <c r="AZ286" i="3"/>
  <c r="AZ297" i="3"/>
  <c r="AZ149" i="3"/>
  <c r="AZ157" i="3"/>
  <c r="AZ165" i="3"/>
  <c r="AZ173" i="3"/>
  <c r="AZ181" i="3"/>
  <c r="AZ189" i="3"/>
  <c r="AZ19" i="3"/>
  <c r="AZ35" i="3"/>
  <c r="S12" i="1"/>
  <c r="B12" i="1"/>
  <c r="E12" i="1" s="1"/>
  <c r="S10" i="1"/>
  <c r="R10" i="1"/>
  <c r="AZ84" i="3"/>
  <c r="AZ107" i="3"/>
  <c r="AZ111" i="3"/>
  <c r="K12" i="1"/>
  <c r="M12" i="1" s="1"/>
  <c r="S13" i="1"/>
  <c r="R13" i="1"/>
  <c r="S11" i="1"/>
  <c r="AQ11" i="1"/>
  <c r="R11" i="1"/>
  <c r="S9" i="1"/>
  <c r="AR9" i="1" s="1"/>
  <c r="R9" i="1"/>
  <c r="J51" i="67"/>
  <c r="C42" i="1"/>
  <c r="AA34" i="33"/>
  <c r="B41" i="1"/>
  <c r="F48" i="9" s="1"/>
  <c r="O52" i="9" s="1"/>
  <c r="F53" i="9"/>
  <c r="AB37" i="40"/>
  <c r="S35" i="40"/>
  <c r="U35" i="40"/>
  <c r="AC36" i="40"/>
  <c r="W38" i="40"/>
  <c r="AA32" i="40"/>
  <c r="S17" i="40"/>
  <c r="AC15" i="40"/>
  <c r="AA19" i="40"/>
  <c r="S28" i="40"/>
  <c r="AA27" i="40"/>
  <c r="AB19" i="40"/>
  <c r="U37" i="39"/>
  <c r="W39" i="39"/>
  <c r="S37" i="39"/>
  <c r="U35" i="39"/>
  <c r="F32" i="39"/>
  <c r="F107" i="39"/>
  <c r="G107" i="39" s="1"/>
  <c r="H107" i="39" s="1"/>
  <c r="I107" i="39" s="1"/>
  <c r="J107" i="39" s="1"/>
  <c r="K107" i="39" s="1"/>
  <c r="U25" i="39"/>
  <c r="S25" i="39"/>
  <c r="J21" i="39"/>
  <c r="AC21" i="39" s="1"/>
  <c r="F21" i="39"/>
  <c r="G95" i="39"/>
  <c r="H21" i="39"/>
  <c r="W19" i="39"/>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S14" i="36"/>
  <c r="U10" i="36"/>
  <c r="W10" i="36"/>
  <c r="W24" i="35"/>
  <c r="U29" i="35"/>
  <c r="U28" i="35"/>
  <c r="AB27" i="35"/>
  <c r="AC30" i="35"/>
  <c r="S28" i="35"/>
  <c r="AC20" i="35"/>
  <c r="U14" i="35"/>
  <c r="AA10" i="35"/>
  <c r="AA11" i="35"/>
  <c r="S8" i="35"/>
  <c r="AC12" i="35"/>
  <c r="AB40" i="37"/>
  <c r="S25" i="37"/>
  <c r="S26" i="37"/>
  <c r="AC9" i="37"/>
  <c r="U29" i="37"/>
  <c r="S32" i="37"/>
  <c r="AB31" i="37"/>
  <c r="W30" i="37"/>
  <c r="S36" i="37"/>
  <c r="AA38" i="37"/>
  <c r="U32" i="37"/>
  <c r="W38" i="37"/>
  <c r="S30" i="37"/>
  <c r="S37" i="37"/>
  <c r="AC15" i="37"/>
  <c r="J17" i="37"/>
  <c r="W17" i="37"/>
  <c r="F17" i="37"/>
  <c r="AB17" i="37"/>
  <c r="F19" i="37"/>
  <c r="AA19" i="37" s="1"/>
  <c r="F23" i="37"/>
  <c r="S23" i="37" s="1"/>
  <c r="U23" i="37"/>
  <c r="AC13" i="37"/>
  <c r="AA13" i="37"/>
  <c r="AA9" i="37"/>
  <c r="H10" i="37"/>
  <c r="H60" i="37"/>
  <c r="I60" i="37" s="1"/>
  <c r="F11" i="37"/>
  <c r="AB8" i="34"/>
  <c r="U44" i="34"/>
  <c r="AC39" i="34"/>
  <c r="W41" i="34"/>
  <c r="AC42" i="34"/>
  <c r="AB35" i="34"/>
  <c r="AB41" i="34"/>
  <c r="AA25" i="34"/>
  <c r="U28" i="34"/>
  <c r="S17" i="34"/>
  <c r="S23" i="34"/>
  <c r="U15" i="34"/>
  <c r="S10" i="34"/>
  <c r="H67" i="34"/>
  <c r="H10" i="34"/>
  <c r="F11" i="34"/>
  <c r="S11" i="34" s="1"/>
  <c r="F70" i="34"/>
  <c r="G70" i="34" s="1"/>
  <c r="W42" i="33"/>
  <c r="AA35" i="33"/>
  <c r="S32" i="33"/>
  <c r="AB29" i="33"/>
  <c r="H41" i="33"/>
  <c r="AB41" i="33" s="1"/>
  <c r="G121" i="33"/>
  <c r="H121" i="33" s="1"/>
  <c r="I121" i="33" s="1"/>
  <c r="J121" i="33" s="1"/>
  <c r="K121" i="33"/>
  <c r="L121" i="33" s="1"/>
  <c r="M121" i="33" s="1"/>
  <c r="S42" i="33"/>
  <c r="F36" i="33"/>
  <c r="G111" i="33"/>
  <c r="H111" i="33" s="1"/>
  <c r="I111" i="33" s="1"/>
  <c r="H108" i="33"/>
  <c r="I108" i="33" s="1"/>
  <c r="J108" i="33"/>
  <c r="K108" i="33" s="1"/>
  <c r="L108" i="33" s="1"/>
  <c r="M108" i="33" s="1"/>
  <c r="J35" i="33"/>
  <c r="W35" i="33" s="1"/>
  <c r="S37" i="33"/>
  <c r="AA37" i="33"/>
  <c r="F101" i="33"/>
  <c r="G101" i="33" s="1"/>
  <c r="H101" i="33"/>
  <c r="I101" i="33" s="1"/>
  <c r="J101" i="33" s="1"/>
  <c r="K101" i="33" s="1"/>
  <c r="L101" i="33" s="1"/>
  <c r="M101" i="33" s="1"/>
  <c r="J32" i="33"/>
  <c r="W43" i="33"/>
  <c r="F87" i="33"/>
  <c r="H25" i="33"/>
  <c r="F25" i="33"/>
  <c r="J23" i="33"/>
  <c r="F85" i="33"/>
  <c r="G85" i="33" s="1"/>
  <c r="H23" i="33"/>
  <c r="F81" i="33"/>
  <c r="F19" i="33"/>
  <c r="S19" i="33"/>
  <c r="W19" i="33"/>
  <c r="J17" i="33"/>
  <c r="AC17" i="33" s="1"/>
  <c r="S15" i="33"/>
  <c r="W15" i="33"/>
  <c r="J10" i="33"/>
  <c r="W10" i="33" s="1"/>
  <c r="H10" i="33"/>
  <c r="W36" i="21"/>
  <c r="AB39" i="21"/>
  <c r="AA43" i="21"/>
  <c r="S39" i="21"/>
  <c r="AA38" i="21"/>
  <c r="AA36" i="21"/>
  <c r="AC40" i="21"/>
  <c r="J15" i="21"/>
  <c r="F77" i="21"/>
  <c r="G77" i="21" s="1"/>
  <c r="F23" i="21"/>
  <c r="S23" i="21" s="1"/>
  <c r="E85" i="21"/>
  <c r="F85" i="21" s="1"/>
  <c r="G85" i="21" s="1"/>
  <c r="AC11" i="21"/>
  <c r="AA14" i="21"/>
  <c r="AB8" i="21"/>
  <c r="S8" i="21"/>
  <c r="M3" i="43"/>
  <c r="M1" i="43"/>
  <c r="N8" i="43"/>
  <c r="D120" i="9"/>
  <c r="D121" i="9" s="1"/>
  <c r="D7" i="52" s="1"/>
  <c r="D18" i="9"/>
  <c r="F34" i="67"/>
  <c r="F62" i="67"/>
  <c r="M20" i="67"/>
  <c r="F34" i="15"/>
  <c r="F62" i="15" s="1"/>
  <c r="J56" i="9"/>
  <c r="J57" i="9"/>
  <c r="J59" i="9" s="1"/>
  <c r="J61" i="9" s="1"/>
  <c r="A24" i="51"/>
  <c r="B18" i="72"/>
  <c r="E32" i="6"/>
  <c r="L19" i="6"/>
  <c r="G1" i="68"/>
  <c r="AR10" i="1"/>
  <c r="E19" i="69"/>
  <c r="E19" i="68"/>
  <c r="E19" i="11"/>
  <c r="E1" i="73"/>
  <c r="G22" i="69"/>
  <c r="G22" i="68"/>
  <c r="G26" i="12"/>
  <c r="G22" i="11"/>
  <c r="E84" i="43"/>
  <c r="B82" i="43" s="1"/>
  <c r="Z7" i="43"/>
  <c r="E73" i="43"/>
  <c r="B71" i="43" s="1"/>
  <c r="H21" i="43"/>
  <c r="G6" i="1"/>
  <c r="C21" i="43"/>
  <c r="F37" i="43"/>
  <c r="K21" i="43"/>
  <c r="F38" i="43"/>
  <c r="N6" i="43"/>
  <c r="N3" i="43"/>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s="1"/>
  <c r="B14" i="72" s="1"/>
  <c r="C59" i="34"/>
  <c r="D59" i="34" s="1"/>
  <c r="A4" i="51"/>
  <c r="B6" i="72" s="1"/>
  <c r="C48" i="35"/>
  <c r="D48" i="35" s="1"/>
  <c r="E48" i="35" s="1"/>
  <c r="F48" i="35" s="1"/>
  <c r="C4" i="12"/>
  <c r="L20" i="6"/>
  <c r="B6" i="1"/>
  <c r="E6" i="1" s="1"/>
  <c r="S8" i="1"/>
  <c r="K11" i="1"/>
  <c r="M11" i="1"/>
  <c r="AP6" i="1"/>
  <c r="B9" i="1"/>
  <c r="E9" i="1" s="1"/>
  <c r="K7" i="1"/>
  <c r="M7" i="1" s="1"/>
  <c r="G1" i="69"/>
  <c r="W23" i="40"/>
  <c r="U32" i="40"/>
  <c r="AB28" i="40"/>
  <c r="W28" i="40"/>
  <c r="W34" i="40"/>
  <c r="W27" i="40"/>
  <c r="W37" i="40"/>
  <c r="AC14" i="40"/>
  <c r="S13" i="40"/>
  <c r="AA15" i="40"/>
  <c r="U11" i="40"/>
  <c r="AB13" i="40"/>
  <c r="U15" i="40"/>
  <c r="AB17" i="40"/>
  <c r="U8" i="40"/>
  <c r="S8" i="40"/>
  <c r="AA39" i="39"/>
  <c r="U41" i="39"/>
  <c r="AB41" i="39"/>
  <c r="W25" i="39"/>
  <c r="U13" i="39"/>
  <c r="AA13" i="39"/>
  <c r="S13" i="39"/>
  <c r="S14" i="39"/>
  <c r="AB11" i="39"/>
  <c r="AA27" i="39"/>
  <c r="S27" i="39"/>
  <c r="S23" i="39"/>
  <c r="AB39" i="39"/>
  <c r="U38" i="39"/>
  <c r="S20" i="36"/>
  <c r="AC25" i="36"/>
  <c r="S28" i="36"/>
  <c r="W29" i="36"/>
  <c r="U25" i="36"/>
  <c r="AA13" i="36"/>
  <c r="W9" i="36"/>
  <c r="W22" i="36"/>
  <c r="W23" i="36"/>
  <c r="S9" i="36"/>
  <c r="S24" i="35"/>
  <c r="U24" i="35"/>
  <c r="W36" i="37"/>
  <c r="S28" i="37"/>
  <c r="W32" i="37"/>
  <c r="U36" i="37"/>
  <c r="U38" i="37"/>
  <c r="S33" i="37"/>
  <c r="AC34" i="37"/>
  <c r="AB35" i="37"/>
  <c r="AA31" i="37"/>
  <c r="AA8" i="37"/>
  <c r="U8" i="37"/>
  <c r="AB40" i="34"/>
  <c r="W19" i="34"/>
  <c r="AB33" i="34"/>
  <c r="AA30" i="34"/>
  <c r="AB36" i="34"/>
  <c r="AC14" i="34"/>
  <c r="AC29" i="34"/>
  <c r="W46" i="34"/>
  <c r="AC46" i="34"/>
  <c r="S32" i="34"/>
  <c r="AA32" i="34"/>
  <c r="U30" i="34"/>
  <c r="AB30" i="34"/>
  <c r="AC40" i="34"/>
  <c r="W40" i="34"/>
  <c r="AA19" i="34"/>
  <c r="AA36" i="34"/>
  <c r="S36" i="34"/>
  <c r="AA8" i="34"/>
  <c r="S8" i="34"/>
  <c r="AB9" i="34"/>
  <c r="S46" i="34"/>
  <c r="U32" i="34"/>
  <c r="U14" i="34"/>
  <c r="AC43" i="34"/>
  <c r="W43" i="34"/>
  <c r="AA11" i="34"/>
  <c r="W23" i="34"/>
  <c r="AC23" i="34"/>
  <c r="W35" i="34"/>
  <c r="U12" i="34"/>
  <c r="AB12" i="34"/>
  <c r="AC37" i="33"/>
  <c r="U39" i="33"/>
  <c r="U44" i="33"/>
  <c r="AC14" i="33"/>
  <c r="S31" i="33"/>
  <c r="AA31" i="33"/>
  <c r="W13" i="33"/>
  <c r="AC13" i="33"/>
  <c r="U15" i="33"/>
  <c r="S11" i="33"/>
  <c r="U37" i="33"/>
  <c r="W8" i="33"/>
  <c r="AB42" i="21"/>
  <c r="U28" i="21"/>
  <c r="S45" i="21"/>
  <c r="K101" i="21"/>
  <c r="L101" i="21" s="1"/>
  <c r="M101" i="21" s="1"/>
  <c r="F33" i="21"/>
  <c r="J33" i="21"/>
  <c r="H33" i="21"/>
  <c r="AB33" i="21"/>
  <c r="F37" i="21"/>
  <c r="AA37" i="21"/>
  <c r="AB14" i="21"/>
  <c r="U31" i="21"/>
  <c r="W8" i="21"/>
  <c r="S35" i="21"/>
  <c r="AB37" i="21"/>
  <c r="J37" i="21"/>
  <c r="W37" i="21"/>
  <c r="H15" i="21"/>
  <c r="U15" i="21"/>
  <c r="J17" i="21"/>
  <c r="AC17" i="21"/>
  <c r="AC14" i="21"/>
  <c r="W30" i="21"/>
  <c r="H45" i="21"/>
  <c r="F13" i="21"/>
  <c r="H32" i="21"/>
  <c r="H9" i="21"/>
  <c r="J9" i="21"/>
  <c r="J32" i="21"/>
  <c r="F32" i="21"/>
  <c r="AA31" i="21"/>
  <c r="U17" i="21"/>
  <c r="S19" i="21"/>
  <c r="S9" i="21"/>
  <c r="K141" i="21"/>
  <c r="AB25" i="21"/>
  <c r="AA30" i="21"/>
  <c r="W42" i="21"/>
  <c r="F10" i="21"/>
  <c r="W17" i="21"/>
  <c r="W25" i="21"/>
  <c r="W31" i="21"/>
  <c r="S17" i="21"/>
  <c r="AA15" i="21"/>
  <c r="AC26" i="21"/>
  <c r="S28" i="21"/>
  <c r="AC34" i="21"/>
  <c r="W10" i="21"/>
  <c r="AB36" i="21"/>
  <c r="C19" i="39"/>
  <c r="C15" i="40"/>
  <c r="C17" i="40"/>
  <c r="C23" i="40"/>
  <c r="C21" i="40"/>
  <c r="U30" i="40"/>
  <c r="B57" i="43"/>
  <c r="B68" i="43"/>
  <c r="B52" i="43"/>
  <c r="B55" i="43"/>
  <c r="B59" i="43"/>
  <c r="B63" i="43"/>
  <c r="B66" i="43"/>
  <c r="B70" i="43"/>
  <c r="D23" i="15"/>
  <c r="D22" i="15"/>
  <c r="E4" i="4"/>
  <c r="B5" i="62" s="1"/>
  <c r="B73" i="72" s="1"/>
  <c r="C4" i="4"/>
  <c r="F30" i="68"/>
  <c r="F30" i="11"/>
  <c r="C48" i="11" s="1"/>
  <c r="F28" i="67"/>
  <c r="F31" i="12"/>
  <c r="F52" i="9"/>
  <c r="M18" i="67"/>
  <c r="F32" i="67"/>
  <c r="F60" i="67" s="1"/>
  <c r="F30" i="69"/>
  <c r="F32" i="15"/>
  <c r="F60" i="15" s="1"/>
  <c r="M18" i="15"/>
  <c r="F28" i="15"/>
  <c r="T11" i="1"/>
  <c r="AQ9" i="1"/>
  <c r="AR11" i="1"/>
  <c r="T9" i="1"/>
  <c r="S7" i="1"/>
  <c r="E7" i="70"/>
  <c r="D68" i="9"/>
  <c r="F54" i="9"/>
  <c r="J32" i="39"/>
  <c r="L107" i="39"/>
  <c r="M107" i="39" s="1"/>
  <c r="H32" i="39"/>
  <c r="AA32" i="39"/>
  <c r="S32" i="39"/>
  <c r="AB21" i="39"/>
  <c r="U21" i="39"/>
  <c r="AA21" i="39"/>
  <c r="S21" i="39"/>
  <c r="W21" i="39"/>
  <c r="AC17" i="37"/>
  <c r="J19" i="37"/>
  <c r="W19" i="37" s="1"/>
  <c r="S19" i="37"/>
  <c r="J23" i="37"/>
  <c r="G79" i="37"/>
  <c r="J10" i="37"/>
  <c r="H11" i="37"/>
  <c r="AB10" i="37"/>
  <c r="U10" i="37"/>
  <c r="H11" i="34"/>
  <c r="AB11" i="34" s="1"/>
  <c r="AB10" i="34"/>
  <c r="U10" i="34"/>
  <c r="J10" i="34"/>
  <c r="I67" i="34"/>
  <c r="U41" i="33"/>
  <c r="J111" i="33"/>
  <c r="K111" i="33" s="1"/>
  <c r="L111" i="33"/>
  <c r="M111" i="33" s="1"/>
  <c r="J36" i="33"/>
  <c r="AC36" i="33" s="1"/>
  <c r="H36" i="33"/>
  <c r="S36" i="33"/>
  <c r="AA36" i="33"/>
  <c r="AC32" i="33"/>
  <c r="W32" i="33"/>
  <c r="G91" i="33"/>
  <c r="H91" i="33" s="1"/>
  <c r="I91" i="33" s="1"/>
  <c r="J91" i="33" s="1"/>
  <c r="K91" i="33" s="1"/>
  <c r="L91" i="33" s="1"/>
  <c r="M91" i="33" s="1"/>
  <c r="J27" i="33"/>
  <c r="U25" i="33"/>
  <c r="AB25" i="33"/>
  <c r="G87" i="33"/>
  <c r="H87" i="33" s="1"/>
  <c r="I87" i="33" s="1"/>
  <c r="J87" i="33" s="1"/>
  <c r="K87" i="33"/>
  <c r="L87" i="33" s="1"/>
  <c r="M87" i="33" s="1"/>
  <c r="J25" i="33"/>
  <c r="AB23" i="33"/>
  <c r="U23" i="33"/>
  <c r="F23" i="33"/>
  <c r="AA23" i="33" s="1"/>
  <c r="AC23" i="33"/>
  <c r="W23" i="33"/>
  <c r="AA19" i="33"/>
  <c r="H19" i="33"/>
  <c r="G81" i="33"/>
  <c r="G79" i="33"/>
  <c r="H17" i="33"/>
  <c r="U17" i="33" s="1"/>
  <c r="F17" i="33"/>
  <c r="W17" i="33"/>
  <c r="U10" i="33"/>
  <c r="AB10" i="33"/>
  <c r="AC10" i="33"/>
  <c r="AC37" i="21"/>
  <c r="U33" i="21"/>
  <c r="S37" i="21"/>
  <c r="AA23" i="21"/>
  <c r="AB15" i="21"/>
  <c r="J23" i="21"/>
  <c r="H23" i="21"/>
  <c r="U23" i="21" s="1"/>
  <c r="S6" i="1"/>
  <c r="AQ6" i="1"/>
  <c r="AR6" i="1"/>
  <c r="AR8" i="1"/>
  <c r="T8" i="1"/>
  <c r="AQ7" i="1"/>
  <c r="L27" i="6"/>
  <c r="AP7" i="1"/>
  <c r="O7" i="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AC19" i="37"/>
  <c r="W23" i="37"/>
  <c r="AC23" i="37"/>
  <c r="AB11" i="37"/>
  <c r="U11" i="37"/>
  <c r="I63" i="37"/>
  <c r="J63" i="37" s="1"/>
  <c r="K63" i="37" s="1"/>
  <c r="L63" i="37" s="1"/>
  <c r="M63" i="37" s="1"/>
  <c r="J11" i="37"/>
  <c r="W10" i="37"/>
  <c r="AC10" i="37"/>
  <c r="U11" i="34"/>
  <c r="AC10" i="34"/>
  <c r="W10" i="34"/>
  <c r="H70" i="34"/>
  <c r="I70" i="34" s="1"/>
  <c r="J70" i="34"/>
  <c r="K70" i="34" s="1"/>
  <c r="L70" i="34" s="1"/>
  <c r="M70" i="34" s="1"/>
  <c r="J11" i="34"/>
  <c r="AC11" i="34" s="1"/>
  <c r="W36" i="33"/>
  <c r="U36" i="33"/>
  <c r="AB36" i="33"/>
  <c r="W27" i="33"/>
  <c r="AC27" i="33"/>
  <c r="W25" i="33"/>
  <c r="AC25" i="33"/>
  <c r="S23" i="33"/>
  <c r="AB19" i="33"/>
  <c r="U19" i="33"/>
  <c r="AA17" i="33"/>
  <c r="S17" i="33"/>
  <c r="AB17" i="33"/>
  <c r="AB23" i="21"/>
  <c r="AC23" i="21"/>
  <c r="W23" i="21"/>
  <c r="T6" i="1"/>
  <c r="P7" i="1"/>
  <c r="AC11" i="37"/>
  <c r="W11" i="37"/>
  <c r="W11" i="34"/>
  <c r="R7" i="1"/>
  <c r="F34" i="11"/>
  <c r="C36" i="11" s="1"/>
  <c r="F11" i="12"/>
  <c r="C23" i="12" s="1"/>
  <c r="F34" i="68"/>
  <c r="R8" i="1"/>
  <c r="R6" i="1"/>
  <c r="E2" i="70"/>
  <c r="AE7" i="1"/>
  <c r="AE8" i="1"/>
  <c r="AE6" i="1"/>
  <c r="AG6" i="1"/>
  <c r="H109" i="9"/>
  <c r="H110" i="9"/>
  <c r="D18" i="53"/>
  <c r="B35" i="72" s="1"/>
  <c r="D124" i="9"/>
  <c r="H14" i="74" s="1"/>
  <c r="B7" i="74" s="1"/>
  <c r="D16" i="53"/>
  <c r="B34" i="72" s="1"/>
  <c r="D10" i="52"/>
  <c r="D125" i="9"/>
  <c r="D11" i="52" s="1"/>
  <c r="H112" i="9"/>
  <c r="D21" i="53" s="1"/>
  <c r="B39" i="72" s="1"/>
  <c r="H111" i="9"/>
  <c r="D126" i="9" s="1"/>
  <c r="D19" i="53"/>
  <c r="B38" i="72" s="1"/>
  <c r="D20" i="53"/>
  <c r="B40" i="72" s="1"/>
  <c r="J1" i="73"/>
  <c r="C13" i="12"/>
  <c r="C77" i="9"/>
  <c r="C74" i="9" s="1"/>
  <c r="C30" i="68"/>
  <c r="M4" i="43"/>
  <c r="M5" i="43"/>
  <c r="N12" i="43"/>
  <c r="N11" i="43"/>
  <c r="M10" i="43"/>
  <c r="M2" i="43"/>
  <c r="M8" i="43"/>
  <c r="M7" i="43"/>
  <c r="N9" i="43"/>
  <c r="N10" i="43"/>
  <c r="M6" i="43"/>
  <c r="C6" i="43" s="1"/>
  <c r="N7" i="43"/>
  <c r="N4" i="43"/>
  <c r="N2" i="43"/>
  <c r="F51" i="43" s="1"/>
  <c r="H55" i="43" s="1"/>
  <c r="N21" i="43"/>
  <c r="L21" i="43"/>
  <c r="O21" i="43"/>
  <c r="M21" i="43"/>
  <c r="E21" i="43"/>
  <c r="C24" i="12"/>
  <c r="T25" i="71"/>
  <c r="C94" i="9"/>
  <c r="C92" i="9"/>
  <c r="F94" i="43"/>
  <c r="N370" i="46"/>
  <c r="X7" i="43"/>
  <c r="F73" i="43"/>
  <c r="H76" i="43" s="1"/>
  <c r="F62" i="43"/>
  <c r="H66" i="43" s="1"/>
  <c r="D81" i="71"/>
  <c r="D73" i="71"/>
  <c r="B68" i="71"/>
  <c r="O68" i="71" s="1"/>
  <c r="M11" i="43"/>
  <c r="E62" i="43"/>
  <c r="B60" i="43" s="1"/>
  <c r="B117" i="43"/>
  <c r="I122" i="43" s="1"/>
  <c r="J122" i="43" s="1"/>
  <c r="K122" i="43" s="1"/>
  <c r="L122" i="43" s="1"/>
  <c r="M122" i="43" s="1"/>
  <c r="N94" i="46"/>
  <c r="G26" i="43"/>
  <c r="D23" i="67"/>
  <c r="G25" i="12"/>
  <c r="G41" i="11"/>
  <c r="G27" i="12"/>
  <c r="G41" i="68"/>
  <c r="K4" i="4"/>
  <c r="B46" i="48" s="1"/>
  <c r="B4" i="72"/>
  <c r="B4" i="62"/>
  <c r="B71" i="72"/>
  <c r="K120" i="9"/>
  <c r="A18" i="62" s="1"/>
  <c r="B64" i="72" s="1"/>
  <c r="D123" i="43"/>
  <c r="E123" i="43" s="1"/>
  <c r="F123" i="43" s="1"/>
  <c r="G123" i="43" s="1"/>
  <c r="H123" i="43" s="1"/>
  <c r="B67" i="71"/>
  <c r="O66" i="71" s="1"/>
  <c r="M32" i="43"/>
  <c r="N32" i="43"/>
  <c r="O32" i="43"/>
  <c r="P32" i="43"/>
  <c r="C24" i="43"/>
  <c r="E44" i="43"/>
  <c r="C44" i="43" s="1"/>
  <c r="J26" i="43"/>
  <c r="G48" i="35"/>
  <c r="H48" i="35" s="1"/>
  <c r="AO6" i="1"/>
  <c r="D2" i="36"/>
  <c r="D19" i="9"/>
  <c r="AO8" i="1"/>
  <c r="D6" i="73"/>
  <c r="AO7" i="1"/>
  <c r="B10" i="76"/>
  <c r="AO9" i="1"/>
  <c r="B9" i="76"/>
  <c r="B7" i="76"/>
  <c r="F6" i="73"/>
  <c r="AO10" i="1"/>
  <c r="E2" i="68"/>
  <c r="E2" i="69"/>
  <c r="D5" i="73"/>
  <c r="D3" i="73"/>
  <c r="E7" i="76"/>
  <c r="D35" i="9"/>
  <c r="E8" i="76"/>
  <c r="E9" i="76"/>
  <c r="D34" i="9"/>
  <c r="D2" i="33"/>
  <c r="AO12" i="1"/>
  <c r="D2" i="34"/>
  <c r="B11" i="76"/>
  <c r="E10" i="76"/>
  <c r="AO11" i="1"/>
  <c r="B8" i="76"/>
  <c r="E11" i="76"/>
  <c r="F4" i="73"/>
  <c r="F7" i="73"/>
  <c r="D2" i="37"/>
  <c r="B13" i="76"/>
  <c r="AO13" i="1"/>
  <c r="E13" i="76"/>
  <c r="D20" i="9"/>
  <c r="F5" i="73"/>
  <c r="F20" i="31"/>
  <c r="D4" i="73"/>
  <c r="E12" i="76"/>
  <c r="F3" i="73"/>
  <c r="D2" i="35"/>
  <c r="C19" i="9"/>
  <c r="C20" i="9"/>
  <c r="D2" i="21"/>
  <c r="D7" i="73"/>
  <c r="B12" i="76"/>
  <c r="D52" i="43" l="1"/>
  <c r="D54" i="43"/>
  <c r="D56" i="43"/>
  <c r="D17" i="53"/>
  <c r="B36" i="72" s="1"/>
  <c r="O67" i="71"/>
  <c r="I14" i="74"/>
  <c r="B8" i="74" s="1"/>
  <c r="D127" i="9"/>
  <c r="D13" i="52" s="1"/>
  <c r="D12" i="52"/>
  <c r="D6" i="52"/>
  <c r="AC35" i="33"/>
  <c r="AA23" i="37"/>
  <c r="U45" i="21"/>
  <c r="AB45" i="21"/>
  <c r="AA25" i="33"/>
  <c r="S25" i="33"/>
  <c r="AA39" i="40"/>
  <c r="S39" i="40"/>
  <c r="AA30" i="40"/>
  <c r="S30" i="40"/>
  <c r="U27" i="40"/>
  <c r="AB27" i="40"/>
  <c r="U20" i="35"/>
  <c r="AB20" i="35"/>
  <c r="AC42" i="39"/>
  <c r="W42" i="39"/>
  <c r="S12" i="37"/>
  <c r="AA12" i="37"/>
  <c r="AB19" i="37"/>
  <c r="U19" i="37"/>
  <c r="AB32" i="36"/>
  <c r="U32" i="36"/>
  <c r="W26" i="36"/>
  <c r="AC26" i="36"/>
  <c r="AC11" i="35"/>
  <c r="W11" i="35"/>
  <c r="U46" i="34"/>
  <c r="AB46" i="34"/>
  <c r="W30" i="34"/>
  <c r="AC30" i="34"/>
  <c r="S14" i="34"/>
  <c r="AA14" i="34"/>
  <c r="AA45" i="33"/>
  <c r="S45" i="33"/>
  <c r="U45" i="33"/>
  <c r="AB45" i="33"/>
  <c r="S29" i="33"/>
  <c r="AA29" i="33"/>
  <c r="AC29" i="33"/>
  <c r="W29" i="33"/>
  <c r="AB13" i="33"/>
  <c r="U13" i="33"/>
  <c r="S30" i="35"/>
  <c r="AA30" i="35"/>
  <c r="S33" i="35"/>
  <c r="AA33" i="35"/>
  <c r="AA28" i="33"/>
  <c r="S28" i="33"/>
  <c r="U26" i="33"/>
  <c r="AB26" i="33"/>
  <c r="AC37" i="34"/>
  <c r="W37" i="34"/>
  <c r="AB42" i="39"/>
  <c r="U42" i="39"/>
  <c r="AA21" i="40"/>
  <c r="S21" i="40"/>
  <c r="AA17" i="39"/>
  <c r="S17" i="39"/>
  <c r="S26" i="21"/>
  <c r="AA26" i="21"/>
  <c r="AB12" i="21"/>
  <c r="U12" i="21"/>
  <c r="W19" i="21"/>
  <c r="AC19" i="21"/>
  <c r="BL587" i="3"/>
  <c r="BA587" i="3"/>
  <c r="AZ587" i="3" s="1"/>
  <c r="C31" i="12"/>
  <c r="C28" i="15"/>
  <c r="C30" i="69"/>
  <c r="C48" i="68"/>
  <c r="AR13" i="1"/>
  <c r="T13" i="1"/>
  <c r="AQ13" i="1"/>
  <c r="S40" i="34"/>
  <c r="AA40" i="34"/>
  <c r="S39" i="34"/>
  <c r="AA39" i="34"/>
  <c r="U34" i="33"/>
  <c r="AB34" i="33"/>
  <c r="S10" i="33"/>
  <c r="AA10" i="33"/>
  <c r="W20" i="36"/>
  <c r="AC20" i="36"/>
  <c r="W34" i="33"/>
  <c r="AC34" i="33"/>
  <c r="D9" i="53"/>
  <c r="B25" i="72" s="1"/>
  <c r="B24" i="72"/>
  <c r="AC19" i="40"/>
  <c r="W19" i="40"/>
  <c r="AA39" i="33"/>
  <c r="S39" i="33"/>
  <c r="AZ509" i="3"/>
  <c r="AZ512" i="3"/>
  <c r="U31" i="33"/>
  <c r="U14" i="33"/>
  <c r="AB14" i="33"/>
  <c r="AC40" i="37"/>
  <c r="W40" i="37"/>
  <c r="U37" i="37"/>
  <c r="AB37" i="37"/>
  <c r="W10" i="35"/>
  <c r="AC10" i="35"/>
  <c r="S11" i="21"/>
  <c r="AA11" i="21"/>
  <c r="AC17" i="39"/>
  <c r="W17" i="39"/>
  <c r="U27" i="39"/>
  <c r="AB27" i="39"/>
  <c r="AC31" i="39"/>
  <c r="W31" i="39"/>
  <c r="AA26" i="33"/>
  <c r="S26" i="33"/>
  <c r="J29" i="21"/>
  <c r="H29" i="21"/>
  <c r="F29" i="21"/>
  <c r="J44" i="21"/>
  <c r="H44" i="21"/>
  <c r="F44" i="21"/>
  <c r="AZ549" i="3"/>
  <c r="BN5" i="3"/>
  <c r="C28" i="67"/>
  <c r="AA13" i="21"/>
  <c r="S13" i="21"/>
  <c r="O11" i="1"/>
  <c r="P11" i="1"/>
  <c r="AQ8" i="1"/>
  <c r="S16" i="1"/>
  <c r="O12" i="1"/>
  <c r="P12" i="1" s="1"/>
  <c r="AQ10" i="1"/>
  <c r="T10" i="1"/>
  <c r="AR12" i="1"/>
  <c r="T12" i="1"/>
  <c r="AQ12" i="1"/>
  <c r="AC33" i="34"/>
  <c r="W33" i="34"/>
  <c r="AZ15" i="3"/>
  <c r="F29" i="6"/>
  <c r="AB9" i="37"/>
  <c r="U9" i="37"/>
  <c r="S36" i="35"/>
  <c r="AA36" i="35"/>
  <c r="AA43" i="33"/>
  <c r="S43" i="33"/>
  <c r="AZ561" i="3"/>
  <c r="AZ577" i="3"/>
  <c r="AZ536" i="3"/>
  <c r="W41" i="39"/>
  <c r="AC41" i="39"/>
  <c r="W13" i="39"/>
  <c r="AC13" i="39"/>
  <c r="AA13" i="34"/>
  <c r="S13" i="34"/>
  <c r="U13" i="34"/>
  <c r="AB13" i="34"/>
  <c r="AA46" i="33"/>
  <c r="S46" i="33"/>
  <c r="S44" i="33"/>
  <c r="AA44" i="33"/>
  <c r="W30" i="33"/>
  <c r="AC30" i="33"/>
  <c r="S29" i="37"/>
  <c r="AA29" i="37"/>
  <c r="AC13" i="36"/>
  <c r="W13" i="36"/>
  <c r="AA11" i="36"/>
  <c r="S11" i="36"/>
  <c r="AB25" i="34"/>
  <c r="U25" i="34"/>
  <c r="W17" i="40"/>
  <c r="AC17" i="40"/>
  <c r="AA23" i="40"/>
  <c r="S23" i="40"/>
  <c r="AA36" i="40"/>
  <c r="S36" i="40"/>
  <c r="AC15" i="34"/>
  <c r="W15" i="34"/>
  <c r="AA37" i="34"/>
  <c r="S37" i="34"/>
  <c r="AC33" i="37"/>
  <c r="W33" i="37"/>
  <c r="AC29" i="35"/>
  <c r="W29" i="35"/>
  <c r="S16" i="35"/>
  <c r="AA16" i="35"/>
  <c r="AA23" i="35"/>
  <c r="S23" i="35"/>
  <c r="S34" i="36"/>
  <c r="AA34" i="36"/>
  <c r="U10" i="35"/>
  <c r="AB10" i="35"/>
  <c r="AB30" i="35"/>
  <c r="U30" i="35"/>
  <c r="U34" i="39"/>
  <c r="AB34" i="39"/>
  <c r="AB40" i="39"/>
  <c r="U40" i="39"/>
  <c r="AA42" i="39"/>
  <c r="S42" i="39"/>
  <c r="AB22" i="35"/>
  <c r="U22" i="35"/>
  <c r="BL585" i="3"/>
  <c r="AZ585" i="3" s="1"/>
  <c r="AC43" i="21"/>
  <c r="W43" i="21"/>
  <c r="AB40" i="21"/>
  <c r="U40" i="21"/>
  <c r="AC39" i="21"/>
  <c r="W39" i="21"/>
  <c r="W38" i="21"/>
  <c r="AC38" i="21"/>
  <c r="H13" i="21"/>
  <c r="J13" i="21"/>
  <c r="AA8" i="33"/>
  <c r="S8" i="33"/>
  <c r="AB9" i="33"/>
  <c r="U9" i="33"/>
  <c r="AA33" i="33"/>
  <c r="S33" i="33"/>
  <c r="AC33" i="33"/>
  <c r="W33" i="33"/>
  <c r="AB38" i="33"/>
  <c r="U38" i="33"/>
  <c r="AC9" i="34"/>
  <c r="W9" i="34"/>
  <c r="AC34" i="34"/>
  <c r="W34" i="34"/>
  <c r="AB39" i="34"/>
  <c r="U39" i="34"/>
  <c r="J27" i="34"/>
  <c r="F27" i="34"/>
  <c r="H27" i="34"/>
  <c r="U11" i="36"/>
  <c r="AB11" i="36"/>
  <c r="AB12" i="37"/>
  <c r="U12" i="37"/>
  <c r="AZ534" i="3"/>
  <c r="AZ530" i="3"/>
  <c r="AZ521" i="3"/>
  <c r="AZ520" i="3"/>
  <c r="AZ515" i="3"/>
  <c r="AZ504" i="3"/>
  <c r="AZ498" i="3"/>
  <c r="D9" i="11"/>
  <c r="C9" i="11" s="1"/>
  <c r="D19" i="12"/>
  <c r="C19" i="12" s="1"/>
  <c r="D9" i="68"/>
  <c r="C9" i="68" s="1"/>
  <c r="D9" i="69"/>
  <c r="C9" i="69" s="1"/>
  <c r="BG5" i="3"/>
  <c r="AC36" i="35"/>
  <c r="W36" i="35"/>
  <c r="J9" i="35"/>
  <c r="H9" i="35"/>
  <c r="H23" i="35"/>
  <c r="J23" i="35"/>
  <c r="AB36" i="35"/>
  <c r="U36" i="35"/>
  <c r="AB15" i="37"/>
  <c r="U15" i="37"/>
  <c r="H27" i="37"/>
  <c r="F27" i="37"/>
  <c r="J27" i="37"/>
  <c r="AC39" i="37"/>
  <c r="W39" i="37"/>
  <c r="AA8" i="39"/>
  <c r="S8" i="39"/>
  <c r="AC8" i="39"/>
  <c r="W8" i="39"/>
  <c r="AB9" i="39"/>
  <c r="U9" i="39"/>
  <c r="H31" i="39"/>
  <c r="F31" i="39"/>
  <c r="J43" i="39"/>
  <c r="F43" i="39"/>
  <c r="H43" i="39"/>
  <c r="H45" i="39"/>
  <c r="F45" i="39"/>
  <c r="J45" i="39"/>
  <c r="W40" i="40"/>
  <c r="AC40" i="40"/>
  <c r="J33" i="40"/>
  <c r="F33" i="40"/>
  <c r="H33" i="40"/>
  <c r="AB40" i="40"/>
  <c r="U40" i="40"/>
  <c r="AC41" i="21"/>
  <c r="W41" i="21"/>
  <c r="AZ550" i="3"/>
  <c r="BL541" i="3"/>
  <c r="AZ541" i="3" s="1"/>
  <c r="BL540" i="3"/>
  <c r="AZ540" i="3" s="1"/>
  <c r="BA539" i="3"/>
  <c r="AZ539" i="3" s="1"/>
  <c r="BL538" i="3"/>
  <c r="AZ538" i="3" s="1"/>
  <c r="BL537" i="3"/>
  <c r="AZ537" i="3" s="1"/>
  <c r="BA535" i="3"/>
  <c r="AZ535" i="3" s="1"/>
  <c r="BL533" i="3"/>
  <c r="AZ533" i="3" s="1"/>
  <c r="BA531" i="3"/>
  <c r="AZ531" i="3" s="1"/>
  <c r="BL530" i="3"/>
  <c r="BL529" i="3"/>
  <c r="AZ529" i="3" s="1"/>
  <c r="BA528" i="3"/>
  <c r="AZ528" i="3" s="1"/>
  <c r="BA527" i="3"/>
  <c r="AZ527" i="3" s="1"/>
  <c r="BA526" i="3"/>
  <c r="AZ526" i="3" s="1"/>
  <c r="BL525" i="3"/>
  <c r="AZ525" i="3" s="1"/>
  <c r="BA524" i="3"/>
  <c r="AZ524" i="3" s="1"/>
  <c r="BA523" i="3"/>
  <c r="AZ523" i="3" s="1"/>
  <c r="BL522" i="3"/>
  <c r="BA522" i="3"/>
  <c r="AZ522" i="3" s="1"/>
  <c r="BL521" i="3"/>
  <c r="G521" i="3"/>
  <c r="BL518" i="3"/>
  <c r="BA518" i="3"/>
  <c r="AZ518" i="3" s="1"/>
  <c r="BL517" i="3"/>
  <c r="BA517" i="3"/>
  <c r="AZ517" i="3" s="1"/>
  <c r="BA516" i="3"/>
  <c r="AZ516" i="3" s="1"/>
  <c r="BA514" i="3"/>
  <c r="AZ514" i="3" s="1"/>
  <c r="BL513" i="3"/>
  <c r="BA513" i="3"/>
  <c r="AZ513" i="3" s="1"/>
  <c r="BL512" i="3"/>
  <c r="BL510" i="3"/>
  <c r="AZ510" i="3" s="1"/>
  <c r="BL509" i="3"/>
  <c r="BA507" i="3"/>
  <c r="AZ507" i="3" s="1"/>
  <c r="BA506" i="3"/>
  <c r="AZ506" i="3" s="1"/>
  <c r="BL505" i="3"/>
  <c r="AZ505" i="3" s="1"/>
  <c r="BA503" i="3"/>
  <c r="AZ503" i="3" s="1"/>
  <c r="BL502" i="3"/>
  <c r="AZ502" i="3" s="1"/>
  <c r="BL501" i="3"/>
  <c r="AZ501" i="3" s="1"/>
  <c r="BL500" i="3"/>
  <c r="BA500" i="3"/>
  <c r="BL499" i="3"/>
  <c r="BA499" i="3"/>
  <c r="BL497" i="3"/>
  <c r="AZ497" i="3" s="1"/>
  <c r="BL495" i="3"/>
  <c r="BA495" i="3"/>
  <c r="AZ495" i="3" s="1"/>
  <c r="BL494" i="3"/>
  <c r="BA494" i="3"/>
  <c r="AZ494" i="3" s="1"/>
  <c r="S22" i="31"/>
  <c r="R22" i="31" s="1"/>
  <c r="E8" i="6"/>
  <c r="BA14" i="3"/>
  <c r="AZ14" i="3" s="1"/>
  <c r="BI5" i="3"/>
  <c r="BE5" i="3"/>
  <c r="BA13" i="3"/>
  <c r="K144" i="21"/>
  <c r="K145" i="21"/>
  <c r="D88" i="71"/>
  <c r="C87" i="71"/>
  <c r="D87" i="71" s="1"/>
  <c r="E11" i="77"/>
  <c r="E7" i="77" s="1"/>
  <c r="C27" i="77" s="1"/>
  <c r="D7" i="77"/>
  <c r="C26" i="77" s="1"/>
  <c r="C32" i="77" s="1"/>
  <c r="C38" i="77" s="1"/>
  <c r="C39" i="77" s="1"/>
  <c r="R41" i="77"/>
  <c r="R35" i="77"/>
  <c r="U34" i="77" s="1"/>
  <c r="F48" i="69"/>
  <c r="C48" i="69"/>
  <c r="K143" i="21"/>
  <c r="W15" i="21"/>
  <c r="AC15" i="21"/>
  <c r="S11" i="37"/>
  <c r="AA11" i="37"/>
  <c r="AA17" i="37"/>
  <c r="S17" i="37"/>
  <c r="AC35" i="37"/>
  <c r="F9" i="35"/>
  <c r="U32" i="35"/>
  <c r="AC39" i="40"/>
  <c r="P9" i="1"/>
  <c r="U23" i="39"/>
  <c r="AB23" i="39"/>
  <c r="AA43" i="34"/>
  <c r="S43" i="34"/>
  <c r="AC30" i="40"/>
  <c r="W30" i="40"/>
  <c r="AA20" i="35"/>
  <c r="S20" i="35"/>
  <c r="U20" i="36"/>
  <c r="AB20" i="36"/>
  <c r="S33" i="34"/>
  <c r="AA33" i="34"/>
  <c r="BB5" i="3"/>
  <c r="AZ377" i="3"/>
  <c r="AZ334" i="3"/>
  <c r="AZ326" i="3"/>
  <c r="AZ351" i="3"/>
  <c r="AZ347" i="3"/>
  <c r="AZ378" i="3"/>
  <c r="AZ327" i="3"/>
  <c r="AB21" i="40"/>
  <c r="U21" i="40"/>
  <c r="AB19" i="34"/>
  <c r="U19" i="34"/>
  <c r="AB42" i="33"/>
  <c r="U42" i="33"/>
  <c r="AZ565" i="3"/>
  <c r="AZ569" i="3"/>
  <c r="AZ573" i="3"/>
  <c r="W13" i="34"/>
  <c r="AC13" i="34"/>
  <c r="AC46" i="33"/>
  <c r="W46" i="33"/>
  <c r="S14" i="33"/>
  <c r="AA14" i="33"/>
  <c r="AA40" i="37"/>
  <c r="S40" i="37"/>
  <c r="W29" i="37"/>
  <c r="AC29" i="37"/>
  <c r="U28" i="36"/>
  <c r="AB28" i="36"/>
  <c r="W32" i="34"/>
  <c r="AC32" i="34"/>
  <c r="W45" i="33"/>
  <c r="AC45" i="33"/>
  <c r="S13" i="33"/>
  <c r="AA13" i="33"/>
  <c r="AC33" i="35"/>
  <c r="W33" i="35"/>
  <c r="W28" i="33"/>
  <c r="AC28" i="33"/>
  <c r="U28" i="33"/>
  <c r="AB28" i="33"/>
  <c r="W11" i="33"/>
  <c r="AC11" i="33"/>
  <c r="AC25" i="34"/>
  <c r="W25" i="34"/>
  <c r="U37" i="34"/>
  <c r="AB37" i="34"/>
  <c r="AB38" i="34"/>
  <c r="U38" i="34"/>
  <c r="AA37" i="40"/>
  <c r="S37" i="40"/>
  <c r="S35" i="37"/>
  <c r="AA35" i="37"/>
  <c r="U16" i="35"/>
  <c r="AB16" i="35"/>
  <c r="AC32" i="35"/>
  <c r="W32" i="35"/>
  <c r="AA14" i="35"/>
  <c r="S14" i="35"/>
  <c r="AA22" i="35"/>
  <c r="S22" i="35"/>
  <c r="AC34" i="39"/>
  <c r="W34" i="39"/>
  <c r="AB19" i="39"/>
  <c r="U19" i="39"/>
  <c r="S41" i="39"/>
  <c r="AA41" i="39"/>
  <c r="S38" i="40"/>
  <c r="U34" i="35"/>
  <c r="W33" i="36"/>
  <c r="AC33" i="36"/>
  <c r="AC12" i="21"/>
  <c r="W12" i="21"/>
  <c r="BL586" i="3"/>
  <c r="BA586" i="3"/>
  <c r="AZ586" i="3" s="1"/>
  <c r="J27" i="21"/>
  <c r="H27" i="21"/>
  <c r="F27" i="21"/>
  <c r="W45" i="21"/>
  <c r="AC45" i="21"/>
  <c r="H46" i="21"/>
  <c r="J46" i="21"/>
  <c r="F46" i="21"/>
  <c r="AA42" i="21"/>
  <c r="S42" i="21"/>
  <c r="AC9" i="33"/>
  <c r="W9" i="33"/>
  <c r="AB33" i="33"/>
  <c r="U33" i="33"/>
  <c r="AA38" i="33"/>
  <c r="S38" i="33"/>
  <c r="AC38" i="33"/>
  <c r="W38" i="33"/>
  <c r="AC39" i="33"/>
  <c r="W39" i="33"/>
  <c r="F27" i="33"/>
  <c r="H27" i="33"/>
  <c r="AB34" i="34"/>
  <c r="U34" i="34"/>
  <c r="AB43" i="34"/>
  <c r="U43" i="34"/>
  <c r="AA32" i="35"/>
  <c r="S32" i="35"/>
  <c r="AA34" i="35"/>
  <c r="S34" i="35"/>
  <c r="W14" i="35"/>
  <c r="AC14" i="35"/>
  <c r="J12" i="33"/>
  <c r="F12" i="33"/>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W9" i="40"/>
  <c r="AC9" i="40"/>
  <c r="AA34" i="40"/>
  <c r="S34" i="40"/>
  <c r="F40" i="40"/>
  <c r="J31" i="40"/>
  <c r="F31" i="40"/>
  <c r="H31" i="40"/>
  <c r="AA40" i="33"/>
  <c r="S40" i="33"/>
  <c r="S38" i="34"/>
  <c r="AA38" i="34"/>
  <c r="C79" i="35"/>
  <c r="H26" i="35"/>
  <c r="BL581" i="3"/>
  <c r="BA581" i="3"/>
  <c r="AZ581" i="3" s="1"/>
  <c r="BA580" i="3"/>
  <c r="AZ580" i="3" s="1"/>
  <c r="BL579" i="3"/>
  <c r="BA579" i="3"/>
  <c r="BL578" i="3"/>
  <c r="BA578" i="3"/>
  <c r="BL576" i="3"/>
  <c r="BA576" i="3"/>
  <c r="BL575" i="3"/>
  <c r="BA575" i="3"/>
  <c r="BA574" i="3"/>
  <c r="AZ574" i="3" s="1"/>
  <c r="BA564" i="3"/>
  <c r="AZ564" i="3" s="1"/>
  <c r="BL563" i="3"/>
  <c r="BA563" i="3"/>
  <c r="AZ563" i="3" s="1"/>
  <c r="BL562" i="3"/>
  <c r="BA562" i="3"/>
  <c r="AZ562" i="3" s="1"/>
  <c r="BL561" i="3"/>
  <c r="BL560" i="3"/>
  <c r="BA560" i="3"/>
  <c r="BA559" i="3"/>
  <c r="AZ559" i="3" s="1"/>
  <c r="BL551" i="3"/>
  <c r="AZ551" i="3" s="1"/>
  <c r="O8" i="1"/>
  <c r="P8" i="1" s="1"/>
  <c r="BP5" i="3"/>
  <c r="BO5" i="3"/>
  <c r="BL17" i="3"/>
  <c r="BT5" i="3"/>
  <c r="BR5" i="3"/>
  <c r="G28" i="6" s="1"/>
  <c r="BQ5" i="3"/>
  <c r="F28" i="6" s="1"/>
  <c r="AZ344" i="3"/>
  <c r="AZ366" i="3"/>
  <c r="AZ390" i="3"/>
  <c r="AZ148" i="3"/>
  <c r="BD5" i="3"/>
  <c r="BH5" i="3"/>
  <c r="G47" i="3"/>
  <c r="H5" i="3"/>
  <c r="F3" i="35"/>
  <c r="K6" i="1"/>
  <c r="K1" i="12"/>
  <c r="G1" i="15"/>
  <c r="G1" i="67"/>
  <c r="K10" i="1"/>
  <c r="M10" i="1" s="1"/>
  <c r="B10" i="1"/>
  <c r="E10" i="1" s="1"/>
  <c r="D26" i="43"/>
  <c r="G551" i="3"/>
  <c r="BL548" i="3"/>
  <c r="AZ548" i="3" s="1"/>
  <c r="C5" i="11"/>
  <c r="AZ405" i="3"/>
  <c r="AZ407" i="3"/>
  <c r="AZ419" i="3"/>
  <c r="AZ435" i="3"/>
  <c r="AZ439" i="3"/>
  <c r="AZ444" i="3"/>
  <c r="AZ448" i="3"/>
  <c r="AZ452" i="3"/>
  <c r="AZ456" i="3"/>
  <c r="AZ458" i="3"/>
  <c r="AZ462" i="3"/>
  <c r="AZ469" i="3"/>
  <c r="AZ475" i="3"/>
  <c r="AZ479" i="3"/>
  <c r="AZ483" i="3"/>
  <c r="AZ485" i="3"/>
  <c r="AZ489" i="3"/>
  <c r="AZ385" i="3"/>
  <c r="AZ397" i="3"/>
  <c r="AZ210" i="3"/>
  <c r="AZ212" i="3"/>
  <c r="AZ220" i="3"/>
  <c r="AZ225" i="3"/>
  <c r="AZ228" i="3"/>
  <c r="A15" i="62"/>
  <c r="B61" i="72" s="1"/>
  <c r="AZ262" i="3"/>
  <c r="AZ276" i="3"/>
  <c r="AZ278" i="3"/>
  <c r="AZ300" i="3"/>
  <c r="AZ302" i="3"/>
  <c r="AZ113" i="3"/>
  <c r="AZ126" i="3"/>
  <c r="AZ129" i="3"/>
  <c r="AZ141" i="3"/>
  <c r="AZ161" i="3"/>
  <c r="AZ193" i="3"/>
  <c r="AZ205" i="3"/>
  <c r="AZ23" i="3"/>
  <c r="AZ38" i="3"/>
  <c r="AZ48" i="3"/>
  <c r="AZ52" i="3"/>
  <c r="AZ73" i="3"/>
  <c r="AZ78" i="3"/>
  <c r="AZ87" i="3"/>
  <c r="AZ91" i="3"/>
  <c r="AZ95" i="3"/>
  <c r="AZ98" i="3"/>
  <c r="AZ100" i="3"/>
  <c r="AZ104" i="3"/>
  <c r="S21" i="33"/>
  <c r="AA21" i="33"/>
  <c r="AA18" i="36"/>
  <c r="S18" i="36"/>
  <c r="Q69" i="71"/>
  <c r="F68" i="71"/>
  <c r="V69" i="71"/>
  <c r="V77" i="71"/>
  <c r="F76" i="71"/>
  <c r="F75" i="71" s="1"/>
  <c r="R14" i="77"/>
  <c r="G67" i="71"/>
  <c r="R68" i="71"/>
  <c r="P69" i="71"/>
  <c r="C68" i="71"/>
  <c r="V73" i="71"/>
  <c r="F72" i="71"/>
  <c r="F71" i="71" s="1"/>
  <c r="D85" i="71"/>
  <c r="C84" i="71"/>
  <c r="F40" i="69"/>
  <c r="D23" i="77"/>
  <c r="N37" i="43"/>
  <c r="Q37" i="43"/>
  <c r="M37" i="43"/>
  <c r="B28" i="71"/>
  <c r="B27" i="71" s="1"/>
  <c r="B44" i="71"/>
  <c r="B45" i="71" s="1"/>
  <c r="T45" i="71" s="1"/>
  <c r="B48" i="71"/>
  <c r="B49" i="71" s="1"/>
  <c r="T49" i="71" s="1"/>
  <c r="AC6" i="71"/>
  <c r="AC5" i="71"/>
  <c r="AC7" i="71"/>
  <c r="AD6" i="71"/>
  <c r="AD7" i="71"/>
  <c r="AD5" i="71"/>
  <c r="Y6" i="71"/>
  <c r="AB6" i="71" s="1"/>
  <c r="Y7" i="71"/>
  <c r="AB7" i="71" s="1"/>
  <c r="Y5" i="71"/>
  <c r="AB5" i="71" s="1"/>
  <c r="Z5" i="71"/>
  <c r="AA5" i="71" s="1"/>
  <c r="Z6" i="71"/>
  <c r="AA6" i="71" s="1"/>
  <c r="Z7" i="71"/>
  <c r="AA7" i="71" s="1"/>
  <c r="D63" i="40"/>
  <c r="C65" i="40"/>
  <c r="G16" i="1"/>
  <c r="F10" i="39" s="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R16" i="1"/>
  <c r="B9" i="70"/>
  <c r="B11" i="70"/>
  <c r="K1" i="73"/>
  <c r="B6" i="70"/>
  <c r="D102" i="9"/>
  <c r="C103" i="9"/>
  <c r="G20" i="9"/>
  <c r="C32" i="9" s="1"/>
  <c r="B13" i="70"/>
  <c r="B20" i="31"/>
  <c r="B21" i="31" s="1"/>
  <c r="D103" i="9"/>
  <c r="B12" i="70"/>
  <c r="I1" i="73"/>
  <c r="B39" i="1" s="1"/>
  <c r="B7" i="70"/>
  <c r="B10" i="70"/>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E51" i="43" l="1"/>
  <c r="B49" i="43" s="1"/>
  <c r="C28" i="43" s="1"/>
  <c r="F10" i="40"/>
  <c r="S10" i="40" s="1"/>
  <c r="H10" i="39"/>
  <c r="H10" i="40"/>
  <c r="AB10" i="40" s="1"/>
  <c r="J7" i="36"/>
  <c r="J7" i="33"/>
  <c r="D32" i="77"/>
  <c r="D26" i="77"/>
  <c r="E23" i="77"/>
  <c r="D29" i="77"/>
  <c r="D38" i="77"/>
  <c r="D39" i="77" s="1"/>
  <c r="C83" i="71"/>
  <c r="D83" i="71" s="1"/>
  <c r="D84" i="71"/>
  <c r="C67" i="71"/>
  <c r="P68" i="71"/>
  <c r="D68" i="71"/>
  <c r="R5" i="77"/>
  <c r="U5" i="77" s="1"/>
  <c r="R25" i="77"/>
  <c r="Q68" i="71"/>
  <c r="F67" i="71"/>
  <c r="P10" i="1"/>
  <c r="O10" i="1"/>
  <c r="Q16" i="1"/>
  <c r="H16" i="1"/>
  <c r="M6" i="1"/>
  <c r="G30" i="6"/>
  <c r="G31" i="6" s="1"/>
  <c r="BL5" i="3"/>
  <c r="AZ17" i="3"/>
  <c r="U26" i="35"/>
  <c r="AB26" i="35"/>
  <c r="U31" i="40"/>
  <c r="AB31" i="40"/>
  <c r="AC31" i="40"/>
  <c r="W31" i="40"/>
  <c r="W14" i="37"/>
  <c r="AC14" i="37"/>
  <c r="U14" i="37"/>
  <c r="AB14" i="37"/>
  <c r="W24" i="36"/>
  <c r="AC24" i="36"/>
  <c r="AB12" i="36"/>
  <c r="U12" i="36"/>
  <c r="AB35" i="35"/>
  <c r="U35" i="35"/>
  <c r="W35" i="35"/>
  <c r="AC35" i="35"/>
  <c r="S25" i="35"/>
  <c r="AA25" i="35"/>
  <c r="AB13" i="35"/>
  <c r="U13" i="35"/>
  <c r="S13" i="35"/>
  <c r="AA13" i="35"/>
  <c r="S47" i="34"/>
  <c r="AA47" i="34"/>
  <c r="AA45" i="34"/>
  <c r="S45" i="34"/>
  <c r="AB45" i="34"/>
  <c r="U45" i="34"/>
  <c r="U31" i="34"/>
  <c r="AB31" i="34"/>
  <c r="U29" i="34"/>
  <c r="AB29" i="34"/>
  <c r="AA30" i="33"/>
  <c r="S30" i="33"/>
  <c r="S12" i="33"/>
  <c r="AA12" i="33"/>
  <c r="AB27" i="33"/>
  <c r="U27" i="33"/>
  <c r="S46" i="21"/>
  <c r="AA46" i="21"/>
  <c r="AB46" i="21"/>
  <c r="U46" i="21"/>
  <c r="U27" i="21"/>
  <c r="AB27" i="21"/>
  <c r="E15" i="6"/>
  <c r="E11" i="6"/>
  <c r="E12" i="6"/>
  <c r="E13" i="6"/>
  <c r="E10" i="6"/>
  <c r="E14" i="6"/>
  <c r="S9" i="35"/>
  <c r="AA9" i="35"/>
  <c r="BA5" i="3"/>
  <c r="E27" i="6" s="1"/>
  <c r="AZ13" i="3"/>
  <c r="E51" i="40"/>
  <c r="E16" i="6"/>
  <c r="F27" i="6"/>
  <c r="E56" i="39"/>
  <c r="AB33" i="40"/>
  <c r="U33" i="40"/>
  <c r="W33" i="40"/>
  <c r="AC33" i="40"/>
  <c r="AA45" i="39"/>
  <c r="S45" i="39"/>
  <c r="AB43" i="39"/>
  <c r="U43" i="39"/>
  <c r="AC43" i="39"/>
  <c r="W43" i="39"/>
  <c r="AB31" i="39"/>
  <c r="U31" i="39"/>
  <c r="S27" i="37"/>
  <c r="AA27" i="37"/>
  <c r="AC23" i="35"/>
  <c r="W23" i="35"/>
  <c r="AB9" i="35"/>
  <c r="U9" i="35"/>
  <c r="G5" i="3"/>
  <c r="B3" i="3" s="1"/>
  <c r="AA27" i="34"/>
  <c r="S27" i="34"/>
  <c r="W13" i="21"/>
  <c r="AC13" i="21"/>
  <c r="S44" i="21"/>
  <c r="AA44" i="21"/>
  <c r="W44" i="21"/>
  <c r="AC44" i="21"/>
  <c r="AB29" i="21"/>
  <c r="U29" i="21"/>
  <c r="C23" i="43"/>
  <c r="J10" i="40"/>
  <c r="AC10" i="40" s="1"/>
  <c r="J10" i="39"/>
  <c r="AC10" i="39" s="1"/>
  <c r="E551" i="3"/>
  <c r="E28" i="6"/>
  <c r="F30" i="6"/>
  <c r="AZ560" i="3"/>
  <c r="AZ575" i="3"/>
  <c r="AZ576" i="3"/>
  <c r="AZ578" i="3"/>
  <c r="AZ579" i="3"/>
  <c r="J26" i="35"/>
  <c r="F26" i="35"/>
  <c r="AA31" i="40"/>
  <c r="S31" i="40"/>
  <c r="AA40" i="40"/>
  <c r="S40" i="40"/>
  <c r="AA14" i="37"/>
  <c r="S14" i="37"/>
  <c r="U24" i="36"/>
  <c r="AB24" i="36"/>
  <c r="S12" i="36"/>
  <c r="AA12" i="36"/>
  <c r="AC12" i="36"/>
  <c r="W12" i="36"/>
  <c r="S35" i="35"/>
  <c r="AA35" i="35"/>
  <c r="U25" i="35"/>
  <c r="AB25" i="35"/>
  <c r="AC25" i="35"/>
  <c r="W25" i="35"/>
  <c r="W13" i="35"/>
  <c r="AC13" i="35"/>
  <c r="AC47" i="34"/>
  <c r="W47" i="34"/>
  <c r="AB47" i="34"/>
  <c r="U47" i="34"/>
  <c r="AC45" i="34"/>
  <c r="W45" i="34"/>
  <c r="AA31" i="34"/>
  <c r="S31" i="34"/>
  <c r="W31" i="34"/>
  <c r="AC31" i="34"/>
  <c r="AA29" i="34"/>
  <c r="S29" i="34"/>
  <c r="AB30" i="33"/>
  <c r="U30" i="33"/>
  <c r="AC12" i="33"/>
  <c r="W12" i="33"/>
  <c r="S27" i="33"/>
  <c r="AA27" i="33"/>
  <c r="AC46" i="21"/>
  <c r="W46" i="21"/>
  <c r="AA27" i="21"/>
  <c r="S27" i="21"/>
  <c r="AC27" i="21"/>
  <c r="W27" i="21"/>
  <c r="AZ499" i="3"/>
  <c r="AZ500" i="3"/>
  <c r="S33" i="40"/>
  <c r="AA33" i="40"/>
  <c r="W45" i="39"/>
  <c r="AC45" i="39"/>
  <c r="U45" i="39"/>
  <c r="AB45" i="39"/>
  <c r="AA43" i="39"/>
  <c r="S43" i="39"/>
  <c r="S31" i="39"/>
  <c r="AA31" i="39"/>
  <c r="AC27" i="37"/>
  <c r="W27" i="37"/>
  <c r="AB27" i="37"/>
  <c r="U27" i="37"/>
  <c r="U23" i="35"/>
  <c r="AB23" i="35"/>
  <c r="W9" i="35"/>
  <c r="AC9" i="35"/>
  <c r="U27" i="34"/>
  <c r="AB27" i="34"/>
  <c r="AC27" i="34"/>
  <c r="W27" i="34"/>
  <c r="AB13" i="21"/>
  <c r="U13" i="21"/>
  <c r="G29" i="6"/>
  <c r="E29" i="6" s="1"/>
  <c r="K15" i="1" s="1"/>
  <c r="AB44" i="21"/>
  <c r="U44" i="21"/>
  <c r="S29" i="21"/>
  <c r="AA29" i="21"/>
  <c r="AC29" i="21"/>
  <c r="W29" i="21"/>
  <c r="F7" i="33"/>
  <c r="AA7" i="33" s="1"/>
  <c r="R48" i="33" s="1"/>
  <c r="D65" i="40"/>
  <c r="E63" i="40"/>
  <c r="AA7" i="36"/>
  <c r="R36" i="36" s="1"/>
  <c r="S7" i="36"/>
  <c r="F52" i="37"/>
  <c r="H7" i="33"/>
  <c r="W10" i="40"/>
  <c r="W10" i="39"/>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U10" i="39"/>
  <c r="AB10" i="39"/>
  <c r="U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B40" i="1"/>
  <c r="C35" i="9"/>
  <c r="C34" i="9" s="1"/>
  <c r="F11" i="15"/>
  <c r="F11" i="67"/>
  <c r="M11" i="67"/>
  <c r="J10" i="67" s="1"/>
  <c r="M11" i="15"/>
  <c r="B2" i="70"/>
  <c r="B3" i="70" s="1"/>
  <c r="F26" i="67"/>
  <c r="F26" i="15"/>
  <c r="F40" i="15"/>
  <c r="M22" i="15"/>
  <c r="F37" i="15"/>
  <c r="L48" i="15"/>
  <c r="M9" i="15"/>
  <c r="F9" i="15"/>
  <c r="F36" i="15"/>
  <c r="J15" i="67"/>
  <c r="F41" i="67"/>
  <c r="F37" i="67"/>
  <c r="F6" i="67"/>
  <c r="F38" i="67"/>
  <c r="M27" i="67"/>
  <c r="L48" i="67"/>
  <c r="M26" i="15"/>
  <c r="F8" i="15"/>
  <c r="F41" i="15"/>
  <c r="F7" i="15"/>
  <c r="F35" i="15"/>
  <c r="J15" i="15"/>
  <c r="M23" i="15"/>
  <c r="M28" i="15"/>
  <c r="F7" i="67"/>
  <c r="F9" i="67"/>
  <c r="M23" i="67"/>
  <c r="M28" i="67"/>
  <c r="F42" i="67"/>
  <c r="M22" i="67"/>
  <c r="M9" i="67"/>
  <c r="M26" i="67"/>
  <c r="C76" i="15"/>
  <c r="F6" i="15"/>
  <c r="F16" i="15"/>
  <c r="F42" i="15"/>
  <c r="M29" i="15"/>
  <c r="F43" i="15"/>
  <c r="C14" i="15"/>
  <c r="F43" i="67"/>
  <c r="F8" i="67"/>
  <c r="M29" i="67"/>
  <c r="C76" i="67"/>
  <c r="F36" i="67"/>
  <c r="M8" i="67"/>
  <c r="M6" i="67"/>
  <c r="F13" i="67"/>
  <c r="L47" i="15"/>
  <c r="M21" i="15"/>
  <c r="F13" i="15"/>
  <c r="F38" i="15"/>
  <c r="M6" i="15"/>
  <c r="M8" i="15"/>
  <c r="M27" i="15"/>
  <c r="M24" i="15"/>
  <c r="F35" i="67"/>
  <c r="L47" i="67"/>
  <c r="F16" i="67"/>
  <c r="F40" i="67"/>
  <c r="M24" i="67"/>
  <c r="M21" i="67"/>
  <c r="C38" i="43" l="1"/>
  <c r="C39" i="43"/>
  <c r="C37" i="43"/>
  <c r="AA10" i="40"/>
  <c r="J20" i="67"/>
  <c r="F68" i="67"/>
  <c r="F70" i="67"/>
  <c r="L59" i="67"/>
  <c r="L58" i="67"/>
  <c r="M59" i="67"/>
  <c r="N59" i="67"/>
  <c r="C27" i="67"/>
  <c r="F63" i="67"/>
  <c r="C62" i="67" s="1"/>
  <c r="C34" i="67"/>
  <c r="F50" i="67"/>
  <c r="M7" i="67"/>
  <c r="M17" i="67" s="1"/>
  <c r="F63" i="15"/>
  <c r="C62" i="15" s="1"/>
  <c r="C34" i="15"/>
  <c r="F66" i="15"/>
  <c r="M7" i="15"/>
  <c r="M17" i="15" s="1"/>
  <c r="F50" i="15"/>
  <c r="F69" i="15"/>
  <c r="J20" i="15"/>
  <c r="F51" i="15"/>
  <c r="L58" i="15"/>
  <c r="N59" i="15"/>
  <c r="L59" i="15"/>
  <c r="M59" i="15"/>
  <c r="I54" i="67"/>
  <c r="L56" i="67"/>
  <c r="J53" i="67"/>
  <c r="J57" i="67"/>
  <c r="J55" i="67" s="1"/>
  <c r="J58" i="67" s="1"/>
  <c r="Q50" i="67" s="1"/>
  <c r="F66" i="67"/>
  <c r="F64" i="67"/>
  <c r="F31" i="67"/>
  <c r="C6" i="67"/>
  <c r="C32" i="67" s="1"/>
  <c r="Q71" i="67"/>
  <c r="F65" i="67"/>
  <c r="F69" i="67"/>
  <c r="F51" i="67"/>
  <c r="F71" i="67"/>
  <c r="F64" i="15"/>
  <c r="C18" i="15"/>
  <c r="C15" i="15"/>
  <c r="F71" i="15"/>
  <c r="J57" i="15"/>
  <c r="J55" i="15" s="1"/>
  <c r="J58" i="15" s="1"/>
  <c r="Q50" i="15" s="1"/>
  <c r="J53" i="15"/>
  <c r="I54" i="15"/>
  <c r="F65" i="15"/>
  <c r="C6" i="15"/>
  <c r="C32" i="15" s="1"/>
  <c r="F31" i="15"/>
  <c r="F68" i="15"/>
  <c r="Q71" i="15"/>
  <c r="C27" i="15"/>
  <c r="AA26" i="35"/>
  <c r="S26" i="35"/>
  <c r="E30" i="6"/>
  <c r="E31" i="6" s="1"/>
  <c r="K21" i="6"/>
  <c r="M21" i="6" s="1"/>
  <c r="I21" i="6" s="1"/>
  <c r="S21" i="6" s="1"/>
  <c r="K22" i="6"/>
  <c r="M22" i="6" s="1"/>
  <c r="I22" i="6" s="1"/>
  <c r="S22" i="6" s="1"/>
  <c r="K25" i="6"/>
  <c r="M25" i="6" s="1"/>
  <c r="I25" i="6" s="1"/>
  <c r="S25" i="6" s="1"/>
  <c r="K23" i="6"/>
  <c r="M23" i="6" s="1"/>
  <c r="I23" i="6" s="1"/>
  <c r="S23" i="6" s="1"/>
  <c r="K24" i="6"/>
  <c r="M24" i="6" s="1"/>
  <c r="I24" i="6" s="1"/>
  <c r="S24" i="6" s="1"/>
  <c r="K20" i="6"/>
  <c r="M20" i="6" s="1"/>
  <c r="I20" i="6" s="1"/>
  <c r="S20" i="6" s="1"/>
  <c r="K14" i="1"/>
  <c r="K19" i="6"/>
  <c r="K26" i="6"/>
  <c r="M26" i="6" s="1"/>
  <c r="I26" i="6" s="1"/>
  <c r="S26" i="6" s="1"/>
  <c r="E69" i="3"/>
  <c r="E237" i="3"/>
  <c r="E114" i="3"/>
  <c r="E261" i="3"/>
  <c r="E278" i="3"/>
  <c r="E304" i="3"/>
  <c r="E415" i="3"/>
  <c r="E183" i="3"/>
  <c r="E172" i="3"/>
  <c r="E260" i="3"/>
  <c r="E17" i="3"/>
  <c r="E302" i="3"/>
  <c r="E125" i="3"/>
  <c r="E217" i="3"/>
  <c r="E366" i="3"/>
  <c r="E268" i="3"/>
  <c r="E282" i="3"/>
  <c r="E239" i="3"/>
  <c r="E388" i="3"/>
  <c r="E509" i="3"/>
  <c r="O6" i="3"/>
  <c r="E555" i="3"/>
  <c r="E574" i="3"/>
  <c r="E569" i="3"/>
  <c r="E410" i="3"/>
  <c r="E431" i="3"/>
  <c r="E359" i="3"/>
  <c r="E396" i="3"/>
  <c r="E337" i="3"/>
  <c r="E247" i="3"/>
  <c r="E285" i="3"/>
  <c r="E143" i="3"/>
  <c r="E201" i="3"/>
  <c r="E97" i="3"/>
  <c r="E151" i="3"/>
  <c r="E397" i="3"/>
  <c r="E385" i="3"/>
  <c r="I6" i="3"/>
  <c r="H6" i="3" s="1"/>
  <c r="AN6" i="3"/>
  <c r="E16" i="3"/>
  <c r="AI6" i="3"/>
  <c r="AK6" i="3"/>
  <c r="E578" i="3"/>
  <c r="E402" i="3"/>
  <c r="E434" i="3"/>
  <c r="E423" i="3"/>
  <c r="E453" i="3"/>
  <c r="E350" i="3"/>
  <c r="E382" i="3"/>
  <c r="E368" i="3"/>
  <c r="E303" i="3"/>
  <c r="E296" i="3"/>
  <c r="E263" i="3"/>
  <c r="E244" i="3"/>
  <c r="E301" i="3"/>
  <c r="E262" i="3"/>
  <c r="E245" i="3"/>
  <c r="E196" i="3"/>
  <c r="E159" i="3"/>
  <c r="E136" i="3"/>
  <c r="E191" i="3"/>
  <c r="E156" i="3"/>
  <c r="E99" i="3"/>
  <c r="E236" i="3"/>
  <c r="E188" i="3"/>
  <c r="E148" i="3"/>
  <c r="E269" i="3"/>
  <c r="E122" i="3"/>
  <c r="E157" i="3"/>
  <c r="E89" i="3"/>
  <c r="E140" i="3"/>
  <c r="E120" i="3"/>
  <c r="E85" i="3"/>
  <c r="E45" i="3"/>
  <c r="E277" i="3"/>
  <c r="E238" i="3"/>
  <c r="E177" i="3"/>
  <c r="E116" i="3"/>
  <c r="E193" i="3"/>
  <c r="E173" i="3"/>
  <c r="E133" i="3"/>
  <c r="E105" i="3"/>
  <c r="E286" i="3"/>
  <c r="E327" i="3"/>
  <c r="E312" i="3"/>
  <c r="E379" i="3"/>
  <c r="E575" i="3"/>
  <c r="AD6" i="3"/>
  <c r="AC6" i="3" s="1"/>
  <c r="U6" i="3"/>
  <c r="E552" i="3"/>
  <c r="E421" i="3"/>
  <c r="E411" i="3"/>
  <c r="E464" i="3"/>
  <c r="E478" i="3"/>
  <c r="E466" i="3"/>
  <c r="E398" i="3"/>
  <c r="E414" i="3"/>
  <c r="E430" i="3"/>
  <c r="E400" i="3"/>
  <c r="E416" i="3"/>
  <c r="E432" i="3"/>
  <c r="E443" i="3"/>
  <c r="E459" i="3"/>
  <c r="E255" i="3"/>
  <c r="E345" i="3"/>
  <c r="E374" i="3"/>
  <c r="I3" i="6"/>
  <c r="E558" i="3"/>
  <c r="E566" i="3"/>
  <c r="AP6" i="3"/>
  <c r="E557" i="3"/>
  <c r="E547" i="3"/>
  <c r="E554" i="3"/>
  <c r="E581" i="3"/>
  <c r="E582" i="3"/>
  <c r="AS6" i="3"/>
  <c r="E413" i="3"/>
  <c r="E403" i="3"/>
  <c r="E435" i="3"/>
  <c r="E444" i="3"/>
  <c r="E460" i="3"/>
  <c r="E491" i="3"/>
  <c r="E489" i="3"/>
  <c r="E546" i="3"/>
  <c r="E417" i="3"/>
  <c r="E436"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73" i="3"/>
  <c r="E259" i="3"/>
  <c r="E291" i="3"/>
  <c r="E292" i="3"/>
  <c r="E316" i="3"/>
  <c r="E348" i="3"/>
  <c r="E331" i="3"/>
  <c r="E363" i="3"/>
  <c r="E377" i="3"/>
  <c r="E378" i="3"/>
  <c r="E317" i="3"/>
  <c r="E349" i="3"/>
  <c r="E334" i="3"/>
  <c r="E375" i="3"/>
  <c r="E384" i="3"/>
  <c r="E389" i="3"/>
  <c r="E572" i="3"/>
  <c r="E544" i="3"/>
  <c r="E30" i="3"/>
  <c r="E58" i="3"/>
  <c r="E44" i="3"/>
  <c r="E76" i="3"/>
  <c r="E109" i="3"/>
  <c r="E110" i="3"/>
  <c r="E29" i="3"/>
  <c r="E59" i="3"/>
  <c r="E480" i="3"/>
  <c r="E462" i="3"/>
  <c r="E425" i="3"/>
  <c r="E446" i="3"/>
  <c r="E46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83" i="3"/>
  <c r="E323" i="3"/>
  <c r="E309" i="3"/>
  <c r="E373" i="3"/>
  <c r="E82" i="3"/>
  <c r="E21" i="3"/>
  <c r="E53" i="3"/>
  <c r="E319" i="3"/>
  <c r="E501" i="3"/>
  <c r="E153" i="3"/>
  <c r="E426" i="3"/>
  <c r="E328" i="3"/>
  <c r="E347" i="3"/>
  <c r="E583" i="3"/>
  <c r="AA6" i="3"/>
  <c r="E399" i="3"/>
  <c r="E336" i="3"/>
  <c r="E280" i="3"/>
  <c r="E246" i="3"/>
  <c r="E124" i="3"/>
  <c r="E293" i="3"/>
  <c r="E530" i="3"/>
  <c r="E305" i="3"/>
  <c r="E329" i="3"/>
  <c r="E545" i="3"/>
  <c r="E510" i="3"/>
  <c r="E352" i="3"/>
  <c r="E20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175" i="3"/>
  <c r="E343" i="3"/>
  <c r="E508" i="3"/>
  <c r="E539" i="3"/>
  <c r="E567" i="3"/>
  <c r="E461" i="3"/>
  <c r="E227" i="3"/>
  <c r="E165" i="3"/>
  <c r="E311" i="3"/>
  <c r="E358" i="3"/>
  <c r="E514" i="3"/>
  <c r="E559" i="3"/>
  <c r="E570"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1" i="3"/>
  <c r="E168" i="3"/>
  <c r="E150" i="3"/>
  <c r="E208" i="3"/>
  <c r="E279" i="3"/>
  <c r="E257" i="3"/>
  <c r="E351" i="3"/>
  <c r="E357" i="3"/>
  <c r="E318" i="3"/>
  <c r="E14" i="3"/>
  <c r="E31" i="3"/>
  <c r="E93" i="3"/>
  <c r="E75" i="3"/>
  <c r="E473" i="3"/>
  <c r="E455" i="3"/>
  <c r="E38" i="3"/>
  <c r="E170" i="3"/>
  <c r="E194" i="3"/>
  <c r="E219" i="3"/>
  <c r="E339" i="3"/>
  <c r="E392" i="3"/>
  <c r="E52" i="3"/>
  <c r="E112" i="3"/>
  <c r="E147" i="3"/>
  <c r="E340" i="3"/>
  <c r="E50" i="3"/>
  <c r="E62" i="3"/>
  <c r="E218" i="3"/>
  <c r="E365" i="3"/>
  <c r="E101"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585" i="3"/>
  <c r="X6" i="3"/>
  <c r="P6" i="3"/>
  <c r="AO6" i="3"/>
  <c r="AJ6" i="3"/>
  <c r="E353" i="3"/>
  <c r="E314" i="3"/>
  <c r="E499" i="3"/>
  <c r="E515" i="3"/>
  <c r="E563" i="3"/>
  <c r="E536" i="3"/>
  <c r="E404" i="3"/>
  <c r="E477" i="3"/>
  <c r="E485" i="3"/>
  <c r="E223" i="3"/>
  <c r="E228" i="3"/>
  <c r="E241" i="3"/>
  <c r="E548" i="3"/>
  <c r="E516" i="3"/>
  <c r="E181" i="3"/>
  <c r="E568" i="3"/>
  <c r="E500" i="3"/>
  <c r="E541" i="3"/>
  <c r="E531" i="3"/>
  <c r="E526" i="3"/>
  <c r="E518" i="3"/>
  <c r="E511" i="3"/>
  <c r="E503" i="3"/>
  <c r="E495" i="3"/>
  <c r="E442" i="3"/>
  <c r="E448" i="3"/>
  <c r="E565" i="3"/>
  <c r="E213" i="3"/>
  <c r="E586" i="3"/>
  <c r="Z6" i="3"/>
  <c r="R6" i="3"/>
  <c r="N6" i="3"/>
  <c r="AM6" i="3"/>
  <c r="AG6" i="3"/>
  <c r="E367" i="3"/>
  <c r="E322" i="3"/>
  <c r="E306" i="3"/>
  <c r="E553" i="3"/>
  <c r="E579" i="3"/>
  <c r="E550" i="3"/>
  <c r="E549" i="3"/>
  <c r="E476" i="3"/>
  <c r="E484" i="3"/>
  <c r="E487" i="3"/>
  <c r="E222" i="3"/>
  <c r="E224" i="3"/>
  <c r="E229" i="3"/>
  <c r="E197" i="3"/>
  <c r="E361" i="3"/>
  <c r="E576" i="3"/>
  <c r="E528" i="3"/>
  <c r="E542" i="3"/>
  <c r="E540" i="3"/>
  <c r="E520" i="3"/>
  <c r="E517" i="3"/>
  <c r="E513" i="3"/>
  <c r="E505" i="3"/>
  <c r="E504" i="3"/>
  <c r="E502" i="3"/>
  <c r="E441" i="3"/>
  <c r="E447" i="3"/>
  <c r="E449" i="3"/>
  <c r="E535" i="3"/>
  <c r="E445" i="3"/>
  <c r="E395" i="3"/>
  <c r="AZ5" i="3"/>
  <c r="E64" i="39"/>
  <c r="E59" i="40"/>
  <c r="E58" i="40"/>
  <c r="E63" i="39"/>
  <c r="E61" i="39"/>
  <c r="E66" i="39" s="1"/>
  <c r="E56" i="40"/>
  <c r="O6" i="1"/>
  <c r="P6" i="1"/>
  <c r="E26" i="77"/>
  <c r="E32" i="77" s="1"/>
  <c r="E29" i="77"/>
  <c r="E38" i="77"/>
  <c r="E39" i="77" s="1"/>
  <c r="C40" i="77" s="1"/>
  <c r="W26" i="35"/>
  <c r="AC26" i="35"/>
  <c r="E47" i="3"/>
  <c r="E521" i="3"/>
  <c r="F31" i="6"/>
  <c r="E57" i="40"/>
  <c r="E62" i="39"/>
  <c r="E65" i="39"/>
  <c r="E60" i="40"/>
  <c r="F28" i="12"/>
  <c r="C29" i="12" s="1"/>
  <c r="D28" i="12" s="1"/>
  <c r="F27" i="11"/>
  <c r="F27" i="69"/>
  <c r="F27" i="68"/>
  <c r="Q66" i="71"/>
  <c r="Q67" i="71"/>
  <c r="P67" i="71"/>
  <c r="P66" i="71"/>
  <c r="D67" i="7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F25" i="12"/>
  <c r="F22" i="68"/>
  <c r="F24" i="67"/>
  <c r="C24" i="67" s="1"/>
  <c r="F24" i="15"/>
  <c r="C24" i="15" s="1"/>
  <c r="F22" i="69"/>
  <c r="F22" i="11"/>
  <c r="C53" i="15"/>
  <c r="C10" i="15"/>
  <c r="C53" i="67"/>
  <c r="C10" i="67"/>
  <c r="C17" i="15"/>
  <c r="C17" i="67"/>
  <c r="C16" i="15"/>
  <c r="C14" i="67"/>
  <c r="C16" i="67"/>
  <c r="C34" i="43" l="1"/>
  <c r="E34" i="43" s="1"/>
  <c r="C49" i="67"/>
  <c r="C5" i="67"/>
  <c r="C5" i="15"/>
  <c r="C38" i="15" s="1"/>
  <c r="J6" i="67"/>
  <c r="F59" i="15"/>
  <c r="C15" i="67"/>
  <c r="C18" i="67"/>
  <c r="C19" i="15"/>
  <c r="C20" i="15" s="1"/>
  <c r="B2" i="77"/>
  <c r="B3" i="77" s="1"/>
  <c r="C41" i="77"/>
  <c r="F45" i="69"/>
  <c r="C47" i="69"/>
  <c r="D45" i="69" s="1"/>
  <c r="C29" i="69"/>
  <c r="D27" i="69" s="1"/>
  <c r="AY6" i="3"/>
  <c r="E3" i="6"/>
  <c r="M19" i="6"/>
  <c r="K27" i="6"/>
  <c r="L56" i="15"/>
  <c r="F1" i="15"/>
  <c r="Q52" i="15"/>
  <c r="F1" i="67"/>
  <c r="Q52" i="67"/>
  <c r="Q61" i="15"/>
  <c r="Q74" i="15"/>
  <c r="Q73" i="15"/>
  <c r="Q60" i="15"/>
  <c r="Q61" i="67"/>
  <c r="Q74" i="67"/>
  <c r="C48" i="67"/>
  <c r="C60" i="67" s="1"/>
  <c r="F45" i="68"/>
  <c r="C29" i="68"/>
  <c r="D27" i="68" s="1"/>
  <c r="C47" i="68"/>
  <c r="D45" i="68" s="1"/>
  <c r="C47" i="11"/>
  <c r="D45" i="11" s="1"/>
  <c r="C29" i="11"/>
  <c r="D27" i="11" s="1"/>
  <c r="E6" i="3"/>
  <c r="M14" i="1"/>
  <c r="C34" i="69"/>
  <c r="K16" i="1"/>
  <c r="C49" i="15"/>
  <c r="C48" i="15" s="1"/>
  <c r="J6" i="15"/>
  <c r="F59" i="67"/>
  <c r="Q73" i="67"/>
  <c r="Q60" i="67"/>
  <c r="E42" i="43"/>
  <c r="G39" i="43"/>
  <c r="I39" i="43" s="1"/>
  <c r="F65" i="40"/>
  <c r="G63" i="40"/>
  <c r="E40" i="36"/>
  <c r="F40" i="36" s="1"/>
  <c r="E41" i="36"/>
  <c r="F41" i="36" s="1"/>
  <c r="G52" i="33"/>
  <c r="H52" i="33" s="1"/>
  <c r="G53" i="33"/>
  <c r="H53" i="33" s="1"/>
  <c r="I41" i="36"/>
  <c r="J41" i="36" s="1"/>
  <c r="C48" i="33"/>
  <c r="C49" i="33"/>
  <c r="G68" i="39"/>
  <c r="F70" i="39"/>
  <c r="E54" i="34"/>
  <c r="F54" i="34" s="1"/>
  <c r="E53" i="34"/>
  <c r="F53" i="34" s="1"/>
  <c r="C49" i="2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C38" i="67"/>
  <c r="F41" i="69"/>
  <c r="C26" i="69"/>
  <c r="D22" i="69" s="1"/>
  <c r="C44" i="69"/>
  <c r="D41" i="69" s="1"/>
  <c r="C26" i="12"/>
  <c r="D25" i="12" s="1"/>
  <c r="C23" i="11"/>
  <c r="C26" i="11"/>
  <c r="D22" i="11" s="1"/>
  <c r="C44" i="11"/>
  <c r="D41" i="11" s="1"/>
  <c r="F41" i="68"/>
  <c r="C44" i="68"/>
  <c r="D41" i="68" s="1"/>
  <c r="C23" i="68"/>
  <c r="C26" i="68"/>
  <c r="D22" i="68" s="1"/>
  <c r="C30" i="43" l="1"/>
  <c r="B2" i="43" s="1"/>
  <c r="C19" i="67"/>
  <c r="C20" i="67" s="1"/>
  <c r="C26" i="67" s="1"/>
  <c r="C66" i="67"/>
  <c r="J18" i="67"/>
  <c r="J5" i="67"/>
  <c r="C66" i="15"/>
  <c r="C60" i="15"/>
  <c r="J10" i="15"/>
  <c r="J5" i="15" s="1"/>
  <c r="J18" i="15"/>
  <c r="T16" i="1"/>
  <c r="O14" i="1"/>
  <c r="O16" i="1" s="1"/>
  <c r="M16" i="1"/>
  <c r="D3" i="21"/>
  <c r="D19" i="11"/>
  <c r="C19" i="11" s="1"/>
  <c r="C17" i="4"/>
  <c r="B4" i="52" s="1"/>
  <c r="B43" i="72" s="1"/>
  <c r="L18" i="9"/>
  <c r="D3" i="37"/>
  <c r="D3" i="34"/>
  <c r="B2" i="34" s="1"/>
  <c r="B3" i="34" s="1"/>
  <c r="E6" i="6"/>
  <c r="D14" i="12"/>
  <c r="M18" i="9"/>
  <c r="B118" i="9" s="1"/>
  <c r="B14" i="74" s="1"/>
  <c r="B1" i="74" s="1"/>
  <c r="D3" i="33"/>
  <c r="B2" i="33" s="1"/>
  <c r="B3" i="33" s="1"/>
  <c r="D37" i="11"/>
  <c r="C37" i="11" s="1"/>
  <c r="C26" i="15"/>
  <c r="C23" i="15"/>
  <c r="B2" i="21"/>
  <c r="B3" i="21" s="1"/>
  <c r="C35" i="69"/>
  <c r="C38" i="69"/>
  <c r="I19" i="6"/>
  <c r="M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102" i="3"/>
  <c r="AY39" i="3"/>
  <c r="AY22" i="3"/>
  <c r="AY195" i="3"/>
  <c r="AY175" i="3"/>
  <c r="AY136" i="3"/>
  <c r="AY288" i="3"/>
  <c r="AY272" i="3"/>
  <c r="AY208" i="3"/>
  <c r="AY375" i="3"/>
  <c r="AY339" i="3"/>
  <c r="AY322" i="3"/>
  <c r="AY474" i="3"/>
  <c r="AY432" i="3"/>
  <c r="AY413" i="3"/>
  <c r="AY15" i="3"/>
  <c r="AY583" i="3"/>
  <c r="AY567" i="3"/>
  <c r="G65" i="40"/>
  <c r="H63" i="40"/>
  <c r="C39" i="35"/>
  <c r="B2" i="35" s="1"/>
  <c r="B3" i="35" s="1"/>
  <c r="C38" i="35"/>
  <c r="I52" i="37"/>
  <c r="G70" i="39"/>
  <c r="H68" i="39"/>
  <c r="E43" i="35"/>
  <c r="F43" i="35" s="1"/>
  <c r="E42" i="35"/>
  <c r="F42" i="35" s="1"/>
  <c r="I43" i="35"/>
  <c r="J43" i="35" s="1"/>
  <c r="B10" i="71"/>
  <c r="E11" i="71"/>
  <c r="C20" i="71"/>
  <c r="D21" i="71"/>
  <c r="V21" i="71" s="1"/>
  <c r="U21" i="71"/>
  <c r="C31" i="43"/>
  <c r="B3" i="43"/>
  <c r="B6" i="76"/>
  <c r="E6" i="76"/>
  <c r="B2" i="76" l="1"/>
  <c r="C23" i="67"/>
  <c r="C29" i="67" s="1"/>
  <c r="J59" i="67" s="1"/>
  <c r="J60" i="67" s="1"/>
  <c r="L46" i="67" s="1"/>
  <c r="J24" i="67"/>
  <c r="J26" i="67"/>
  <c r="J29" i="67" s="1"/>
  <c r="C29" i="15"/>
  <c r="C33" i="15" s="1"/>
  <c r="C31" i="15" s="1"/>
  <c r="S19" i="6"/>
  <c r="S27" i="6" s="1"/>
  <c r="I27" i="6"/>
  <c r="D17" i="12"/>
  <c r="C17" i="12" s="1"/>
  <c r="C14" i="12"/>
  <c r="C20" i="11"/>
  <c r="C25" i="11" s="1"/>
  <c r="C24" i="11"/>
  <c r="L16" i="1"/>
  <c r="N16" i="1"/>
  <c r="C34" i="11"/>
  <c r="C34" i="68"/>
  <c r="D25" i="6"/>
  <c r="R25" i="6" s="1"/>
  <c r="D15" i="6"/>
  <c r="D22" i="6"/>
  <c r="D21" i="6"/>
  <c r="D24" i="6"/>
  <c r="D20" i="6"/>
  <c r="D6" i="6"/>
  <c r="D9" i="6"/>
  <c r="D10" i="6"/>
  <c r="L19" i="9"/>
  <c r="D29" i="6"/>
  <c r="H25" i="6"/>
  <c r="H22" i="6"/>
  <c r="H21" i="6"/>
  <c r="H24" i="6"/>
  <c r="H20" i="6"/>
  <c r="D26" i="6"/>
  <c r="D8" i="6"/>
  <c r="D16" i="6" s="1"/>
  <c r="D14" i="6"/>
  <c r="D12" i="6"/>
  <c r="D13" i="6"/>
  <c r="E61" i="40"/>
  <c r="H23" i="6"/>
  <c r="H19" i="6"/>
  <c r="H27" i="6" s="1"/>
  <c r="M19" i="9"/>
  <c r="C118" i="9" s="1"/>
  <c r="C14" i="74" s="1"/>
  <c r="B2" i="74" s="1"/>
  <c r="D19" i="6"/>
  <c r="C18" i="4"/>
  <c r="D23" i="6"/>
  <c r="R23" i="6" s="1"/>
  <c r="D5" i="6"/>
  <c r="D11" i="6"/>
  <c r="D28" i="6"/>
  <c r="D30" i="6" s="1"/>
  <c r="H26" i="6"/>
  <c r="C7" i="74"/>
  <c r="C8" i="74"/>
  <c r="D10" i="11"/>
  <c r="C10" i="11" s="1"/>
  <c r="D20" i="12"/>
  <c r="C20" i="12" s="1"/>
  <c r="C18" i="12" s="1"/>
  <c r="D10" i="68"/>
  <c r="D10" i="69"/>
  <c r="P14" i="1"/>
  <c r="P16" i="1" s="1"/>
  <c r="C11" i="12" s="1"/>
  <c r="J24" i="15"/>
  <c r="J26" i="15"/>
  <c r="J29" i="15" s="1"/>
  <c r="I63" i="40"/>
  <c r="H65" i="40"/>
  <c r="I68" i="39"/>
  <c r="H70" i="39"/>
  <c r="J52" i="37"/>
  <c r="E10" i="71"/>
  <c r="B9" i="71"/>
  <c r="D20" i="71"/>
  <c r="C19" i="71"/>
  <c r="E2" i="76"/>
  <c r="C57" i="15"/>
  <c r="C36" i="15" l="1"/>
  <c r="B3" i="76"/>
  <c r="Q49" i="15"/>
  <c r="Q49" i="67"/>
  <c r="J19" i="15"/>
  <c r="J17" i="15" s="1"/>
  <c r="C13" i="15"/>
  <c r="C75" i="15" s="1"/>
  <c r="J19" i="67"/>
  <c r="J17" i="67" s="1"/>
  <c r="C33" i="67"/>
  <c r="C31" i="67" s="1"/>
  <c r="Q48" i="67"/>
  <c r="J14" i="15"/>
  <c r="J22" i="15" s="1"/>
  <c r="J59" i="15"/>
  <c r="J60" i="15" s="1"/>
  <c r="L46" i="15" s="1"/>
  <c r="C36" i="67"/>
  <c r="C13" i="67"/>
  <c r="C57" i="67"/>
  <c r="J14" i="67"/>
  <c r="C10" i="69"/>
  <c r="C8" i="69" s="1"/>
  <c r="C5" i="69" s="1"/>
  <c r="D19" i="69"/>
  <c r="D27" i="6"/>
  <c r="D31" i="6" s="1"/>
  <c r="R19" i="6"/>
  <c r="R27" i="6" s="1"/>
  <c r="R24" i="6"/>
  <c r="R22" i="6"/>
  <c r="C38" i="11"/>
  <c r="C35" i="11"/>
  <c r="C33" i="11" s="1"/>
  <c r="C15" i="12"/>
  <c r="C12" i="12"/>
  <c r="C10" i="68"/>
  <c r="D19" i="68"/>
  <c r="C4" i="52"/>
  <c r="B45" i="72" s="1"/>
  <c r="A7" i="51"/>
  <c r="B7" i="72" s="1"/>
  <c r="A10" i="51"/>
  <c r="B9" i="72" s="1"/>
  <c r="D7" i="74"/>
  <c r="D8" i="74"/>
  <c r="R26" i="6"/>
  <c r="D21" i="9"/>
  <c r="C21" i="9"/>
  <c r="G21" i="9"/>
  <c r="R20" i="6"/>
  <c r="R21" i="6"/>
  <c r="C38" i="68"/>
  <c r="C35" i="68"/>
  <c r="F50" i="69"/>
  <c r="F50" i="11"/>
  <c r="F50" i="68"/>
  <c r="C22" i="11"/>
  <c r="C28" i="11"/>
  <c r="C27" i="11" s="1"/>
  <c r="J63" i="40"/>
  <c r="I65" i="40"/>
  <c r="K52" i="37"/>
  <c r="J68" i="39"/>
  <c r="I70" i="39"/>
  <c r="E9" i="71"/>
  <c r="B8" i="71"/>
  <c r="C18" i="71"/>
  <c r="D19" i="71"/>
  <c r="C64" i="15"/>
  <c r="C61" i="15"/>
  <c r="C59" i="15" s="1"/>
  <c r="C37" i="15" l="1"/>
  <c r="C30" i="15" s="1"/>
  <c r="C39" i="15" s="1"/>
  <c r="C40" i="15" s="1"/>
  <c r="Q70" i="15"/>
  <c r="C56" i="15"/>
  <c r="C65" i="15" s="1"/>
  <c r="C58" i="15" s="1"/>
  <c r="C67" i="15" s="1"/>
  <c r="C68" i="15" s="1"/>
  <c r="C71" i="15" s="1"/>
  <c r="Q48" i="15"/>
  <c r="J13" i="15"/>
  <c r="J23" i="15" s="1"/>
  <c r="J16" i="15" s="1"/>
  <c r="J25" i="15" s="1"/>
  <c r="C64" i="67"/>
  <c r="C61" i="67"/>
  <c r="C59" i="67" s="1"/>
  <c r="C16" i="12"/>
  <c r="C21" i="12" s="1"/>
  <c r="C22" i="12" s="1"/>
  <c r="C30" i="12" s="1"/>
  <c r="C28" i="12" s="1"/>
  <c r="J13" i="67"/>
  <c r="J23" i="67" s="1"/>
  <c r="J22" i="67"/>
  <c r="C75" i="67"/>
  <c r="Q70" i="67"/>
  <c r="C56" i="67"/>
  <c r="C65" i="67" s="1"/>
  <c r="C37" i="67"/>
  <c r="C30" i="67" s="1"/>
  <c r="C39" i="67" s="1"/>
  <c r="Q69" i="67" s="1"/>
  <c r="Q68" i="67" s="1"/>
  <c r="C19" i="68"/>
  <c r="D37" i="68"/>
  <c r="C37" i="68" s="1"/>
  <c r="C33" i="68" s="1"/>
  <c r="C39" i="11"/>
  <c r="C43" i="11" s="1"/>
  <c r="C42" i="11"/>
  <c r="C19" i="69"/>
  <c r="C24" i="69" s="1"/>
  <c r="D37" i="69"/>
  <c r="C37" i="69" s="1"/>
  <c r="C33" i="69" s="1"/>
  <c r="C31" i="11"/>
  <c r="I5" i="6"/>
  <c r="I6" i="6"/>
  <c r="C23" i="69"/>
  <c r="E8" i="71"/>
  <c r="B7" i="71"/>
  <c r="J65" i="40"/>
  <c r="K63" i="40"/>
  <c r="J70" i="39"/>
  <c r="K68" i="39"/>
  <c r="L52" i="37"/>
  <c r="D18" i="71"/>
  <c r="C17" i="71"/>
  <c r="L51" i="15"/>
  <c r="L51" i="67"/>
  <c r="Q69" i="15" l="1"/>
  <c r="Q68" i="15" s="1"/>
  <c r="C80" i="15"/>
  <c r="C79" i="15" s="1"/>
  <c r="Q67" i="15"/>
  <c r="L57" i="15"/>
  <c r="L60" i="15" s="1"/>
  <c r="Q66" i="15" s="1"/>
  <c r="C80" i="67"/>
  <c r="C79" i="67" s="1"/>
  <c r="Q67" i="67"/>
  <c r="L57" i="67"/>
  <c r="L60" i="67" s="1"/>
  <c r="C58" i="67"/>
  <c r="C67" i="67" s="1"/>
  <c r="C68" i="67" s="1"/>
  <c r="C40" i="67"/>
  <c r="J16" i="67"/>
  <c r="J25" i="67" s="1"/>
  <c r="C20" i="69"/>
  <c r="C28" i="69" s="1"/>
  <c r="C27" i="69" s="1"/>
  <c r="C41" i="11"/>
  <c r="C27" i="12"/>
  <c r="C25" i="12" s="1"/>
  <c r="C32" i="12" s="1"/>
  <c r="B2" i="12" s="1"/>
  <c r="B3" i="12" s="1"/>
  <c r="C39" i="69"/>
  <c r="C42" i="69"/>
  <c r="C39" i="68"/>
  <c r="C43" i="68" s="1"/>
  <c r="C42" i="68"/>
  <c r="C46" i="11"/>
  <c r="C45" i="11" s="1"/>
  <c r="C20" i="68"/>
  <c r="C24" i="68"/>
  <c r="B6" i="71"/>
  <c r="E7" i="71"/>
  <c r="L63" i="40"/>
  <c r="K65" i="40"/>
  <c r="L68" i="39"/>
  <c r="K70" i="39"/>
  <c r="M52" i="37"/>
  <c r="U17" i="71"/>
  <c r="D17" i="71"/>
  <c r="V17" i="71" s="1"/>
  <c r="C16" i="71"/>
  <c r="C46" i="15"/>
  <c r="Q56" i="15"/>
  <c r="B2" i="15"/>
  <c r="B3" i="15" s="1"/>
  <c r="Q47" i="15"/>
  <c r="Q53" i="15" s="1"/>
  <c r="Q65" i="15"/>
  <c r="C43" i="15"/>
  <c r="C83" i="15"/>
  <c r="C82" i="15" s="1"/>
  <c r="Q57" i="15" l="1"/>
  <c r="Q62" i="15" s="1"/>
  <c r="Q75" i="15"/>
  <c r="C25" i="69"/>
  <c r="C22" i="69" s="1"/>
  <c r="C31" i="69" s="1"/>
  <c r="C43" i="67"/>
  <c r="Q56" i="67"/>
  <c r="D2" i="67"/>
  <c r="Q65" i="67"/>
  <c r="C83" i="67"/>
  <c r="C82" i="67" s="1"/>
  <c r="Q47" i="67"/>
  <c r="Q53" i="67" s="1"/>
  <c r="Q66" i="67"/>
  <c r="Q57" i="67"/>
  <c r="C71" i="67"/>
  <c r="C45" i="67"/>
  <c r="C46" i="67" s="1"/>
  <c r="C49" i="11"/>
  <c r="C51" i="11" s="1"/>
  <c r="C52" i="11" s="1"/>
  <c r="B2" i="11" s="1"/>
  <c r="B3" i="11" s="1"/>
  <c r="C41" i="68"/>
  <c r="C28" i="68"/>
  <c r="C27" i="68" s="1"/>
  <c r="C25" i="68"/>
  <c r="C22" i="68" s="1"/>
  <c r="C46" i="68"/>
  <c r="C45" i="68" s="1"/>
  <c r="C46" i="69"/>
  <c r="C45" i="69" s="1"/>
  <c r="C43" i="69"/>
  <c r="C41" i="69" s="1"/>
  <c r="E6" i="71"/>
  <c r="B5" i="71"/>
  <c r="E5" i="71" s="1"/>
  <c r="M63" i="40"/>
  <c r="L65" i="40"/>
  <c r="N52" i="37"/>
  <c r="O52" i="37" s="1"/>
  <c r="L70" i="39"/>
  <c r="M68" i="39"/>
  <c r="D16" i="71"/>
  <c r="C15" i="71"/>
  <c r="C49" i="68" l="1"/>
  <c r="C51" i="68" s="1"/>
  <c r="B3" i="67"/>
  <c r="B2" i="67"/>
  <c r="C49" i="69"/>
  <c r="C51" i="69" s="1"/>
  <c r="Q75" i="67"/>
  <c r="Q62" i="67"/>
  <c r="C31" i="68"/>
  <c r="C52" i="68" s="1"/>
  <c r="C52" i="69"/>
  <c r="B2" i="69" s="1"/>
  <c r="B3" i="69" s="1"/>
  <c r="C56" i="11"/>
  <c r="C57" i="11" s="1"/>
  <c r="F7" i="37"/>
  <c r="AA7" i="37" s="1"/>
  <c r="R42" i="37" s="1"/>
  <c r="N63" i="40"/>
  <c r="M65" i="40"/>
  <c r="M70" i="39"/>
  <c r="N68" i="39"/>
  <c r="J7" i="37"/>
  <c r="H7" i="37"/>
  <c r="C14" i="71"/>
  <c r="D15" i="71"/>
  <c r="B2" i="68" l="1"/>
  <c r="B3" i="68" s="1"/>
  <c r="C57" i="68"/>
  <c r="C56" i="68" s="1"/>
  <c r="C57" i="69"/>
  <c r="C56" i="69"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D52" i="9"/>
  <c r="D53" i="9"/>
  <c r="C5" i="74"/>
  <c r="D5" i="74"/>
  <c r="N60" i="9"/>
  <c r="N61" i="9"/>
  <c r="D6" i="74"/>
  <c r="C6" i="74"/>
  <c r="P57" i="9"/>
  <c r="N58" i="9"/>
  <c r="C104" i="9"/>
  <c r="H4" i="52"/>
  <c r="B5" i="74"/>
  <c r="E14" i="74"/>
  <c r="D14" i="74"/>
  <c r="F14" i="74"/>
  <c r="C105" i="9"/>
  <c r="I4" i="52"/>
  <c r="B30" i="72"/>
  <c r="H119" i="9"/>
  <c r="H5" i="52"/>
  <c r="B21" i="72"/>
  <c r="C78" i="9"/>
  <c r="C73" i="9"/>
  <c r="D8" i="52"/>
  <c r="C81" i="9"/>
  <c r="M48" i="9"/>
  <c r="N59" i="9"/>
  <c r="D54" i="9"/>
  <c r="L65" i="9"/>
  <c r="M65" i="9"/>
  <c r="B20" i="72"/>
  <c r="D4" i="52"/>
  <c r="B47" i="72"/>
  <c r="M55" i="9"/>
  <c r="D55" i="9"/>
  <c r="M53" i="9"/>
  <c r="N57" i="9"/>
  <c r="D118" i="9"/>
  <c r="D119" i="9"/>
  <c r="D5" i="52"/>
  <c r="B49" i="72"/>
  <c r="D13" i="53"/>
  <c r="D14" i="53"/>
  <c r="B32" i="72"/>
  <c r="D123" i="9"/>
  <c r="D9" i="52"/>
  <c r="H102" i="9"/>
  <c r="D7" i="53"/>
  <c r="E81" i="9"/>
  <c r="D5" i="53"/>
  <c r="D6" i="53"/>
  <c r="B22" i="72"/>
  <c r="L64" i="9"/>
  <c r="M64" i="9"/>
  <c r="C68" i="9"/>
  <c r="D59" i="9"/>
  <c r="N69" i="9"/>
  <c r="M69" i="9"/>
  <c r="B53" i="72"/>
  <c r="L68" i="9"/>
  <c r="M68" i="9"/>
  <c r="B51" i="72"/>
  <c r="F4" i="52"/>
  <c r="M54" i="9"/>
  <c r="L67" i="9"/>
  <c r="M67" i="9"/>
  <c r="H108" i="9"/>
  <c r="D15" i="53"/>
  <c r="B31" i="72"/>
  <c r="C93" i="9"/>
  <c r="C86" i="9"/>
  <c r="C96" i="9"/>
  <c r="E96" i="9"/>
  <c r="E97" i="9"/>
  <c r="L63" i="9"/>
  <c r="M63" i="9"/>
  <c r="C72" i="9"/>
  <c r="C79" i="9"/>
  <c r="C80" i="9"/>
  <c r="E80" i="9"/>
  <c r="C64" i="9"/>
  <c r="C63" i="9"/>
  <c r="C67" i="9"/>
  <c r="F119" i="9"/>
  <c r="F5" i="52"/>
  <c r="E118" i="9"/>
  <c r="E4" i="52"/>
  <c r="B48" i="72"/>
  <c r="D122" i="9"/>
  <c r="G14" i="74"/>
  <c r="B6" i="74"/>
  <c r="C97" i="9"/>
  <c r="D58" i="9"/>
  <c r="D56" i="9"/>
  <c r="H107" i="9"/>
  <c r="M49" i="9"/>
  <c r="L66" i="9"/>
  <c r="M66" i="9"/>
  <c r="F118" i="9"/>
  <c r="G118" i="9"/>
  <c r="G4" i="52"/>
  <c r="B52" i="72"/>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<sst xmlns="http://schemas.openxmlformats.org/spreadsheetml/2006/main" count="7687" uniqueCount="3127">
  <si>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</si>
  <si>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</si>
  <si>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</si>
  <si>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</si>
  <si>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</si>
  <si>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</si>
  <si>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</si>
  <si>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</si>
  <si>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</si>
  <si>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</si>
  <si>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</si>
  <si>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</si>
  <si>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</si>
  <si>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</si>
  <si>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</si>
  <si>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</si>
  <si>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</si>
  <si>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</si>
  <si>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</si>
  <si>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</si>
  <si>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</si>
  <si>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</si>
  <si>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</si>
  <si>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</si>
  <si>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</si>
  <si>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</si>
  <si>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</si>
  <si>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</si>
  <si>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</si>
  <si>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</si>
  <si>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</si>
  <si>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</si>
  <si>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</si>
  <si>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</si>
  <si>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</si>
  <si>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</si>
  <si>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</si>
  <si>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</si>
  <si>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</si>
  <si>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</si>
  <si>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</si>
  <si>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</si>
  <si>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</si>
  <si>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</si>
  <si>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</si>
  <si>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</si>
  <si>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</si>
  <si>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</si>
  <si>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</si>
  <si>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</si>
  <si>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</si>
  <si>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</si>
  <si>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</si>
  <si>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</si>
  <si>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</si>
  <si>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</si>
  <si>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</si>
  <si>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</si>
  <si>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</si>
  <si>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</si>
  <si>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</si>
  <si>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</si>
  <si>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</si>
  <si>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</si>
  <si>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</si>
  <si>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</si>
  <si>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</si>
  <si>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</si>
  <si>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</si>
  <si>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</si>
  <si>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</si>
  <si>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</si>
  <si>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</si>
  <si>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</si>
  <si>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</si>
  <si>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</si>
  <si>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</si>
  <si>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</si>
  <si>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</si>
  <si>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</si>
  <si>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</si>
  <si>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</si>
  <si>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</si>
  <si>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</si>
  <si>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</si>
  <si>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</si>
  <si>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</si>
  <si>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</si>
  <si>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</si>
  <si>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</si>
  <si>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</si>
  <si>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</si>
  <si>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</si>
  <si>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</si>
  <si>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</si>
  <si>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</si>
  <si>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</si>
  <si>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</si>
  <si>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</si>
  <si>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</si>
  <si>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</si>
  <si>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</si>
  <si>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</si>
  <si>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</si>
  <si>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</si>
  <si>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</si>
  <si>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</si>
  <si>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</si>
  <si>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</si>
  <si>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</si>
  <si>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</si>
  <si>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</si>
  <si>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</si>
  <si>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</si>
  <si>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</si>
  <si>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</si>
  <si>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</si>
  <si>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</si>
  <si>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</si>
  <si>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</si>
  <si>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</si>
  <si>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</si>
  <si>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</si>
  <si>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</si>
  <si>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</si>
  <si>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</si>
  <si>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</si>
  <si>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</si>
  <si>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</si>
  <si>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</si>
  <si>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</si>
  <si>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</si>
  <si>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</si>
  <si>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</si>
  <si>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</si>
  <si>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</si>
  <si>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</si>
  <si>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</si>
  <si>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</si>
  <si>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</si>
  <si>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</si>
  <si>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</si>
  <si>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</si>
  <si>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</si>
  <si>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</si>
  <si>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</si>
  <si>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</si>
  <si>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</si>
  <si>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</si>
  <si>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</si>
  <si>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</si>
  <si>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</si>
  <si>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</si>
  <si>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</si>
  <si>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</si>
  <si>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</si>
  <si>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</si>
  <si>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</si>
  <si>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</si>
  <si>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</si>
  <si>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</si>
  <si>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</si>
  <si>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</si>
  <si>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</si>
  <si>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</si>
  <si>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</si>
  <si>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</si>
  <si>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</si>
  <si>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</si>
  <si>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</si>
  <si>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</si>
  <si>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</si>
  <si>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</si>
  <si>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</si>
  <si>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</si>
  <si>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</si>
  <si>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</si>
  <si>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</si>
  <si>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</si>
  <si>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</si>
  <si>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</si>
  <si>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</si>
  <si>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</si>
  <si>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</si>
  <si>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</si>
  <si>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</si>
  <si>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</si>
  <si>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</si>
  <si>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</si>
  <si>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</si>
  <si>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</si>
  <si>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</si>
  <si>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</si>
  <si>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</si>
  <si>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</si>
  <si>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</si>
  <si>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</si>
  <si>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</si>
  <si>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</si>
  <si>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</si>
  <si>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</si>
  <si>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</si>
  <si>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</si>
  <si>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</si>
  <si>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</si>
  <si>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</si>
  <si>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</si>
  <si>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</si>
  <si>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</si>
  <si>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</si>
  <si>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</si>
  <si>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</si>
  <si>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</si>
  <si>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</si>
  <si>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</si>
  <si>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</si>
  <si>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</si>
  <si>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</si>
  <si>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</si>
  <si>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</si>
  <si>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</si>
  <si>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</si>
  <si>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</si>
  <si>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</si>
  <si>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</si>
  <si>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</si>
  <si>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</si>
  <si>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</si>
  <si>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</si>
  <si>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</si>
  <si>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</si>
  <si>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</si>
  <si>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</si>
  <si>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</si>
  <si>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</si>
  <si>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</si>
  <si>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</si>
  <si>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</si>
  <si>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</si>
  <si>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</si>
  <si>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</si>
  <si>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</si>
  <si>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</si>
  <si>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</si>
  <si>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</si>
  <si>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</si>
  <si>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</si>
  <si>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</si>
  <si>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</si>
  <si>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</si>
  <si>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</si>
  <si>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</si>
  <si>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</si>
  <si>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</si>
  <si>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</si>
  <si>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</si>
  <si>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</si>
  <si>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</si>
  <si>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</si>
  <si>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</si>
  <si>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</si>
  <si>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</si>
  <si>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</si>
  <si>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</si>
  <si>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</si>
  <si>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</si>
  <si>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</si>
  <si>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</si>
  <si>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</si>
  <si>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</si>
  <si>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</si>
  <si>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</si>
  <si>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</si>
  <si>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</si>
  <si>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</si>
  <si>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</si>
  <si>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</si>
  <si>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</si>
  <si>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</si>
  <si>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</si>
  <si>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</si>
  <si>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</si>
  <si>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</si>
  <si>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</si>
  <si>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</si>
  <si>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</si>
  <si>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</si>
  <si>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</si>
  <si>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</si>
  <si>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</si>
  <si>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</si>
  <si>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</si>
  <si>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</si>
  <si>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</si>
  <si>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</si>
  <si>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</si>
  <si>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</si>
  <si>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</si>
  <si>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</si>
  <si>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</si>
  <si>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</si>
  <si>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</si>
  <si>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</si>
  <si>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</si>
  <si>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</si>
  <si>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</si>
  <si>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</si>
  <si>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</si>
  <si>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</si>
  <si>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</si>
  <si>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</si>
  <si>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</si>
  <si>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</si>
  <si>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</si>
  <si>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</si>
  <si>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</si>
  <si>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</si>
  <si>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</si>
  <si>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</si>
  <si>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</si>
  <si>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</si>
  <si>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</si>
  <si>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</si>
  <si>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</si>
  <si>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</si>
  <si>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</si>
  <si>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</si>
  <si>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</si>
  <si>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</si>
  <si>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</si>
  <si>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</si>
  <si>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</si>
  <si>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</si>
  <si>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</si>
  <si>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</si>
  <si>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</si>
  <si>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</si>
  <si>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</si>
  <si>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</si>
  <si>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</si>
  <si>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</si>
  <si>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</si>
  <si>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</si>
  <si>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</si>
  <si>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</si>
  <si>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</si>
  <si>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</si>
  <si>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</si>
  <si>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</si>
  <si>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</si>
  <si>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</si>
  <si>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</si>
  <si>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</si>
  <si>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</si>
  <si>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</si>
  <si>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</si>
  <si>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</si>
  <si>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</si>
  <si>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</si>
  <si>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</si>
  <si>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</si>
  <si>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</si>
  <si>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</si>
  <si>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</si>
  <si>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</si>
  <si>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</si>
  <si>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</si>
  <si>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</si>
  <si>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</si>
  <si>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</si>
  <si>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</si>
  <si>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</si>
  <si>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</si>
  <si>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</si>
  <si>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</si>
  <si>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</si>
  <si>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</si>
  <si>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</si>
  <si>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</si>
  <si>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</si>
  <si>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</si>
  <si>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</si>
  <si>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</si>
  <si>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</si>
  <si>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</si>
  <si>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</si>
  <si>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</si>
  <si>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</si>
  <si>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</si>
  <si>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</si>
  <si>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</si>
  <si>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</si>
  <si>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</si>
  <si>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</si>
  <si>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</si>
  <si>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</si>
  <si>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</si>
  <si>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</si>
  <si>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</si>
  <si>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</si>
  <si>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</si>
  <si>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</si>
  <si>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</si>
  <si>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</si>
  <si>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</si>
  <si>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</si>
  <si>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</si>
  <si>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</si>
  <si>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</si>
  <si>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</si>
  <si>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</si>
  <si>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</si>
  <si>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</si>
  <si>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</si>
  <si>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</si>
  <si>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</si>
  <si>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</si>
  <si>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</si>
  <si>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</si>
  <si>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</si>
  <si>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</si>
  <si>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</si>
  <si>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</si>
  <si>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</si>
  <si>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</si>
  <si>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</si>
  <si>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</si>
  <si>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</si>
  <si>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</si>
  <si>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</si>
  <si>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</si>
  <si>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</si>
  <si>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</si>
  <si>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</si>
  <si>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</si>
  <si>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</si>
  <si>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</si>
  <si>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</si>
  <si>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</si>
  <si>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</si>
  <si>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</si>
  <si>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</si>
  <si>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</si>
  <si>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</si>
  <si>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</si>
  <si>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</si>
  <si>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</si>
  <si>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</si>
  <si>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</si>
  <si>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</si>
  <si>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</si>
  <si>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</si>
  <si>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</si>
  <si>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</si>
  <si>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</si>
  <si>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</si>
  <si>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</si>
  <si>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</si>
  <si>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</si>
  <si>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</si>
  <si>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</si>
  <si>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</si>
  <si>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</si>
  <si>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</si>
  <si>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</si>
  <si>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</si>
  <si>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</si>
  <si>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</si>
  <si>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</si>
  <si>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</si>
  <si>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</si>
  <si>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</si>
  <si>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</si>
  <si>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</si>
  <si>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</si>
  <si>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</si>
  <si>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</si>
  <si>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</si>
  <si>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</si>
  <si>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</si>
  <si>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</si>
  <si>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</si>
  <si>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</si>
  <si>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</si>
  <si>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</si>
  <si>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</si>
  <si>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</si>
  <si>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</si>
  <si>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</si>
  <si>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</si>
  <si>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</si>
  <si>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</si>
  <si>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</si>
  <si>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</si>
  <si>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</si>
  <si>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</si>
  <si>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</si>
  <si>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</si>
  <si>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</si>
  <si>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</si>
  <si>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</si>
  <si>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</si>
  <si>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</si>
  <si>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</si>
  <si>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</si>
  <si>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</si>
  <si>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</si>
  <si>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</si>
  <si>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</si>
  <si>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</si>
  <si>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</si>
  <si>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</si>
  <si>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</si>
  <si>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</si>
  <si>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</si>
  <si>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</si>
  <si>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</si>
  <si>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</si>
  <si>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</si>
  <si>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</si>
  <si>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</si>
  <si>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</si>
  <si>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</si>
  <si>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</si>
  <si>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</si>
  <si>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</si>
  <si>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</si>
  <si>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</si>
  <si>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</si>
  <si>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</si>
  <si>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</si>
  <si>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</si>
  <si>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</si>
  <si>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</si>
  <si>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</si>
  <si>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</si>
  <si>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</si>
  <si>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</si>
  <si>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</si>
  <si>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</si>
  <si>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</si>
  <si>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</si>
  <si>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</si>
  <si>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</si>
  <si>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</si>
  <si>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</si>
  <si>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</si>
  <si>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</si>
  <si>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</si>
  <si>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</si>
  <si>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</si>
  <si>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</si>
  <si>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</si>
  <si>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</si>
  <si>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</si>
  <si>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</si>
  <si>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</si>
  <si>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</si>
  <si>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</si>
  <si>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</si>
  <si>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</si>
  <si>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</si>
  <si>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</si>
  <si>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</si>
  <si>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</si>
  <si>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</si>
  <si>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</si>
  <si>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</si>
  <si>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</si>
  <si>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</si>
  <si>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</si>
  <si>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</si>
  <si>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</si>
  <si>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</si>
  <si>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</si>
  <si>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</si>
  <si>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</si>
  <si>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</si>
  <si>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</si>
  <si>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</si>
  <si>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</si>
  <si>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</si>
  <si>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</si>
  <si>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</si>
  <si>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</si>
  <si>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</si>
  <si>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</si>
  <si>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</si>
  <si>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</si>
  <si>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</si>
  <si>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</si>
  <si>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</si>
  <si>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</si>
  <si>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</si>
  <si>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</si>
  <si>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</si>
  <si>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</si>
  <si>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</si>
  <si>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</si>
  <si>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</si>
  <si>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</si>
  <si>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</si>
  <si>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</si>
  <si>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</si>
  <si>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</si>
  <si>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</si>
  <si>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</si>
  <si>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</si>
  <si>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</si>
  <si>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</si>
  <si>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</si>
  <si>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</si>
  <si>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</si>
  <si>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</si>
  <si>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</si>
  <si>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</si>
  <si>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</si>
  <si>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</si>
  <si>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</si>
  <si>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</si>
  <si>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</si>
  <si>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</si>
  <si>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</si>
  <si>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</si>
  <si>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</si>
  <si>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</si>
  <si>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</si>
  <si>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</si>
  <si>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</si>
  <si>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</si>
  <si>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</si>
  <si>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</si>
  <si>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</si>
  <si>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</si>
  <si>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</si>
  <si>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</si>
  <si>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</si>
  <si>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</si>
  <si>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</si>
  <si>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</si>
  <si>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</si>
  <si>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</si>
  <si>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</si>
  <si>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</si>
  <si>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</si>
  <si>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</si>
  <si>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</si>
  <si>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</si>
  <si>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</si>
  <si>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</si>
  <si>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</si>
  <si>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</si>
  <si>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</si>
  <si>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</si>
  <si>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</si>
  <si>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</si>
  <si>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</si>
  <si>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</si>
  <si>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</si>
  <si>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</si>
  <si>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</si>
  <si>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</si>
  <si>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</si>
  <si>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</si>
  <si>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</si>
  <si>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</si>
  <si>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</si>
  <si>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</si>
  <si>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</si>
  <si>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</si>
  <si>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</si>
  <si>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</si>
  <si>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</si>
  <si>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</si>
  <si>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</si>
  <si>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</si>
  <si>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</si>
  <si>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</si>
  <si>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</si>
  <si>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</si>
  <si>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</si>
  <si>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</si>
  <si>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</si>
  <si>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</si>
  <si>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</si>
  <si>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</si>
  <si>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</si>
  <si>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</si>
  <si>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</si>
  <si>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</si>
  <si>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</si>
  <si>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</si>
  <si>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</si>
  <si>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</si>
  <si>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</si>
  <si>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</si>
  <si>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</si>
  <si>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</si>
  <si>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</si>
  <si>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</si>
  <si>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</si>
  <si>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</si>
  <si>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</si>
  <si>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</si>
  <si>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</si>
  <si>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</si>
  <si>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</si>
  <si>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</si>
  <si>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</si>
  <si>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</si>
  <si>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</si>
  <si>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</si>
  <si>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</si>
  <si>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</si>
  <si>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</si>
  <si>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</si>
  <si>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</si>
  <si>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</si>
  <si>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</si>
  <si>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</si>
  <si>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</si>
  <si>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</si>
  <si>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</si>
  <si>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</si>
  <si>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</si>
  <si>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</si>
  <si>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</si>
  <si>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</si>
  <si>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</si>
  <si>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</si>
  <si>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</si>
  <si>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</si>
  <si>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</si>
  <si>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</si>
  <si>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</si>
  <si>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</si>
  <si>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</si>
  <si>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</si>
  <si>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</si>
  <si>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</si>
  <si>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</si>
  <si>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</si>
  <si>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</si>
  <si>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</si>
  <si>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</si>
  <si>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</si>
  <si>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</si>
  <si>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</si>
  <si>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</si>
  <si>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</si>
  <si>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</si>
  <si>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</si>
  <si>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</si>
  <si>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</si>
  <si>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</si>
  <si>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</si>
  <si>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</si>
  <si>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</si>
  <si>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</si>
  <si>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</si>
  <si>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</si>
  <si>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</si>
  <si>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</si>
  <si>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</si>
  <si>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</si>
  <si>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</si>
  <si>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</si>
  <si>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</si>
  <si>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</si>
  <si>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</si>
  <si>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</si>
  <si>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</si>
  <si>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</si>
  <si>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</si>
  <si>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</si>
  <si>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</si>
  <si>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</si>
  <si>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</si>
  <si>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</si>
  <si>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</si>
  <si>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</si>
  <si>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</si>
  <si>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</si>
  <si>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</si>
  <si>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</si>
  <si>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</si>
  <si>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</si>
  <si>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</si>
  <si>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</si>
  <si>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</si>
  <si>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</si>
  <si>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</si>
  <si>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</si>
  <si>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</si>
  <si>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</si>
  <si>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</si>
  <si>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</si>
  <si>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</si>
  <si>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</si>
  <si>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</si>
  <si>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</si>
  <si>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</si>
  <si>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</si>
  <si>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</si>
  <si>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</si>
  <si>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</si>
  <si>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</si>
  <si>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</si>
  <si>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</si>
  <si>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</si>
  <si>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</si>
  <si>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</si>
  <si>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</si>
  <si>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</si>
  <si>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</si>
  <si>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</si>
  <si>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</si>
  <si>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</si>
  <si>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</si>
  <si>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</si>
  <si>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</si>
  <si>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</si>
  <si>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</si>
  <si>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</si>
  <si>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</si>
  <si>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</si>
  <si>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</si>
  <si>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</si>
  <si>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</si>
  <si>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</si>
  <si>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</si>
  <si>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</si>
  <si>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</si>
  <si>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</si>
  <si>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</si>
  <si>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</si>
  <si>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</si>
  <si>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</si>
  <si>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</si>
  <si>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</si>
  <si>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</si>
  <si>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</si>
  <si>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</si>
  <si>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</si>
  <si>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</si>
  <si>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</si>
  <si>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</si>
  <si>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</si>
  <si>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</si>
  <si>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</si>
  <si>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</si>
  <si>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</si>
  <si>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</si>
  <si>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</si>
  <si>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</si>
  <si>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</si>
  <si>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</si>
  <si>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</si>
  <si>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</si>
  <si>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</si>
  <si>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</si>
  <si>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</si>
  <si>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</si>
  <si>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</si>
  <si>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</si>
  <si>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</si>
  <si>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</si>
  <si>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</si>
  <si>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</si>
  <si>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</si>
  <si>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</si>
  <si>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</si>
  <si>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</si>
  <si>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</si>
  <si>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</si>
  <si>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</si>
  <si>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</si>
  <si>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</si>
  <si>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</si>
  <si>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</si>
  <si>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</si>
  <si>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</si>
  <si>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</si>
  <si>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</si>
  <si>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</si>
  <si>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</si>
  <si>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</si>
  <si>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</si>
  <si>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</si>
  <si>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</si>
  <si>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</si>
  <si>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</si>
  <si>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</si>
  <si>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</si>
  <si>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</si>
  <si>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</si>
  <si>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</si>
  <si>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</si>
  <si>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</si>
  <si>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</si>
  <si>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</si>
  <si>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</si>
  <si>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</si>
  <si>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</si>
  <si>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</si>
  <si>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</si>
  <si>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</si>
  <si>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</si>
  <si>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</si>
  <si>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</si>
  <si>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</si>
  <si>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</si>
  <si>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</si>
  <si>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</si>
  <si>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</si>
  <si>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</si>
  <si>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</si>
  <si>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</si>
  <si>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</si>
  <si>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</si>
  <si>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</si>
  <si>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</si>
  <si>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</si>
  <si>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</si>
  <si>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</si>
  <si>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</si>
  <si>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</si>
  <si>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</si>
  <si>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</si>
  <si>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</si>
  <si>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</si>
  <si>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</si>
  <si>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</si>
  <si>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</si>
  <si>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</si>
  <si>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</si>
  <si>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</si>
  <si>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</si>
  <si>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</si>
  <si>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</si>
  <si>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</si>
  <si>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</si>
  <si>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</si>
  <si>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</si>
  <si>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</si>
  <si>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</si>
  <si>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</si>
  <si>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</si>
  <si>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</si>
  <si>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</si>
  <si>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</si>
  <si>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</si>
  <si>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</si>
  <si>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</si>
  <si>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</si>
  <si>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</si>
  <si>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</si>
  <si>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</si>
  <si>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</si>
  <si>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</si>
  <si>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</si>
  <si>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</si>
  <si>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</si>
  <si>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</si>
  <si>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</si>
  <si>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</si>
  <si>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</si>
  <si>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</si>
  <si>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</si>
  <si>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</si>
  <si>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</si>
  <si>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</si>
  <si>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</si>
  <si>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</si>
  <si>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</si>
  <si>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</si>
  <si>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</si>
  <si>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</si>
  <si>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</si>
  <si>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</si>
  <si>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</si>
  <si>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</si>
  <si>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</si>
  <si>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</si>
  <si>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</si>
  <si>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</si>
  <si>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</si>
  <si>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</si>
  <si>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</si>
  <si>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</si>
  <si>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</si>
  <si>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</si>
  <si>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</si>
  <si>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</si>
  <si>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</si>
  <si>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</si>
  <si>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</si>
  <si>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</si>
  <si>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</si>
  <si>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</si>
  <si>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</si>
  <si>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</si>
  <si>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</si>
  <si>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</si>
  <si>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</si>
  <si>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</si>
  <si>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</si>
  <si>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</si>
  <si>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</si>
  <si>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</si>
  <si>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</si>
  <si>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</si>
  <si>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</si>
  <si>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</si>
  <si>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</si>
  <si>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</si>
  <si>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</si>
  <si>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</si>
  <si>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</si>
  <si>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</si>
  <si>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</si>
  <si>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</si>
  <si>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</si>
  <si>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</si>
  <si>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</si>
  <si>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</si>
  <si>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</si>
  <si>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</si>
  <si>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</si>
  <si>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</si>
  <si>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</si>
  <si>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</si>
  <si>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</si>
  <si>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</si>
  <si>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</si>
  <si>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</si>
  <si>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</si>
  <si>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</si>
  <si>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</si>
  <si>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</si>
  <si>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</si>
  <si>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</si>
  <si>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</si>
  <si>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</si>
  <si>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</si>
  <si>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</si>
  <si>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</si>
  <si>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</si>
  <si>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</si>
  <si>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</si>
  <si>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</si>
  <si>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</si>
  <si>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</si>
  <si>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</si>
  <si>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</si>
  <si>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</si>
  <si>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</si>
  <si>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</si>
  <si>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</si>
  <si>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</si>
  <si>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</si>
  <si>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</si>
  <si>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</si>
  <si>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</si>
  <si>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</si>
  <si>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</si>
  <si>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</si>
  <si>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</si>
  <si>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</si>
  <si>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</si>
  <si>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</si>
  <si>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</si>
  <si>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</si>
  <si>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</si>
  <si>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</si>
  <si>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</si>
  <si>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</si>
  <si>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</si>
  <si>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</si>
  <si>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</si>
  <si>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</si>
  <si>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</si>
  <si>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</si>
  <si>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</si>
  <si>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</si>
  <si>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</si>
  <si>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</si>
  <si>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</si>
  <si>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</si>
  <si>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</si>
  <si>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</si>
  <si>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</si>
  <si>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</si>
  <si>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</si>
  <si>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</si>
  <si>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</si>
  <si>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</si>
  <si>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</si>
  <si>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</si>
  <si>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</si>
  <si>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</si>
  <si>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</si>
  <si>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</si>
  <si>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</si>
  <si>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</si>
  <si>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</si>
  <si>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</si>
  <si>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</si>
  <si>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</si>
  <si>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</si>
  <si>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</si>
  <si>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</si>
  <si>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</si>
  <si>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</si>
  <si>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</si>
  <si>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</si>
  <si>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</si>
  <si>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</si>
  <si>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</si>
  <si>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</si>
  <si>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</si>
  <si>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</si>
  <si>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</si>
  <si>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</si>
  <si>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</si>
  <si>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</si>
  <si>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</si>
  <si>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</si>
  <si>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</si>
  <si>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</si>
  <si>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</si>
  <si>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</si>
  <si>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</si>
  <si>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</si>
  <si>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</si>
  <si>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</si>
  <si>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</si>
  <si>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</si>
  <si>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</si>
  <si>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</si>
  <si>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</si>
  <si>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</si>
  <si>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</si>
  <si>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</si>
  <si>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</si>
  <si>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</si>
  <si>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</si>
  <si>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</si>
  <si>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</si>
  <si>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</si>
  <si>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</si>
  <si>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</si>
  <si>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</si>
  <si>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</si>
  <si>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</si>
  <si>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</si>
  <si>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</si>
  <si>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</si>
  <si>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</si>
  <si>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</si>
  <si>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</si>
  <si>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</si>
  <si>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</si>
  <si>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</si>
  <si>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</si>
  <si>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</si>
  <si>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</si>
  <si>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</si>
  <si>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</si>
  <si>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</si>
  <si>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</si>
  <si>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</si>
  <si>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</si>
  <si>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</si>
  <si>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</si>
  <si>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</si>
  <si>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</si>
  <si>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</si>
  <si>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</si>
  <si>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</si>
  <si>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</si>
  <si>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</si>
  <si>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</si>
  <si>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</si>
  <si>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</si>
  <si>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</si>
  <si>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</si>
  <si>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</si>
  <si>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</si>
  <si>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</si>
  <si>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</si>
  <si>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</si>
  <si>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</si>
  <si>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</si>
  <si>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</si>
  <si>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</si>
  <si>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</si>
  <si>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</si>
  <si>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</si>
  <si>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</si>
  <si>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</si>
  <si>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</si>
  <si>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</si>
  <si>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</si>
  <si>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</si>
  <si>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</si>
  <si>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</si>
  <si>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</si>
  <si>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</si>
  <si>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</si>
  <si>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</si>
  <si>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</si>
  <si>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</si>
  <si>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</si>
  <si>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</si>
  <si>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</si>
  <si>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</si>
  <si>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</si>
  <si>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</si>
  <si>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</si>
  <si>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</si>
  <si>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</si>
  <si>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</si>
  <si>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</si>
  <si>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</si>
  <si>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</si>
  <si>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</si>
  <si>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</si>
  <si>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</si>
  <si>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</si>
  <si>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</si>
  <si>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</si>
  <si>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</si>
  <si>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</si>
  <si>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</si>
  <si>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</si>
  <si>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</si>
  <si>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</si>
  <si>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</si>
  <si>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</si>
  <si>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</si>
  <si>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</si>
  <si>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</si>
  <si>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</si>
  <si>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</si>
  <si>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</si>
  <si>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</si>
  <si>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</si>
  <si>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</si>
  <si>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</si>
  <si>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</si>
  <si>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</si>
  <si>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</si>
  <si>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</si>
  <si>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</si>
  <si>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</si>
  <si>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</si>
  <si>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</si>
  <si>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</si>
  <si>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</si>
  <si>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</si>
  <si>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</si>
  <si>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</si>
  <si>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</si>
  <si>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</si>
  <si>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</si>
  <si>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</si>
  <si>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</si>
  <si>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</si>
  <si>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</si>
  <si>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</si>
  <si>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</si>
  <si>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</si>
  <si>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</si>
  <si>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</si>
  <si>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</si>
  <si>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</si>
  <si>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</si>
  <si>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</si>
  <si>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</si>
  <si>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</si>
  <si>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</si>
  <si>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</si>
  <si>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</si>
  <si>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</si>
  <si>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</si>
  <si>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</si>
  <si>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</si>
  <si>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</si>
  <si>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</si>
  <si>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</si>
  <si>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</si>
  <si>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</si>
  <si>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</si>
  <si>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</si>
  <si>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</si>
  <si>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</si>
  <si>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</si>
  <si>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</si>
  <si>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</si>
  <si>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</si>
  <si>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</si>
  <si>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</si>
  <si>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</si>
  <si>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</si>
  <si>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</si>
  <si>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</si>
  <si>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</si>
  <si>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</si>
  <si>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</si>
  <si>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</si>
  <si>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</si>
  <si>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</si>
  <si>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</si>
  <si>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</si>
  <si>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</si>
  <si>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</si>
  <si>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</si>
  <si>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</si>
  <si>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</si>
  <si>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</si>
  <si>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</si>
  <si>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</si>
  <si>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</si>
  <si>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</si>
  <si>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</si>
  <si>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</si>
  <si>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</si>
  <si>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</si>
  <si>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</si>
  <si>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</si>
  <si>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</si>
  <si>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</si>
  <si>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</si>
  <si>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</si>
  <si>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</si>
  <si>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</si>
  <si>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</si>
  <si>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</si>
  <si>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</si>
  <si>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</si>
  <si>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</si>
  <si>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</si>
  <si>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</si>
  <si>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</si>
  <si>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</si>
  <si>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</si>
  <si>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</si>
  <si>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</si>
  <si>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</si>
  <si>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</si>
  <si>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</si>
  <si>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</si>
  <si>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</si>
  <si>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</si>
  <si>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</si>
  <si>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</si>
  <si>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</si>
  <si>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</si>
  <si>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</si>
  <si>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</si>
  <si>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</si>
  <si>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</si>
  <si>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</si>
  <si>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</si>
  <si>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</si>
  <si>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</si>
  <si>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</si>
  <si>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</si>
  <si>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</si>
  <si>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</si>
  <si>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</si>
  <si>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</si>
  <si>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</si>
  <si>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</si>
  <si>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</si>
  <si>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</si>
  <si>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</si>
  <si>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</si>
  <si>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</si>
  <si>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</si>
  <si>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</si>
  <si>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</si>
  <si>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</si>
  <si>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</si>
  <si>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</si>
  <si>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</si>
  <si>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</si>
  <si>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</si>
  <si>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</si>
  <si>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</si>
  <si>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</si>
  <si>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</si>
  <si>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</si>
  <si>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</si>
  <si>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</si>
  <si>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</si>
  <si>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</si>
  <si>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</si>
  <si>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</si>
  <si>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</si>
  <si>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</si>
  <si>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</si>
  <si>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</si>
  <si>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</si>
  <si>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</si>
  <si>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</si>
  <si>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</si>
  <si>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</si>
  <si>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</si>
  <si>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</si>
  <si>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</si>
  <si>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</si>
  <si>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</si>
  <si>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</si>
  <si>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</si>
  <si>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</si>
  <si>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</si>
  <si>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</si>
  <si>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</si>
  <si>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</si>
  <si>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</si>
  <si>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</si>
  <si>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</si>
  <si>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</si>
  <si>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</si>
  <si>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</si>
  <si>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</si>
  <si>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</si>
  <si>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</si>
  <si>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</si>
  <si>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</si>
  <si>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</si>
  <si>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</si>
  <si>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</si>
  <si>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</si>
  <si>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</si>
  <si>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</si>
  <si>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</si>
  <si>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</si>
  <si>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</si>
  <si>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</si>
  <si>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</si>
  <si>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</si>
  <si>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</si>
  <si>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</si>
  <si>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</si>
  <si>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</si>
  <si>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</si>
  <si>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</si>
  <si>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</si>
  <si>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</si>
  <si>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</si>
  <si>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</si>
  <si>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</si>
  <si>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</si>
  <si>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</si>
  <si>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</si>
  <si>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</si>
  <si>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</si>
  <si>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</si>
  <si>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</si>
  <si>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</si>
  <si>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</si>
  <si>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</si>
  <si>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</si>
  <si>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</si>
  <si>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</si>
  <si>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</si>
  <si>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</si>
  <si>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</si>
  <si>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</si>
  <si>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</si>
  <si>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</si>
  <si>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</si>
  <si>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</si>
  <si>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</si>
  <si>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</si>
  <si>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</si>
  <si>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</si>
  <si>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</si>
  <si>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</si>
  <si>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</si>
  <si>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</si>
  <si>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</si>
  <si>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</si>
  <si>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</si>
  <si>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</si>
  <si>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</si>
  <si>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</si>
  <si>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</si>
  <si>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</si>
  <si>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</si>
  <si>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</si>
  <si>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</si>
  <si>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</si>
  <si>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</si>
  <si>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</si>
  <si>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</si>
  <si>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</si>
  <si>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</si>
  <si>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</si>
  <si>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</si>
  <si>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</si>
  <si>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</si>
  <si>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</si>
  <si>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</si>
  <si>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</si>
  <si>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</si>
  <si>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</si>
  <si>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</si>
  <si>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</si>
  <si>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</si>
  <si>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</si>
  <si>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</si>
  <si>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</si>
  <si>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</si>
  <si>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</si>
  <si>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</si>
  <si>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</si>
  <si>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</si>
  <si>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</si>
  <si>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</si>
  <si>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</si>
  <si>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</si>
  <si>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</si>
  <si>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</si>
  <si>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</si>
  <si>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</si>
  <si>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</si>
  <si>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</si>
  <si>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</si>
  <si>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</si>
  <si>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</si>
  <si>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</si>
  <si>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</si>
  <si>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</si>
  <si>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</si>
  <si>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</si>
  <si>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</si>
  <si>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</si>
  <si>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</si>
  <si>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</si>
  <si>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</si>
  <si>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</si>
  <si>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</si>
  <si>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</si>
  <si>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</si>
  <si>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</si>
  <si>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</si>
  <si>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</si>
  <si>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</si>
  <si>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</si>
  <si>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</si>
  <si>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</si>
  <si>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</si>
  <si>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</si>
  <si>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</si>
  <si>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</si>
  <si>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</si>
  <si>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</si>
  <si>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</si>
  <si>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</si>
  <si>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</si>
  <si>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</si>
  <si>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</si>
  <si>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</si>
  <si>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</si>
  <si>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</si>
  <si>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</si>
  <si>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</si>
  <si>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</si>
  <si>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</si>
  <si>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</si>
  <si>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</si>
  <si>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</si>
  <si>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</si>
  <si>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</si>
  <si>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</si>
  <si>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</si>
  <si>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</si>
  <si>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</si>
  <si>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</si>
  <si>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</si>
  <si>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</si>
  <si>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</si>
  <si>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</si>
  <si>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</si>
  <si>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</si>
  <si>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</si>
  <si>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</si>
  <si>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</si>
  <si>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</si>
  <si>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</si>
  <si>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</si>
  <si>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</si>
  <si>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</si>
  <si>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</si>
  <si>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</si>
  <si>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</si>
  <si>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</si>
  <si>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</si>
  <si>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</si>
  <si>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</si>
  <si>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</si>
  <si>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</si>
  <si>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</si>
  <si>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</si>
  <si>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</si>
  <si>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</si>
  <si>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</si>
  <si>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</si>
  <si>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</si>
  <si>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</si>
  <si>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</si>
  <si>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</si>
  <si>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</si>
  <si>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</si>
  <si>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</si>
  <si>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</si>
  <si>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</si>
  <si>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</si>
  <si>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</si>
  <si>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</si>
  <si>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</si>
  <si>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</si>
  <si>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</si>
  <si>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</si>
  <si>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</si>
  <si>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</si>
  <si>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</si>
  <si>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</si>
  <si>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</si>
  <si>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</si>
  <si>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</si>
  <si>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</si>
  <si>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</si>
  <si>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</si>
  <si>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</si>
  <si>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</si>
  <si>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</si>
  <si>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</si>
  <si>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</si>
  <si>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</si>
  <si>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</si>
  <si>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</si>
  <si>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</si>
  <si>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</si>
  <si>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</si>
  <si>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</si>
  <si>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</si>
  <si>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</si>
  <si>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</si>
  <si>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</si>
  <si>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</si>
  <si>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</si>
  <si>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</si>
  <si>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</si>
  <si>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</si>
  <si>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</si>
  <si>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</si>
  <si>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</si>
  <si>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</si>
  <si>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</si>
  <si>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</si>
  <si>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</si>
  <si>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</si>
  <si>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</si>
  <si>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</si>
  <si>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</si>
  <si>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</si>
  <si>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</si>
  <si>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</si>
  <si>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</si>
  <si>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</si>
  <si>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</si>
  <si>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</si>
  <si>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</si>
  <si>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</si>
  <si>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</si>
  <si>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</si>
  <si>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</si>
  <si>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</si>
  <si>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</si>
  <si>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</si>
  <si>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</si>
  <si>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</si>
  <si>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</si>
  <si>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</si>
  <si>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</si>
  <si>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</si>
  <si>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</si>
  <si>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</si>
  <si>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</si>
  <si>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</si>
  <si>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</si>
  <si>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</si>
  <si>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</si>
  <si>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</si>
  <si>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</si>
  <si>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</si>
  <si>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</si>
  <si>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</si>
  <si>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</si>
  <si>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</si>
  <si>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</si>
  <si>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</si>
  <si>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</si>
  <si>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</si>
  <si>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</si>
  <si>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</si>
  <si>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</si>
  <si>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</si>
  <si>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</si>
  <si>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</si>
  <si>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</si>
  <si>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</si>
  <si>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</si>
  <si>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</si>
  <si>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</si>
  <si>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</si>
  <si>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</si>
  <si>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</si>
  <si>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</si>
  <si>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</si>
  <si>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</si>
  <si>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</si>
  <si>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</si>
  <si>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</si>
  <si>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</si>
  <si>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</si>
  <si>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</si>
  <si>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</si>
  <si>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</si>
  <si>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</si>
  <si>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</si>
  <si>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</si>
  <si>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</si>
  <si>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</si>
  <si>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</si>
  <si>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</si>
  <si>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</si>
  <si>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</si>
  <si>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</si>
  <si>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</si>
  <si>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</si>
  <si>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</si>
  <si>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</si>
  <si>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</si>
  <si>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</si>
  <si>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</si>
  <si>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</si>
  <si>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</si>
  <si>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</si>
  <si>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</si>
  <si>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</si>
  <si>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</si>
  <si>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</si>
  <si>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</si>
  <si>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</si>
  <si>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</si>
  <si>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</si>
  <si>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</si>
  <si>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</si>
  <si>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</si>
  <si>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</si>
  <si>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</si>
  <si>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</si>
  <si>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</si>
  <si>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</si>
  <si>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</si>
  <si>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</si>
  <si>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</si>
  <si>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</si>
  <si>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</si>
  <si>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</si>
  <si>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</si>
  <si>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</si>
  <si>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</si>
  <si>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</si>
  <si>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</si>
  <si>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</si>
  <si>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</si>
  <si>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</si>
  <si>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</si>
  <si>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</si>
  <si>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</si>
  <si>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</si>
  <si>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</si>
  <si>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</si>
  <si>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</si>
  <si>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</si>
  <si>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</si>
  <si>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</si>
  <si>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</si>
  <si>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</si>
  <si>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</si>
  <si>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</si>
  <si>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</si>
  <si>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</si>
  <si>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</si>
  <si>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</si>
  <si>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</si>
  <si>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</si>
  <si>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</si>
  <si>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</si>
  <si>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</si>
  <si>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</si>
  <si>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</si>
  <si>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</si>
  <si>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</si>
  <si>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</si>
  <si>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</si>
  <si>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</si>
  <si>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</si>
  <si>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</si>
  <si>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</si>
  <si>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</si>
  <si>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</si>
  <si>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</si>
  <si>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</si>
  <si>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</si>
  <si>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</si>
  <si>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</si>
  <si>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</si>
  <si>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</si>
  <si>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</si>
  <si>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</si>
  <si>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</si>
  <si>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</si>
  <si>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</si>
  <si>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</si>
  <si>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</si>
  <si>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</si>
  <si>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</si>
  <si>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</si>
  <si>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</si>
  <si>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</si>
  <si>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</si>
  <si>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</si>
  <si>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</si>
  <si>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</si>
  <si>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</si>
  <si>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</si>
  <si>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</si>
  <si>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</si>
  <si>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</si>
  <si>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</si>
  <si>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</si>
  <si>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</si>
  <si>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</si>
  <si>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</si>
  <si>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</si>
  <si>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</si>
  <si>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</si>
  <si>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</si>
  <si>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</si>
  <si>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</si>
  <si>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</si>
  <si>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</si>
  <si>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</si>
  <si>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</si>
  <si>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</si>
  <si>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</si>
  <si>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</si>
  <si>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</si>
  <si>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</si>
  <si>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</si>
  <si>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</si>
  <si>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</si>
  <si>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</si>
  <si>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</si>
  <si>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</si>
  <si>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</si>
  <si>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</si>
  <si>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</si>
  <si>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</si>
  <si>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</si>
  <si>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</si>
  <si>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</si>
  <si>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</si>
  <si>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</si>
  <si>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</si>
  <si>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</si>
  <si>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</si>
  <si>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</si>
  <si>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</si>
  <si>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</si>
  <si>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</si>
  <si>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</si>
  <si>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</si>
  <si>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</si>
  <si>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</si>
  <si>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</si>
  <si>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</si>
  <si>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</si>
  <si>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</si>
  <si>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</si>
  <si>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</si>
  <si>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</si>
  <si>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</si>
  <si>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</si>
  <si>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</si>
  <si>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</si>
  <si>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</si>
  <si>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</si>
  <si>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</si>
  <si>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</si>
  <si>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</si>
  <si>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</si>
  <si>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</si>
  <si>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</si>
  <si>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</si>
  <si>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</si>
  <si>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</si>
  <si>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</si>
  <si>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</si>
  <si>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</si>
  <si>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</si>
  <si>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</si>
  <si>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</si>
  <si>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</si>
  <si>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</si>
  <si>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</si>
  <si>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</si>
  <si>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</si>
  <si>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</si>
  <si>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</si>
  <si>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</si>
  <si>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</si>
  <si>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</si>
  <si>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</si>
  <si>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</si>
  <si>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</si>
  <si>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</si>
  <si>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</si>
  <si>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</si>
  <si>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</si>
  <si>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</si>
  <si>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</si>
  <si>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</si>
  <si>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</si>
  <si>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</si>
  <si>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</si>
  <si>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</si>
  <si>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</si>
  <si>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</si>
  <si>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</si>
  <si>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</si>
  <si>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</si>
  <si>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</si>
  <si>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</si>
  <si>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</si>
  <si>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</si>
  <si>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</si>
  <si>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</si>
  <si>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</si>
  <si>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</si>
  <si>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</si>
  <si>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</si>
  <si>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</si>
  <si>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</si>
  <si>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</si>
  <si>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</si>
  <si>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</si>
  <si>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</si>
  <si>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</si>
  <si>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</si>
  <si>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</si>
  <si>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</si>
  <si>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</si>
  <si>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</si>
  <si>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</si>
  <si>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</si>
  <si>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</si>
  <si>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</si>
  <si>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</si>
  <si>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</si>
  <si>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</si>
  <si>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</si>
  <si>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</si>
  <si>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</si>
  <si>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</si>
  <si>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</si>
  <si>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</si>
  <si>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</si>
  <si>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</si>
  <si>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</si>
  <si>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</si>
  <si>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</si>
  <si>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</si>
  <si>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</si>
  <si>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</si>
  <si>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</si>
  <si>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</si>
  <si>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</si>
  <si>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</si>
  <si>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</si>
  <si>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</si>
  <si>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</si>
  <si>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</si>
  <si>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</si>
  <si>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</si>
  <si>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</si>
  <si>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</si>
  <si>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</si>
  <si>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</si>
  <si>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</si>
  <si>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</si>
  <si>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</si>
  <si>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</si>
  <si>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</si>
  <si>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</si>
  <si>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</si>
  <si>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</si>
  <si>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</si>
  <si>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</si>
  <si>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</si>
  <si>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</si>
  <si>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</si>
  <si>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</si>
  <si>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</si>
  <si>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</si>
  <si>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</si>
  <si>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</si>
  <si>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</si>
  <si>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</si>
  <si>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</si>
  <si>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</si>
  <si>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</si>
  <si>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</si>
  <si>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</si>
  <si>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</si>
  <si>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</si>
  <si>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</si>
  <si>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</si>
  <si>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</si>
  <si>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</si>
  <si>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</si>
  <si>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</si>
  <si>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</si>
  <si>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</si>
  <si>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</si>
  <si>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</si>
  <si>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</si>
  <si>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</si>
  <si>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</si>
  <si>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</si>
  <si>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</si>
  <si>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</si>
  <si>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</si>
  <si>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</si>
  <si>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</si>
  <si>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</si>
  <si>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</si>
  <si>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</si>
  <si>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</si>
  <si>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</si>
  <si>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</si>
  <si>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</si>
  <si>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</si>
  <si>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</si>
  <si>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</si>
  <si>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</si>
  <si>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</si>
  <si>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</si>
  <si>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</si>
  <si>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</si>
  <si>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</si>
  <si>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</si>
  <si>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</si>
  <si>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</si>
  <si>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</si>
  <si>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</si>
  <si>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</si>
  <si>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</si>
  <si>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</si>
  <si>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</si>
  <si>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</si>
  <si>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</si>
  <si>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</si>
  <si>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</si>
  <si>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</si>
  <si>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</si>
  <si>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</si>
  <si>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</si>
  <si>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</si>
  <si>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</si>
  <si>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</si>
  <si>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</si>
  <si>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</si>
  <si>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</si>
  <si>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</si>
  <si>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</si>
  <si>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</si>
  <si>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</si>
  <si>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</si>
  <si>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</si>
  <si>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</si>
  <si>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</si>
  <si>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</si>
  <si>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</si>
  <si>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</si>
  <si>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</si>
  <si>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</si>
  <si>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</si>
  <si>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</si>
  <si>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</si>
  <si>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</si>
  <si>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</si>
  <si>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</si>
  <si>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</si>
  <si>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</si>
  <si>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</si>
  <si>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</si>
  <si>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</si>
  <si>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</si>
  <si>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</si>
  <si>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</si>
  <si>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</si>
  <si>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</si>
  <si>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</si>
  <si>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</si>
  <si>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</si>
  <si>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</si>
  <si>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</si>
  <si>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</si>
  <si>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</si>
  <si>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</si>
  <si>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</si>
  <si>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</si>
  <si>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</si>
  <si>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</si>
  <si>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</si>
  <si>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</si>
  <si>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</si>
  <si>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</si>
  <si>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</si>
  <si>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</si>
  <si>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</si>
  <si>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</si>
  <si>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</si>
  <si>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</si>
  <si>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</si>
  <si>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</si>
  <si>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</si>
  <si>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</si>
  <si>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</si>
  <si>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</si>
  <si>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</si>
  <si>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</si>
  <si>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</si>
  <si>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</si>
  <si>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</si>
  <si>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</si>
  <si>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</si>
  <si>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</si>
  <si>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</si>
  <si>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</si>
  <si>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</si>
  <si>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</si>
  <si>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</si>
  <si>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</si>
  <si>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</si>
  <si>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</si>
  <si>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</si>
  <si>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</si>
  <si>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</si>
  <si>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</si>
  <si>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</si>
  <si>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</si>
  <si>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</si>
  <si>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</si>
  <si>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</si>
  <si>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</si>
  <si>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</si>
  <si>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</si>
  <si>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</si>
  <si>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</si>
  <si>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</si>
  <si>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</si>
  <si>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</si>
  <si>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</si>
  <si>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</si>
  <si>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</si>
  <si>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</si>
  <si>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</si>
  <si>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</si>
  <si>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</si>
  <si>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</si>
  <si>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</si>
  <si>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</si>
  <si>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</si>
  <si>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</si>
  <si>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</si>
  <si>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</si>
  <si>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</si>
  <si>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</si>
  <si>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</si>
  <si>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</si>
  <si>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</si>
  <si>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</si>
  <si>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</si>
  <si>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</si>
  <si>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</si>
  <si>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</si>
  <si>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</si>
  <si>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</si>
  <si>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</si>
  <si>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</si>
  <si>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</si>
  <si>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</si>
  <si>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</si>
  <si>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</si>
  <si>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</si>
  <si>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</si>
  <si>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</si>
  <si>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</si>
  <si>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</si>
  <si>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</si>
  <si>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</si>
  <si>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</si>
  <si>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</si>
  <si>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</si>
  <si>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</si>
  <si>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</si>
  <si>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</si>
  <si>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</si>
  <si>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</si>
  <si>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</si>
  <si>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</si>
  <si>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</si>
  <si>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</si>
  <si>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</si>
  <si>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</si>
  <si>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</si>
  <si>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</si>
  <si>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</si>
  <si>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</si>
  <si>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</si>
  <si>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</si>
  <si>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</si>
  <si>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</si>
  <si>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</si>
  <si>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</si>
  <si>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</si>
  <si>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</si>
  <si>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</si>
  <si>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</si>
  <si>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</si>
  <si>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</si>
  <si>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</si>
  <si>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</si>
  <si>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</si>
  <si>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</si>
  <si>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</si>
  <si>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</si>
  <si>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</si>
  <si>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</si>
  <si>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</si>
  <si>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</si>
  <si>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</si>
  <si>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</si>
  <si>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</si>
  <si>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</si>
  <si>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</si>
  <si>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</si>
  <si>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</si>
  <si>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</si>
  <si>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</si>
  <si>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</si>
  <si>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</si>
  <si>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</si>
  <si>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</si>
  <si>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</si>
  <si>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</si>
  <si>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</si>
  <si>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</si>
  <si>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</si>
  <si>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</si>
  <si>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</si>
  <si>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</si>
  <si>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</si>
  <si>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</si>
  <si>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</si>
  <si>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</si>
  <si>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</si>
  <si>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</si>
  <si>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</si>
  <si>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</si>
  <si>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</si>
  <si>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</si>
  <si>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</si>
  <si>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</si>
  <si>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</si>
  <si>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</si>
  <si>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</si>
  <si>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</si>
  <si>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</si>
  <si>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</si>
  <si>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</si>
  <si>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</si>
  <si>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</si>
  <si>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</si>
  <si>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</si>
  <si>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</si>
  <si>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</si>
  <si>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</si>
  <si>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</si>
  <si>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</si>
  <si>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</si>
  <si>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</si>
  <si>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</si>
  <si>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</si>
  <si>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</si>
  <si>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</si>
  <si>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</si>
  <si>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</si>
  <si>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</si>
  <si>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</si>
  <si>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</si>
  <si>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</si>
  <si>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</si>
  <si>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</si>
  <si>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</si>
  <si>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</si>
  <si>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</si>
  <si>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</si>
  <si>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</si>
  <si>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</si>
  <si>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</si>
  <si>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</si>
  <si>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</si>
  <si>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</si>
  <si>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</si>
  <si>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</si>
  <si>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</si>
  <si>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</si>
  <si>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</si>
  <si>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</si>
  <si>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</si>
  <si>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</si>
  <si>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</si>
  <si>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</si>
  <si>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</si>
  <si>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</si>
  <si>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</si>
  <si>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</si>
  <si>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</si>
  <si>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</si>
  <si>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</si>
  <si>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</si>
  <si>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</si>
  <si>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</si>
  <si>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</si>
  <si>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</si>
  <si>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</si>
  <si>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</si>
  <si>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</si>
  <si>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</si>
  <si>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</si>
  <si>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</si>
  <si>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</si>
  <si>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</si>
  <si>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</si>
  <si>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</si>
  <si>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</si>
  <si>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</si>
  <si>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</si>
  <si>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</si>
  <si>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</si>
  <si>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</si>
  <si>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</si>
  <si>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</si>
  <si>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</si>
  <si>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</si>
  <si>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</si>
  <si>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</si>
  <si>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</si>
  <si>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</si>
  <si>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</si>
  <si>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</si>
  <si>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</si>
  <si>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</si>
  <si>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</si>
  <si>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</si>
  <si>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</si>
  <si>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</si>
  <si>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</si>
  <si>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</si>
  <si>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</si>
  <si>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</si>
  <si>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</si>
  <si>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</si>
  <si>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</si>
  <si>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</si>
  <si>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</si>
  <si>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</si>
  <si>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</si>
  <si>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</si>
  <si>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</si>
  <si>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</si>
  <si>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</si>
  <si>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</si>
  <si>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</si>
  <si>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</si>
  <si>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</si>
  <si>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</si>
  <si>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</si>
  <si>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</si>
  <si>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</si>
  <si>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</si>
  <si>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</si>
  <si>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</si>
  <si>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</si>
  <si>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</si>
  <si>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</si>
  <si>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</si>
  <si>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</si>
  <si>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</si>
  <si>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</si>
  <si>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</si>
  <si>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</si>
  <si>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</si>
  <si>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</si>
  <si>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</si>
  <si>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</si>
  <si>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</si>
  <si>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</si>
  <si>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</si>
  <si>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</si>
  <si>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</si>
  <si>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</si>
  <si>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</si>
  <si>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</si>
  <si>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</si>
  <si>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</si>
  <si>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</si>
  <si>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</si>
  <si>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</si>
  <si>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</si>
  <si>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</si>
  <si>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</si>
  <si>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</si>
  <si>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</si>
  <si>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</si>
  <si>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</si>
  <si>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</si>
  <si>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</si>
  <si>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</si>
  <si>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</si>
  <si>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</si>
  <si>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</si>
  <si>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</si>
  <si>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</si>
  <si>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</si>
  <si>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</si>
  <si>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</si>
  <si>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</si>
  <si>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</si>
  <si>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</si>
  <si>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</si>
  <si>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</si>
  <si>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</si>
  <si>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</si>
  <si>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</si>
  <si>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</si>
  <si>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</si>
  <si>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</si>
  <si>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</si>
  <si>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</si>
  <si>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</si>
  <si>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</si>
  <si>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</si>
  <si>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</si>
  <si>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</si>
  <si>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</si>
  <si>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</si>
  <si>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</si>
  <si>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</si>
  <si>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</si>
  <si>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</si>
  <si>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</si>
  <si>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</si>
  <si>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</si>
  <si>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</si>
  <si>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</si>
  <si>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</si>
  <si>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</si>
  <si>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</si>
  <si>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</si>
  <si>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</si>
  <si>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</si>
  <si>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</si>
  <si>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</si>
  <si>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</si>
  <si>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</si>
  <si>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</si>
  <si>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</si>
  <si>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</si>
  <si>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</si>
  <si>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</si>
  <si>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</si>
  <si>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</si>
  <si>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</si>
  <si>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</si>
  <si>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</si>
  <si>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</si>
  <si>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</si>
  <si>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</si>
  <si>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</si>
  <si>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</si>
  <si>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</si>
  <si>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</si>
  <si>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</si>
  <si>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</si>
  <si>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</si>
  <si>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</si>
  <si>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</si>
  <si>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</si>
  <si>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</si>
  <si>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</si>
  <si>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</si>
  <si>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</si>
  <si>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</si>
  <si>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</si>
  <si>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</si>
  <si>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</si>
  <si>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</si>
  <si>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</si>
  <si>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</si>
  <si>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</si>
  <si>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</si>
  <si>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</si>
  <si>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</si>
  <si>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</si>
  <si>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</si>
  <si>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</si>
  <si>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</si>
  <si>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</si>
  <si>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</si>
  <si>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</si>
  <si>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</si>
  <si>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</si>
  <si>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</si>
  <si>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</si>
  <si>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</si>
  <si>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</si>
  <si>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</si>
  <si>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</si>
  <si>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</si>
  <si>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</si>
  <si>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</si>
  <si>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</si>
  <si>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</si>
  <si>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</si>
  <si>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</si>
  <si>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</si>
  <si>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</si>
  <si>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</si>
  <si>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</si>
  <si>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</si>
  <si>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</si>
  <si>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</si>
  <si>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</si>
  <si>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</si>
  <si>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</si>
  <si>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</si>
  <si>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</si>
  <si>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</si>
  <si>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</si>
  <si>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</si>
  <si>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</si>
  <si>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</si>
  <si>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</si>
  <si>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</si>
  <si>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</si>
  <si>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</si>
  <si>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</si>
  <si>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</si>
  <si>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</si>
  <si>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</si>
  <si>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</si>
  <si>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</si>
  <si>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</si>
  <si>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</si>
  <si>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</si>
  <si>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</si>
  <si>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</si>
  <si>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</si>
  <si>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</si>
  <si>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</si>
  <si>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</si>
  <si>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</si>
  <si>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</si>
  <si>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</si>
  <si>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</si>
  <si>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</si>
  <si>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</si>
  <si>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</si>
  <si>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</si>
  <si>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</si>
  <si>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</si>
  <si>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</si>
  <si>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</si>
  <si>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</si>
  <si>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</si>
  <si>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</si>
  <si>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</si>
  <si>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</si>
  <si>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</si>
  <si>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</si>
  <si>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</si>
  <si>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</si>
  <si>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</si>
  <si>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</si>
  <si>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</si>
  <si>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</si>
  <si>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</si>
  <si>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</si>
  <si>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</si>
  <si>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</si>
  <si>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</si>
  <si>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</si>
  <si>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</si>
  <si>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</si>
  <si>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</si>
  <si>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</si>
  <si>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</si>
  <si>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</si>
  <si>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</si>
  <si>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</si>
  <si>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</si>
  <si>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</si>
  <si>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</si>
  <si>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</si>
  <si>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</si>
  <si>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</si>
  <si>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</si>
  <si>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</si>
  <si>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</si>
  <si>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</si>
  <si>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</si>
  <si>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</si>
  <si>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</si>
  <si>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</si>
  <si>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</si>
  <si>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</si>
  <si>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</si>
  <si>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</si>
  <si>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</si>
  <si>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</si>
  <si>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</si>
  <si>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</si>
  <si>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</si>
  <si>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</si>
  <si>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</si>
  <si>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</si>
  <si>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</si>
  <si>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</si>
  <si>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</si>
  <si>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</si>
  <si>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</si>
  <si>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</si>
  <si>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</si>
  <si>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</si>
  <si>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</si>
  <si>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</si>
  <si>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</si>
  <si>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</si>
  <si>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</si>
  <si>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</si>
  <si>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</si>
  <si>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</si>
  <si>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</si>
  <si>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</si>
  <si>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</si>
  <si>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</si>
  <si>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</si>
  <si>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</si>
  <si>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</si>
  <si>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</si>
  <si>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</si>
  <si>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</si>
  <si>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</si>
  <si>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</si>
  <si>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</si>
  <si>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</si>
  <si>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</si>
  <si>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</si>
  <si>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</si>
  <si>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</si>
  <si>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</si>
  <si>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</si>
  <si>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</si>
  <si>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</si>
  <si>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</si>
  <si>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</si>
  <si>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</si>
  <si>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</si>
  <si>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</si>
  <si>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</si>
  <si>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</si>
  <si>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</si>
  <si>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</si>
  <si>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</si>
  <si>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</si>
  <si>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</si>
  <si>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</si>
  <si>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</si>
  <si>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</si>
  <si>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</si>
  <si>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</si>
  <si>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</si>
  <si>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</si>
  <si>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</si>
  <si>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</si>
  <si>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</si>
  <si>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</si>
  <si>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</si>
  <si>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</si>
  <si>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</si>
  <si>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</si>
  <si>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</si>
  <si>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</si>
  <si>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</si>
  <si>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</si>
  <si>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</si>
  <si>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</si>
  <si>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</si>
  <si>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</si>
  <si>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</si>
  <si>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</si>
  <si>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</si>
  <si>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</si>
  <si>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</si>
  <si>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</si>
  <si>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</si>
  <si>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</si>
  <si>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</si>
  <si>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</si>
  <si>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</si>
  <si>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</si>
  <si>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</si>
  <si>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</si>
  <si>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</si>
  <si>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</si>
  <si>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</si>
  <si>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</si>
  <si>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</si>
  <si>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</si>
  <si>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</si>
  <si>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</si>
  <si>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</si>
  <si>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</si>
  <si>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</si>
  <si>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</si>
  <si>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</si>
  <si>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</si>
  <si>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</si>
  <si>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</si>
  <si>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</si>
  <si>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</si>
  <si>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</si>
  <si>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</si>
  <si>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</si>
  <si>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</si>
  <si>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</si>
  <si>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</si>
  <si>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</si>
  <si>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</si>
  <si>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</si>
  <si>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</si>
  <si>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</si>
  <si>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</si>
  <si>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</si>
  <si>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</si>
  <si>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</si>
  <si>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</si>
  <si>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</si>
  <si>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</si>
  <si>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</si>
  <si>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</si>
  <si>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</si>
  <si>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</si>
  <si>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</si>
  <si>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</si>
  <si>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</si>
  <si>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</si>
  <si>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</si>
  <si>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</si>
  <si>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</si>
  <si>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</si>
  <si>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</si>
  <si>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</si>
  <si>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</si>
  <si>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</si>
  <si>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</si>
  <si>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</si>
  <si>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</si>
  <si>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</si>
  <si>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</si>
  <si>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</si>
  <si>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</si>
  <si>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</si>
  <si>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</si>
  <si>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</si>
  <si>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</si>
  <si>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</si>
  <si>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</si>
  <si>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</si>
  <si>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</si>
  <si>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</si>
  <si>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</si>
  <si>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</si>
  <si>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</si>
  <si>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</si>
  <si>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</si>
  <si>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</si>
  <si>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</si>
  <si>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</si>
  <si>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</si>
  <si>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</si>
  <si>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</si>
  <si>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</si>
  <si>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</si>
  <si>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</si>
  <si>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</si>
  <si>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</si>
  <si>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</si>
  <si>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</si>
  <si>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</si>
  <si>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</si>
  <si>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</si>
  <si>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</si>
  <si>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</si>
  <si>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</si>
  <si>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</si>
  <si>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</si>
  <si>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</si>
  <si>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</si>
  <si>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</si>
  <si>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</si>
  <si>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</si>
  <si>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</si>
  <si>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</si>
  <si>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</si>
  <si>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</si>
  <si>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</si>
  <si>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</si>
  <si>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</si>
  <si>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</si>
  <si>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</si>
  <si>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</si>
  <si>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</si>
  <si>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</si>
  <si>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</si>
  <si>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</si>
  <si>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</si>
  <si>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</si>
  <si>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</si>
  <si>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</si>
  <si>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</si>
  <si>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</si>
  <si>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</si>
  <si>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</si>
  <si>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</si>
  <si>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</si>
  <si>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</si>
  <si>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</si>
  <si>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</si>
  <si>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</si>
  <si>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</si>
  <si>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</si>
  <si>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</si>
  <si>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</si>
  <si>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</si>
  <si>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</si>
  <si>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</si>
  <si>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</si>
  <si>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</si>
  <si>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</si>
  <si>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</si>
  <si>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</si>
  <si>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</si>
  <si>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</si>
  <si>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</si>
  <si>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</si>
  <si>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</si>
  <si>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</si>
  <si>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</si>
  <si>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</si>
  <si>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</si>
  <si>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</si>
  <si>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</si>
  <si>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</si>
  <si>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</si>
  <si>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</si>
  <si>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</si>
  <si>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</si>
  <si>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</si>
  <si>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</si>
  <si>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</si>
  <si>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</si>
  <si>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</si>
  <si>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</si>
  <si>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</si>
  <si>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</si>
  <si>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</si>
  <si>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</si>
  <si>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</si>
  <si>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</si>
  <si>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</si>
  <si>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</si>
  <si>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</si>
  <si>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</si>
  <si>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</si>
  <si>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</si>
  <si>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</si>
  <si>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</si>
  <si>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</si>
  <si>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</si>
  <si>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</si>
  <si>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</si>
  <si>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</si>
  <si>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</si>
  <si>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</si>
  <si>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</si>
  <si>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</si>
  <si>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</si>
  <si>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</si>
  <si>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</si>
  <si>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</si>
  <si>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</si>
  <si>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</si>
  <si>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</si>
  <si>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</si>
  <si>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</si>
  <si>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</si>
  <si>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</si>
  <si>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</si>
  <si>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</si>
  <si>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</si>
  <si>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</si>
  <si>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</si>
  <si>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</si>
  <si>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</si>
  <si>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</si>
  <si>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</si>
  <si>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</si>
  <si>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</si>
  <si>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</si>
  <si>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</si>
  <si>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</si>
  <si>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</si>
  <si>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</si>
  <si>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</si>
  <si>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</si>
  <si>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</si>
  <si>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</si>
  <si>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</si>
  <si>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</si>
  <si>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</si>
  <si>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</si>
  <si>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</si>
  <si>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</si>
  <si>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</si>
  <si>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</si>
  <si>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</si>
  <si>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</si>
  <si>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</si>
  <si>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</si>
  <si>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</si>
  <si>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</si>
  <si>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</si>
  <si>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</si>
  <si>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</si>
  <si>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</si>
  <si>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</si>
  <si>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</si>
  <si>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</si>
  <si>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</si>
  <si>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</si>
  <si>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</si>
  <si>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</si>
  <si>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</si>
  <si>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</si>
  <si>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</si>
  <si>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</si>
  <si>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</si>
  <si>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</si>
  <si>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</si>
  <si>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</si>
  <si>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</si>
  <si>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</si>
  <si>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</si>
  <si>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</si>
  <si>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</si>
  <si>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</si>
  <si>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</si>
  <si>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</si>
  <si>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</si>
  <si>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</si>
  <si>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</si>
  <si>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</si>
  <si>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</si>
  <si>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</si>
  <si>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</si>
  <si>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</si>
  <si>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</si>
  <si>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</si>
  <si>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</si>
  <si>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</si>
  <si>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</si>
  <si>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</si>
  <si>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</si>
  <si>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</si>
  <si>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</si>
  <si>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</si>
  <si>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</si>
  <si>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</si>
  <si>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</si>
  <si>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</si>
  <si>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</si>
  <si>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</si>
  <si>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</si>
  <si>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</si>
  <si>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</si>
  <si>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</si>
  <si>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</si>
  <si>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</si>
  <si>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</si>
  <si>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</si>
  <si>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</si>
  <si>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</si>
  <si>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</si>
  <si>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</si>
  <si>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</si>
  <si>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</si>
  <si>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</si>
  <si>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</si>
  <si>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</si>
  <si>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</si>
  <si>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</si>
  <si>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</si>
  <si>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</si>
  <si>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</si>
  <si>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</si>
  <si>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</si>
  <si>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</si>
  <si>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</si>
  <si>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</si>
  <si>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</si>
  <si>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</si>
  <si>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</si>
  <si>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</si>
  <si>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</si>
  <si>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</si>
  <si>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</si>
  <si>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</si>
  <si>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</si>
  <si>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</si>
  <si>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</si>
  <si>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</si>
  <si>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</si>
  <si>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</si>
  <si>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</si>
  <si>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</si>
  <si>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</si>
  <si>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</si>
  <si>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</si>
  <si>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</si>
  <si>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</si>
  <si>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</si>
  <si>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</si>
  <si>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</si>
  <si>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</si>
  <si>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</si>
  <si>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</si>
  <si>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</si>
  <si>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</si>
  <si>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</si>
  <si>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</si>
  <si>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</si>
  <si>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</si>
  <si>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</si>
  <si>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</si>
  <si>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</si>
  <si>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</si>
  <si>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</si>
  <si>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</si>
  <si>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</si>
  <si>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</si>
  <si>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</si>
  <si>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</si>
  <si>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</si>
  <si>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</si>
  <si>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</si>
  <si>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</si>
  <si>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</si>
  <si>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</si>
  <si>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</si>
  <si>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</si>
  <si>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</si>
  <si>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</si>
  <si>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</si>
  <si>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</si>
  <si>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</si>
  <si>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</si>
  <si>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</si>
  <si>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房地产抵押价值</t>
  </si>
  <si>
    <t>北京市</t>
  </si>
  <si>
    <t>自然人</t>
  </si>
  <si>
    <t>出让</t>
  </si>
  <si>
    <t>自定义容积率</t>
  </si>
  <si>
    <t>不临65条商业街</t>
  </si>
  <si>
    <t>通路</t>
  </si>
  <si>
    <t>通电</t>
  </si>
  <si>
    <t>通讯</t>
  </si>
  <si>
    <t>通上水</t>
  </si>
  <si>
    <t>通下水</t>
  </si>
  <si>
    <t>燃气</t>
  </si>
  <si>
    <t>平整</t>
  </si>
  <si>
    <t>楼层修正</t>
  </si>
  <si>
    <t>一般</t>
  </si>
  <si>
    <t>较好</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</si>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</sst>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2022年6月21日</v>
      </c>
    </row>
    <row r="13" spans="1:2" s="1157" customFormat="1">
      <c r="A13" s="1155" t="s">
        <v>766</v>
      </c>
      <c r="B13" s="1156" t="str">
        <f>'预评函-1'!A18</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8" sqref="H28"/>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7" t="str">
        <f>IF(B10="北京市","北京市",C10)&amp;F10&amp;IF(结果表!G1="在建","出让国有建设用地使用权及在建建筑物",IF(结果表!G1="土地","出让国有建设用地使用权",))&amp;B9&amp;"预评估"</f>
        <v>北京市房地产抵押价值预评估</v>
      </c>
      <c r="C1" s="3388"/>
      <c r="D1" s="3388"/>
      <c r="E1" s="3388"/>
      <c r="F1" s="3388"/>
      <c r="G1" s="3388"/>
      <c r="H1" s="3388"/>
      <c r="I1" s="3389"/>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c r="C3" s="2051" t="s">
        <v>2458</v>
      </c>
      <c r="D3" s="2050">
        <v>44733</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90" t="s">
        <v>2464</v>
      </c>
      <c r="E8" s="2068" t="s">
        <v>3110</v>
      </c>
      <c r="F8" s="2069"/>
      <c r="G8" s="2343"/>
      <c r="H8" s="2343"/>
      <c r="I8" s="2343"/>
      <c r="J8" s="2118"/>
      <c r="K8" s="2293"/>
      <c r="L8" s="2292"/>
      <c r="M8" s="2292"/>
      <c r="N8" s="2118"/>
      <c r="O8" s="2129"/>
      <c r="P8" s="2118"/>
      <c r="Q8" s="2118"/>
      <c r="R8" s="2118"/>
    </row>
    <row r="9" spans="1:28" ht="13.5" thickBot="1">
      <c r="A9" s="2070" t="s">
        <v>2465</v>
      </c>
      <c r="B9" s="2071" t="s">
        <v>3110</v>
      </c>
      <c r="C9" s="2072"/>
      <c r="D9" s="3391"/>
      <c r="E9" s="2071"/>
      <c r="F9" s="2073"/>
      <c r="G9" s="2345"/>
      <c r="H9" s="2345"/>
      <c r="I9" s="2345"/>
      <c r="J9" s="2118"/>
      <c r="K9" s="2295"/>
      <c r="L9" s="2292"/>
      <c r="M9" s="2292"/>
      <c r="N9" s="2118"/>
      <c r="O9" s="2129"/>
      <c r="P9" s="2118"/>
      <c r="Q9" s="2118"/>
      <c r="R9" s="2118"/>
    </row>
    <row r="10" spans="1:28" ht="13.5" thickTop="1">
      <c r="A10" s="2074" t="s">
        <v>2466</v>
      </c>
      <c r="B10" s="2075" t="s">
        <v>3111</v>
      </c>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3112</v>
      </c>
      <c r="C11" s="2080"/>
      <c r="D11" s="2081"/>
      <c r="E11" s="2047"/>
      <c r="F11" s="2047"/>
      <c r="G11" s="2047"/>
      <c r="H11" s="2047"/>
      <c r="I11" s="2047"/>
      <c r="J11" s="2118"/>
      <c r="K11" s="2295"/>
      <c r="L11" s="2292"/>
      <c r="M11" s="2292"/>
      <c r="N11" s="2118"/>
      <c r="O11" s="2129"/>
      <c r="P11" s="2118"/>
      <c r="Q11" s="2118"/>
      <c r="R11" s="2118"/>
    </row>
    <row r="12" spans="1:28">
      <c r="A12" s="2082" t="s">
        <v>2469</v>
      </c>
      <c r="B12" s="2079" t="s">
        <v>3113</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v>50941</v>
      </c>
      <c r="F13" s="829"/>
      <c r="G13" s="829"/>
      <c r="H13" s="829"/>
      <c r="I13" s="829"/>
      <c r="J13" s="2118"/>
      <c r="K13" s="2295"/>
      <c r="L13" s="2292"/>
      <c r="M13" s="2292"/>
      <c r="N13" s="2118"/>
      <c r="O13" s="2129"/>
      <c r="P13" s="2118"/>
      <c r="Q13" s="2118"/>
      <c r="R13" s="2118"/>
    </row>
    <row r="14" spans="1:28">
      <c r="A14" s="1046"/>
      <c r="B14" s="2084"/>
      <c r="C14" s="2085" t="s">
        <v>2478</v>
      </c>
      <c r="D14" s="2086"/>
      <c r="E14" s="2086">
        <v>40</v>
      </c>
      <c r="F14" s="2086"/>
      <c r="G14" s="2086"/>
      <c r="H14" s="2086"/>
      <c r="I14" s="2086"/>
      <c r="J14" s="2118"/>
      <c r="K14" s="2296"/>
      <c r="L14" s="2292"/>
      <c r="M14" s="2292"/>
      <c r="N14" s="2118"/>
      <c r="O14" s="2129"/>
      <c r="P14" s="2118"/>
      <c r="Q14" s="2118"/>
      <c r="R14" s="2118"/>
    </row>
    <row r="15" spans="1:28">
      <c r="A15" s="321"/>
      <c r="B15" s="2087"/>
      <c r="C15" s="2088" t="s">
        <v>2479</v>
      </c>
      <c r="D15" s="2089" t="str">
        <f>IF(B12="出让",IF(D13="","",ROUNDDOWN(MIN((D13-$D$3)/365,D14),2)),D14)</f>
        <v/>
      </c>
      <c r="E15" s="2089">
        <f>IF(B12="出让",IF(E13="","",ROUNDDOWN(MIN((E13-$D$3)/365,E14),2)),E14)</f>
        <v>17</v>
      </c>
      <c r="F15" s="2089" t="str">
        <f>IF(B12="出让",IF(F13="","",ROUNDDOWN(MIN((F13-$D$3)/365,F14),2)),F14)</f>
        <v/>
      </c>
      <c r="G15" s="2089" t="str">
        <f>IF(B12="出让",IF(G13="","",ROUNDDOWN(MIN((G13-$D$3)/365,G14),2)),G14)</f>
        <v/>
      </c>
      <c r="H15" s="2089" t="str">
        <f>IF(B12="出让",IF(H13="","",ROUNDDOWN(MIN((H13-$D$3)/365,H14),2)),H14)</f>
        <v/>
      </c>
      <c r="I15" s="2089" t="str">
        <f>IF(B12="出让",IF(I13="","",ROUNDDOWN(MIN((I13-$D$3)/365,I14),2)),I14)</f>
        <v/>
      </c>
      <c r="J15" s="2118"/>
      <c r="K15" s="2297"/>
      <c r="L15" s="2130"/>
      <c r="M15" s="2130"/>
      <c r="N15" s="2188"/>
      <c r="O15" s="2130"/>
      <c r="P15" s="2188"/>
      <c r="Q15" s="2118"/>
      <c r="R15" s="2118"/>
    </row>
    <row r="16" spans="1:28">
      <c r="A16" s="2077" t="s">
        <v>2480</v>
      </c>
      <c r="B16" s="3397"/>
      <c r="C16" s="3398"/>
      <c r="D16" s="3399"/>
      <c r="E16" s="2092" t="s">
        <v>2481</v>
      </c>
      <c r="F16" s="3400"/>
      <c r="G16" s="3401"/>
      <c r="H16" s="3401"/>
      <c r="I16" s="3402"/>
      <c r="J16" s="2118"/>
      <c r="K16" s="2297"/>
      <c r="L16" s="2130"/>
      <c r="M16" s="2130"/>
      <c r="N16" s="2188"/>
      <c r="O16" s="2130"/>
      <c r="P16" s="2188"/>
      <c r="Q16" s="2118"/>
      <c r="R16" s="2118"/>
    </row>
    <row r="17" spans="1:28">
      <c r="A17" s="314" t="s">
        <v>2482</v>
      </c>
      <c r="B17" s="303" t="s">
        <v>2483</v>
      </c>
      <c r="C17" s="10">
        <f>'数据-汇总表'!E3</f>
        <v>0</v>
      </c>
      <c r="D17" s="1998" t="s">
        <v>2484</v>
      </c>
      <c r="E17" s="3403" t="s">
        <v>2485</v>
      </c>
      <c r="F17" s="3404"/>
      <c r="G17" s="3404"/>
      <c r="H17" s="3404"/>
      <c r="I17" s="3405"/>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406" t="s">
        <v>2489</v>
      </c>
      <c r="F18" s="3407"/>
      <c r="G18" s="3407"/>
      <c r="H18" s="3407"/>
      <c r="I18" s="3408"/>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93" t="s">
        <v>2493</v>
      </c>
      <c r="C20" s="3394"/>
      <c r="D20" s="3395" t="s">
        <v>2494</v>
      </c>
      <c r="E20" s="3396"/>
      <c r="F20" s="2327" t="s">
        <v>1304</v>
      </c>
      <c r="G20" s="2344"/>
      <c r="H20" s="2344"/>
      <c r="I20" s="2344"/>
      <c r="J20" s="2118"/>
      <c r="K20" s="3392"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92"/>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92"/>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380"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380"/>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380"/>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381"/>
      <c r="B30" s="303" t="s">
        <v>2505</v>
      </c>
      <c r="C30" s="3382"/>
      <c r="D30" s="3383"/>
      <c r="E30" s="2344"/>
      <c r="F30" s="2344"/>
      <c r="G30" s="2344"/>
      <c r="H30" s="2344"/>
      <c r="I30" s="2344"/>
      <c r="J30" s="2118"/>
      <c r="K30" s="2295"/>
      <c r="L30" s="2292"/>
      <c r="M30" s="2292"/>
      <c r="N30" s="2118"/>
      <c r="O30" s="2129"/>
      <c r="P30" s="2118"/>
      <c r="Q30" s="2118"/>
      <c r="R30" s="2118"/>
      <c r="S30" s="2118"/>
      <c r="T30" s="2118"/>
      <c r="U30" s="2118"/>
      <c r="V30" s="2118"/>
    </row>
    <row r="31" spans="1:28">
      <c r="A31" s="3384"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385"/>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385"/>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379" t="s">
        <v>2515</v>
      </c>
      <c r="T34" s="2107" t="str">
        <f>NUMBERSTRING(7-K34,1)&amp;"通"</f>
        <v>七通</v>
      </c>
      <c r="U34" s="2118"/>
      <c r="V34" s="2118"/>
    </row>
    <row r="35" spans="1:30">
      <c r="A35" s="2108"/>
      <c r="B35" s="3386" t="s">
        <v>2516</v>
      </c>
      <c r="C35" s="3386"/>
      <c r="D35" s="3386"/>
      <c r="E35" s="3386"/>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79"/>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t="s">
        <v>56</v>
      </c>
      <c r="C37" s="2110"/>
      <c r="D37" s="2110"/>
      <c r="E37" s="2110"/>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t="s">
        <v>420</v>
      </c>
      <c r="C38" s="2111"/>
      <c r="D38" s="2111"/>
      <c r="E38" s="2111"/>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44733</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c r="A1" s="2191" t="s">
        <v>902</v>
      </c>
      <c r="B1" s="2191">
        <f>SUM(B14:B23)</f>
        <v>0</v>
      </c>
      <c r="C1" s="2366"/>
      <c r="D1" s="2366"/>
      <c r="E1" s="2366"/>
      <c r="F1" s="2366"/>
      <c r="G1" s="2367"/>
      <c r="H1" s="2368"/>
      <c r="I1" s="2368"/>
      <c r="J1" s="2368"/>
      <c r="K1" s="2368"/>
    </row>
    <row r="2" spans="1:11">
      <c r="A2" s="2191" t="s">
        <v>890</v>
      </c>
      <c r="B2" s="2191" t="e">
        <f>SUM(C14:C23)</f>
        <v>#DIV/0!</v>
      </c>
      <c r="C2" s="2366"/>
      <c r="D2" s="2366"/>
      <c r="E2" s="2366"/>
      <c r="F2" s="2366"/>
      <c r="G2" s="2367"/>
      <c r="H2" s="2368"/>
      <c r="I2" s="2368"/>
      <c r="J2" s="2368"/>
      <c r="K2" s="2368"/>
    </row>
    <row r="3" spans="1:11">
      <c r="A3" s="2191" t="s">
        <v>899</v>
      </c>
      <c r="B3" s="2193">
        <f>项目基本情况!D3</f>
        <v>44733</v>
      </c>
      <c r="C3" s="2366"/>
      <c r="D3" s="2366"/>
      <c r="E3" s="2366"/>
      <c r="F3" s="2366"/>
      <c r="G3" s="2367"/>
      <c r="H3" s="2368"/>
      <c r="I3" s="2368"/>
      <c r="J3" s="2368"/>
      <c r="K3" s="2368"/>
    </row>
    <row r="4" spans="1:11" ht="27">
      <c r="A4" s="2191" t="s">
        <v>898</v>
      </c>
      <c r="B4" s="2191" t="s">
        <v>897</v>
      </c>
      <c r="C4" s="2191" t="s">
        <v>896</v>
      </c>
      <c r="D4" s="2191" t="s">
        <v>895</v>
      </c>
      <c r="E4" s="2366"/>
      <c r="F4" s="2367"/>
      <c r="G4" s="2367"/>
      <c r="H4" s="2368"/>
      <c r="I4" s="2368"/>
      <c r="J4" s="2368"/>
      <c r="K4" s="2368"/>
    </row>
    <row r="5" spans="1:11">
      <c r="A5" s="2191" t="s">
        <v>894</v>
      </c>
      <c r="B5" s="2191" t="e">
        <f ca="1">SUM(D14:D23)</f>
        <v>#REF!</v>
      </c>
      <c r="C5" s="2191" t="e">
        <f ca="1">ROUND(B5*10000/$B$1,0)</f>
        <v>#REF!</v>
      </c>
      <c r="D5" s="2191" t="e">
        <f ca="1">ROUND(B5*10000/$B$2,0)</f>
        <v>#REF!</v>
      </c>
      <c r="E5" s="2366"/>
      <c r="F5" s="2367"/>
      <c r="G5" s="2367"/>
      <c r="H5" s="2368"/>
      <c r="I5" s="2368"/>
      <c r="J5" s="2368"/>
      <c r="K5" s="2368"/>
    </row>
    <row r="6" spans="1:11">
      <c r="A6" s="2191" t="s">
        <v>893</v>
      </c>
      <c r="B6" s="2191" t="e">
        <f ca="1">SUM(G14:G23)</f>
        <v>#REF!</v>
      </c>
      <c r="C6" s="2191" t="e">
        <f ca="1">ROUND(B6*10000/$B$1,0)</f>
        <v>#REF!</v>
      </c>
      <c r="D6" s="2191" t="e">
        <f ca="1">ROUND(B6*10000/$B$2,0)</f>
        <v>#REF!</v>
      </c>
      <c r="E6" s="2366"/>
      <c r="F6" s="2367"/>
      <c r="G6" s="2367"/>
      <c r="H6" s="2368"/>
      <c r="I6" s="2368"/>
      <c r="J6" s="2368"/>
      <c r="K6" s="2368"/>
    </row>
    <row r="7" spans="1:11">
      <c r="A7" s="2191" t="s">
        <v>901</v>
      </c>
      <c r="B7" s="2191">
        <f>SUM(H14:H23)</f>
        <v>0</v>
      </c>
      <c r="C7" s="2191" t="e">
        <f>ROUND(B7*10000/$B$1,0)</f>
        <v>#DIV/0!</v>
      </c>
      <c r="D7" s="2191" t="e">
        <f>ROUND(B7*10000/$B$2,0)</f>
        <v>#DIV/0!</v>
      </c>
      <c r="E7" s="2366"/>
      <c r="F7" s="2367"/>
      <c r="G7" s="2367"/>
      <c r="H7" s="2368"/>
      <c r="I7" s="2368"/>
      <c r="J7" s="2368"/>
      <c r="K7" s="2368"/>
    </row>
    <row r="8" spans="1:11">
      <c r="A8" s="2191" t="s">
        <v>824</v>
      </c>
      <c r="B8" s="2191">
        <f>SUM(I14:I23)</f>
        <v>0</v>
      </c>
      <c r="C8" s="2191" t="e">
        <f>ROUND(B8*10000/$B$1,0)</f>
        <v>#DIV/0!</v>
      </c>
      <c r="D8" s="2191" t="e">
        <f>ROUND(B8*10000/$B$2,0)</f>
        <v>#DIV/0!</v>
      </c>
      <c r="E8" s="2366"/>
      <c r="F8" s="2367"/>
      <c r="G8" s="2367"/>
      <c r="H8" s="2368"/>
      <c r="I8" s="2368"/>
      <c r="J8" s="2368"/>
      <c r="K8" s="2368"/>
    </row>
    <row r="9" spans="1:11">
      <c r="A9" s="2191" t="s">
        <v>892</v>
      </c>
      <c r="B9" s="2199"/>
      <c r="C9" s="2366"/>
      <c r="D9" s="2366"/>
      <c r="E9" s="2366"/>
      <c r="F9" s="2367"/>
      <c r="G9" s="2367"/>
      <c r="H9" s="2368"/>
      <c r="I9" s="2368"/>
      <c r="J9" s="2368"/>
      <c r="K9" s="2368"/>
    </row>
    <row r="10" spans="1:11">
      <c r="A10" s="2191" t="s">
        <v>891</v>
      </c>
      <c r="B10" s="2199"/>
      <c r="C10" s="2366"/>
      <c r="D10" s="2366"/>
      <c r="E10" s="2366"/>
      <c r="F10" s="2367"/>
      <c r="G10" s="2367"/>
      <c r="H10" s="2368"/>
      <c r="I10" s="2368"/>
      <c r="J10" s="2368"/>
      <c r="K10" s="2368"/>
    </row>
    <row r="11" spans="1:11">
      <c r="A11" s="2191" t="s">
        <v>907</v>
      </c>
      <c r="B11" s="2199"/>
      <c r="C11" s="2366"/>
      <c r="D11" s="2366"/>
      <c r="E11" s="2366"/>
      <c r="F11" s="2367"/>
      <c r="G11" s="2367"/>
      <c r="H11" s="2368"/>
      <c r="I11" s="2368"/>
      <c r="J11" s="2368"/>
      <c r="K11" s="2368"/>
    </row>
    <row r="12" spans="1:11">
      <c r="A12" s="2366"/>
      <c r="B12" s="2366"/>
      <c r="C12" s="2366"/>
      <c r="D12" s="2366"/>
      <c r="E12" s="2366"/>
      <c r="F12" s="2367"/>
      <c r="G12" s="2367"/>
      <c r="H12" s="2368"/>
      <c r="I12" s="2368"/>
      <c r="J12" s="2368"/>
      <c r="K12" s="2368"/>
    </row>
    <row r="13" spans="1:11" ht="27">
      <c r="A13" s="2194" t="s">
        <v>906</v>
      </c>
      <c r="B13" s="2195" t="s">
        <v>903</v>
      </c>
      <c r="C13" s="2195" t="s">
        <v>905</v>
      </c>
      <c r="D13" s="2195" t="s">
        <v>904</v>
      </c>
      <c r="E13" s="2191" t="s">
        <v>896</v>
      </c>
      <c r="F13" s="2191" t="s">
        <v>895</v>
      </c>
      <c r="G13" s="2195" t="s">
        <v>889</v>
      </c>
      <c r="H13" s="2195" t="s">
        <v>900</v>
      </c>
      <c r="I13" s="2195" t="s">
        <v>888</v>
      </c>
      <c r="J13" s="2367"/>
      <c r="K13" s="2368"/>
    </row>
    <row r="14" spans="1:11">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c r="A16" s="2196" t="s">
        <v>885</v>
      </c>
      <c r="B16" s="2198"/>
      <c r="C16" s="2198"/>
      <c r="D16" s="2198"/>
      <c r="E16" s="2197" t="e">
        <f t="shared" si="0"/>
        <v>#DIV/0!</v>
      </c>
      <c r="F16" s="2197" t="e">
        <f t="shared" si="1"/>
        <v>#DIV/0!</v>
      </c>
      <c r="G16" s="1274"/>
      <c r="H16" s="1274"/>
      <c r="I16" s="2198"/>
      <c r="J16" s="2368"/>
      <c r="K16" s="2368"/>
    </row>
    <row r="17" spans="1:11">
      <c r="A17" s="2196" t="s">
        <v>884</v>
      </c>
      <c r="B17" s="2198"/>
      <c r="C17" s="2198"/>
      <c r="D17" s="2198"/>
      <c r="E17" s="2197" t="e">
        <f t="shared" si="0"/>
        <v>#DIV/0!</v>
      </c>
      <c r="F17" s="2197" t="e">
        <f t="shared" si="1"/>
        <v>#DIV/0!</v>
      </c>
      <c r="G17" s="1274"/>
      <c r="H17" s="1274"/>
      <c r="I17" s="2198"/>
      <c r="J17" s="2368"/>
      <c r="K17" s="2368"/>
    </row>
    <row r="18" spans="1:11">
      <c r="A18" s="2196" t="s">
        <v>883</v>
      </c>
      <c r="B18" s="2198"/>
      <c r="C18" s="2198"/>
      <c r="D18" s="2198"/>
      <c r="E18" s="2197" t="e">
        <f t="shared" si="0"/>
        <v>#DIV/0!</v>
      </c>
      <c r="F18" s="2197" t="e">
        <f t="shared" si="1"/>
        <v>#DIV/0!</v>
      </c>
      <c r="G18" s="2198"/>
      <c r="H18" s="2198"/>
      <c r="I18" s="2198"/>
      <c r="J18" s="2368"/>
      <c r="K18" s="2368"/>
    </row>
    <row r="19" spans="1:11">
      <c r="A19" s="2196" t="s">
        <v>882</v>
      </c>
      <c r="B19" s="2198"/>
      <c r="C19" s="2198"/>
      <c r="D19" s="2198"/>
      <c r="E19" s="2197" t="e">
        <f t="shared" si="0"/>
        <v>#DIV/0!</v>
      </c>
      <c r="F19" s="2197" t="e">
        <f t="shared" si="1"/>
        <v>#DIV/0!</v>
      </c>
      <c r="G19" s="2198"/>
      <c r="H19" s="2198"/>
      <c r="I19" s="2198"/>
      <c r="J19" s="2368"/>
      <c r="K19" s="2368"/>
    </row>
    <row r="20" spans="1:11">
      <c r="A20" s="2196" t="s">
        <v>881</v>
      </c>
      <c r="B20" s="2198"/>
      <c r="C20" s="2198"/>
      <c r="D20" s="2198"/>
      <c r="E20" s="2197" t="e">
        <f t="shared" si="0"/>
        <v>#DIV/0!</v>
      </c>
      <c r="F20" s="2197" t="e">
        <f t="shared" si="1"/>
        <v>#DIV/0!</v>
      </c>
      <c r="G20" s="2198"/>
      <c r="H20" s="2198"/>
      <c r="I20" s="2198"/>
      <c r="J20" s="2368"/>
      <c r="K20" s="2368"/>
    </row>
    <row r="21" spans="1:11">
      <c r="A21" s="2196" t="s">
        <v>880</v>
      </c>
      <c r="B21" s="2198"/>
      <c r="C21" s="2198"/>
      <c r="D21" s="2198"/>
      <c r="E21" s="2197" t="e">
        <f t="shared" si="0"/>
        <v>#DIV/0!</v>
      </c>
      <c r="F21" s="2197" t="e">
        <f t="shared" si="1"/>
        <v>#DIV/0!</v>
      </c>
      <c r="G21" s="2198"/>
      <c r="H21" s="2198"/>
      <c r="I21" s="2198"/>
      <c r="J21" s="2368"/>
      <c r="K21" s="2368"/>
    </row>
    <row r="22" spans="1:11">
      <c r="A22" s="2196" t="s">
        <v>879</v>
      </c>
      <c r="B22" s="2198"/>
      <c r="C22" s="2198"/>
      <c r="D22" s="2198"/>
      <c r="E22" s="2197" t="e">
        <f t="shared" si="0"/>
        <v>#DIV/0!</v>
      </c>
      <c r="F22" s="2197" t="e">
        <f t="shared" si="1"/>
        <v>#DIV/0!</v>
      </c>
      <c r="G22" s="2198"/>
      <c r="H22" s="2198"/>
      <c r="I22" s="2198"/>
      <c r="J22" s="2368"/>
      <c r="K22" s="2368"/>
    </row>
    <row r="23" spans="1:11">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2" t="str">
        <f>项目基本情况!S2</f>
        <v>北京市房地产</v>
      </c>
      <c r="B2" s="3463"/>
      <c r="C2" s="3463"/>
      <c r="D2" s="3463"/>
      <c r="E2" s="3463"/>
      <c r="F2" s="3463"/>
      <c r="G2" s="3463"/>
      <c r="H2" s="3463"/>
      <c r="I2" s="3464"/>
    </row>
    <row r="3" spans="1:12" ht="12.75">
      <c r="A3" s="3466" t="s">
        <v>1513</v>
      </c>
      <c r="B3" s="3467"/>
      <c r="C3" s="3467"/>
      <c r="D3" s="3467"/>
      <c r="E3" s="3467"/>
      <c r="F3" s="3467"/>
      <c r="G3" s="3467"/>
      <c r="H3" s="3467"/>
      <c r="I3" s="3467"/>
    </row>
    <row r="4" spans="1:12" ht="14.25">
      <c r="A4" s="1694" t="s">
        <v>1514</v>
      </c>
      <c r="B4" s="1695" t="s">
        <v>1515</v>
      </c>
      <c r="C4" s="1696"/>
      <c r="D4" s="1696"/>
      <c r="E4" s="3468" t="s">
        <v>1516</v>
      </c>
      <c r="F4" s="3469"/>
      <c r="G4" s="3469"/>
      <c r="H4" s="3469"/>
      <c r="I4" s="3470"/>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2" t="s">
        <v>1517</v>
      </c>
      <c r="B5" s="3429">
        <v>25</v>
      </c>
      <c r="C5" s="3445"/>
      <c r="D5" s="3465"/>
      <c r="E5" s="135" t="s">
        <v>1518</v>
      </c>
      <c r="F5" s="1697"/>
      <c r="G5" s="1697"/>
      <c r="H5" s="1697"/>
      <c r="I5" s="1311"/>
    </row>
    <row r="6" spans="1:12" ht="12.75">
      <c r="A6" s="3442"/>
      <c r="B6" s="3429"/>
      <c r="C6" s="3446"/>
      <c r="D6" s="3465"/>
      <c r="E6" s="135" t="s">
        <v>1519</v>
      </c>
      <c r="F6" s="1697"/>
      <c r="G6" s="1697"/>
      <c r="H6" s="1697"/>
      <c r="I6" s="1311"/>
    </row>
    <row r="7" spans="1:12" ht="12.75">
      <c r="A7" s="3442"/>
      <c r="B7" s="3429"/>
      <c r="C7" s="3447"/>
      <c r="D7" s="3465"/>
      <c r="E7" s="135" t="s">
        <v>1520</v>
      </c>
      <c r="F7" s="1697"/>
      <c r="G7" s="1697"/>
      <c r="H7" s="1697"/>
      <c r="I7" s="1311"/>
    </row>
    <row r="8" spans="1:12" ht="12.75">
      <c r="A8" s="3442" t="s">
        <v>1521</v>
      </c>
      <c r="B8" s="3429">
        <v>15</v>
      </c>
      <c r="C8" s="3445"/>
      <c r="D8" s="3465"/>
      <c r="E8" s="135" t="s">
        <v>1522</v>
      </c>
      <c r="F8" s="1697"/>
      <c r="G8" s="1697"/>
      <c r="H8" s="1697"/>
      <c r="I8" s="1311"/>
    </row>
    <row r="9" spans="1:12" ht="12.75">
      <c r="A9" s="3442"/>
      <c r="B9" s="3429"/>
      <c r="C9" s="3447"/>
      <c r="D9" s="3465"/>
      <c r="E9" s="135" t="s">
        <v>1523</v>
      </c>
      <c r="F9" s="1697"/>
      <c r="G9" s="1697"/>
      <c r="H9" s="1697"/>
      <c r="I9" s="1311"/>
    </row>
    <row r="10" spans="1:12" ht="12.75">
      <c r="A10" s="3442" t="s">
        <v>1524</v>
      </c>
      <c r="B10" s="3429">
        <v>15</v>
      </c>
      <c r="C10" s="3445"/>
      <c r="D10" s="3465"/>
      <c r="E10" s="135" t="s">
        <v>1525</v>
      </c>
      <c r="F10" s="1697"/>
      <c r="G10" s="1697"/>
      <c r="H10" s="1697"/>
      <c r="I10" s="1311"/>
    </row>
    <row r="11" spans="1:12" ht="12.75">
      <c r="A11" s="3442"/>
      <c r="B11" s="3429"/>
      <c r="C11" s="3447"/>
      <c r="D11" s="3465"/>
      <c r="E11" s="135" t="s">
        <v>1526</v>
      </c>
      <c r="F11" s="1697"/>
      <c r="G11" s="1697"/>
      <c r="H11" s="1697"/>
      <c r="I11" s="1311"/>
    </row>
    <row r="12" spans="1:12" ht="12.75">
      <c r="A12" s="3442" t="s">
        <v>1527</v>
      </c>
      <c r="B12" s="3429">
        <v>15</v>
      </c>
      <c r="C12" s="3445"/>
      <c r="D12" s="3465"/>
      <c r="E12" s="135" t="s">
        <v>1528</v>
      </c>
      <c r="F12" s="1697"/>
      <c r="G12" s="1697"/>
      <c r="H12" s="1697"/>
      <c r="I12" s="1311"/>
    </row>
    <row r="13" spans="1:12" ht="12.75">
      <c r="A13" s="3442"/>
      <c r="B13" s="3429"/>
      <c r="C13" s="3447"/>
      <c r="D13" s="3465"/>
      <c r="E13" s="135" t="s">
        <v>1529</v>
      </c>
      <c r="F13" s="1697"/>
      <c r="G13" s="1697"/>
      <c r="H13" s="1697"/>
      <c r="I13" s="1311"/>
    </row>
    <row r="14" spans="1:12" ht="12.75">
      <c r="A14" s="3442" t="s">
        <v>1530</v>
      </c>
      <c r="B14" s="3429">
        <v>30</v>
      </c>
      <c r="C14" s="3445"/>
      <c r="D14" s="3465"/>
      <c r="E14" s="135" t="s">
        <v>1531</v>
      </c>
      <c r="F14" s="1697"/>
      <c r="G14" s="1697"/>
      <c r="H14" s="1697"/>
      <c r="I14" s="1311"/>
    </row>
    <row r="15" spans="1:12" ht="12.75">
      <c r="A15" s="3442"/>
      <c r="B15" s="3429"/>
      <c r="C15" s="3446"/>
      <c r="D15" s="3465"/>
      <c r="E15" s="135" t="s">
        <v>1532</v>
      </c>
      <c r="F15" s="1697"/>
      <c r="G15" s="1697"/>
      <c r="H15" s="1697"/>
      <c r="I15" s="1311"/>
    </row>
    <row r="16" spans="1:12" ht="12.75">
      <c r="A16" s="3442"/>
      <c r="B16" s="3429"/>
      <c r="C16" s="3447"/>
      <c r="D16" s="3465"/>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2" t="s">
        <v>2414</v>
      </c>
      <c r="F18" s="3453"/>
      <c r="G18" s="3453"/>
      <c r="H18" s="3453"/>
      <c r="I18" s="3453"/>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36" t="s">
        <v>1548</v>
      </c>
      <c r="B24" s="1702" t="s">
        <v>1540</v>
      </c>
      <c r="C24" s="140">
        <f>IF(B30=0,0,D30)</f>
        <v>0</v>
      </c>
      <c r="D24" s="1709"/>
      <c r="E24" s="133"/>
      <c r="F24" s="133"/>
      <c r="G24" s="133"/>
      <c r="H24" s="133"/>
      <c r="I24" s="133"/>
    </row>
    <row r="25" spans="1:36" ht="14.25">
      <c r="A25" s="343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56" t="s">
        <v>1561</v>
      </c>
      <c r="B36" s="1727" t="s">
        <v>1562</v>
      </c>
      <c r="C36" s="149"/>
      <c r="D36" s="1728"/>
      <c r="E36" s="1729"/>
      <c r="F36" s="1730"/>
      <c r="G36" s="133"/>
      <c r="H36" s="133"/>
      <c r="I36" s="133"/>
    </row>
    <row r="37" spans="1:15" ht="15.75" thickBot="1">
      <c r="A37" s="3457"/>
      <c r="B37" s="1614" t="s">
        <v>1563</v>
      </c>
      <c r="C37" s="151"/>
      <c r="D37" s="1097"/>
      <c r="E37" s="1097"/>
      <c r="F37" s="1730"/>
      <c r="G37" s="133"/>
      <c r="H37" s="133"/>
      <c r="I37" s="133"/>
    </row>
    <row r="38" spans="1:15" ht="15.75" thickBot="1">
      <c r="A38" s="3458"/>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3" t="s">
        <v>1575</v>
      </c>
      <c r="B45" s="3434"/>
      <c r="C45" s="3435"/>
      <c r="D45" s="159" t="e">
        <f ca="1">ROUND(H101*F45,0)</f>
        <v>#REF!</v>
      </c>
      <c r="E45" s="160" t="s">
        <v>1576</v>
      </c>
      <c r="F45" s="161">
        <v>1</v>
      </c>
      <c r="G45" s="162" t="s">
        <v>1577</v>
      </c>
      <c r="H45" s="133"/>
      <c r="I45" s="133"/>
      <c r="J45" s="3514" t="s">
        <v>1578</v>
      </c>
      <c r="K45" s="3514"/>
      <c r="L45" s="3514"/>
      <c r="M45" s="3514"/>
      <c r="N45" s="3514"/>
      <c r="O45" s="3514"/>
    </row>
    <row r="46" spans="1:15" ht="14.25" customHeight="1">
      <c r="A46" s="3430" t="s">
        <v>1579</v>
      </c>
      <c r="B46" s="3431"/>
      <c r="C46" s="3431"/>
      <c r="D46" s="3431"/>
      <c r="E46" s="3431"/>
      <c r="F46" s="3431"/>
      <c r="G46" s="3432"/>
      <c r="H46" s="1746"/>
      <c r="I46" s="163"/>
      <c r="J46" s="2202">
        <v>1</v>
      </c>
      <c r="K46" s="3495" t="s">
        <v>1580</v>
      </c>
      <c r="L46" s="3495"/>
      <c r="M46" s="3515"/>
      <c r="N46" s="3515"/>
      <c r="O46" s="3515"/>
    </row>
    <row r="47" spans="1:15" ht="12" customHeight="1">
      <c r="A47" s="164" t="s">
        <v>1581</v>
      </c>
      <c r="B47" s="165"/>
      <c r="C47" s="166"/>
      <c r="D47" s="1052" t="s">
        <v>1582</v>
      </c>
      <c r="E47" s="303" t="s">
        <v>1583</v>
      </c>
      <c r="F47" s="167" t="s">
        <v>1584</v>
      </c>
      <c r="G47" s="2225" t="s">
        <v>1585</v>
      </c>
      <c r="H47" s="2226"/>
      <c r="I47" s="163"/>
      <c r="J47" s="2202">
        <v>2</v>
      </c>
      <c r="K47" s="3495" t="s">
        <v>1586</v>
      </c>
      <c r="L47" s="3495"/>
      <c r="M47" s="3516">
        <f>'数据-取费表'!B2</f>
        <v>44733</v>
      </c>
      <c r="N47" s="3516"/>
      <c r="O47" s="3516"/>
    </row>
    <row r="48" spans="1:15" ht="25.5">
      <c r="A48" s="3461" t="s">
        <v>1587</v>
      </c>
      <c r="B48" s="3444"/>
      <c r="C48" s="3444"/>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95" t="s">
        <v>1589</v>
      </c>
      <c r="L48" s="3495"/>
      <c r="M48" s="3517" t="e">
        <f ca="1">H101</f>
        <v>#REF!</v>
      </c>
      <c r="N48" s="3517"/>
      <c r="O48" s="3517"/>
    </row>
    <row r="49" spans="1:35" ht="25.5" customHeight="1">
      <c r="A49" s="2009" t="s">
        <v>1590</v>
      </c>
      <c r="B49" s="3428" t="s">
        <v>1591</v>
      </c>
      <c r="C49" s="3428"/>
      <c r="D49" s="1529">
        <v>0</v>
      </c>
      <c r="E49" s="325" t="s">
        <v>1592</v>
      </c>
      <c r="F49" s="2103" t="s">
        <v>34</v>
      </c>
      <c r="G49" s="3501"/>
      <c r="H49" s="1982" t="s">
        <v>2417</v>
      </c>
      <c r="I49" s="1983"/>
      <c r="J49" s="2202">
        <v>4</v>
      </c>
      <c r="K49" s="3495" t="str">
        <f>IF(项目基本情况!E8="房地产抵押价值","房地产抵押价值","抵押担保权已注销时的房地产抵押价值")</f>
        <v>房地产抵押价值</v>
      </c>
      <c r="L49" s="3495"/>
      <c r="M49" s="3517" t="str">
        <f ca="1">IF(项目基本情况!E8="房地产抵押价值",H107,H109)</f>
        <v>——</v>
      </c>
      <c r="N49" s="3517"/>
      <c r="O49" s="3517"/>
    </row>
    <row r="50" spans="1:35" ht="25.5" customHeight="1">
      <c r="A50" s="2230"/>
      <c r="B50" s="3428" t="s">
        <v>1593</v>
      </c>
      <c r="C50" s="3428"/>
      <c r="D50" s="2231"/>
      <c r="E50" s="333"/>
      <c r="F50" s="2103"/>
      <c r="G50" s="3502"/>
      <c r="H50" s="1984" t="s">
        <v>2418</v>
      </c>
      <c r="I50" s="1983"/>
      <c r="J50" s="3514" t="s">
        <v>1594</v>
      </c>
      <c r="K50" s="3514"/>
      <c r="L50" s="3514"/>
      <c r="M50" s="3514"/>
      <c r="N50" s="3514"/>
      <c r="O50" s="3514"/>
    </row>
    <row r="51" spans="1:35" ht="20.45" customHeight="1">
      <c r="A51" s="2232"/>
      <c r="B51" s="3428" t="s">
        <v>1595</v>
      </c>
      <c r="C51" s="3428"/>
      <c r="D51" s="1052"/>
      <c r="E51" s="328"/>
      <c r="F51" s="2103"/>
      <c r="G51" s="3503"/>
      <c r="H51" s="1984" t="s">
        <v>2419</v>
      </c>
      <c r="I51" s="1983"/>
      <c r="J51" s="2203" t="s">
        <v>1596</v>
      </c>
      <c r="K51" s="3495" t="s">
        <v>1597</v>
      </c>
      <c r="L51" s="3495"/>
      <c r="M51" s="2203" t="s">
        <v>1598</v>
      </c>
      <c r="N51" s="2203" t="s">
        <v>1599</v>
      </c>
      <c r="O51" s="2203" t="s">
        <v>1600</v>
      </c>
    </row>
    <row r="52" spans="1:35" ht="24" customHeight="1">
      <c r="A52" s="2011" t="s">
        <v>1601</v>
      </c>
      <c r="B52" s="3428" t="s">
        <v>1602</v>
      </c>
      <c r="C52" s="3428"/>
      <c r="D52" s="1052" t="e">
        <f ca="1">ROUND(D45*'数据-取费表'!B41/(1+'数据-取费表'!C42),0)</f>
        <v>#REF!</v>
      </c>
      <c r="E52" s="2010" t="s">
        <v>1603</v>
      </c>
      <c r="F52" s="2233">
        <f>'数据-取费表'!B41</f>
        <v>0</v>
      </c>
      <c r="G52" s="2234"/>
      <c r="H52" s="2223"/>
      <c r="I52" s="1747"/>
      <c r="J52" s="2202">
        <v>1</v>
      </c>
      <c r="K52" s="3496" t="s">
        <v>1604</v>
      </c>
      <c r="L52" s="3496"/>
      <c r="M52" s="2204" t="b">
        <f>D48</f>
        <v>0</v>
      </c>
      <c r="N52" s="2202" t="str">
        <f>E48</f>
        <v>销售额×税（费）率</v>
      </c>
      <c r="O52" s="2205">
        <f>F48</f>
        <v>0</v>
      </c>
    </row>
    <row r="53" spans="1:35" ht="12" customHeight="1">
      <c r="A53" s="2011" t="s">
        <v>1605</v>
      </c>
      <c r="B53" s="3454" t="s">
        <v>2578</v>
      </c>
      <c r="C53" s="3455"/>
      <c r="D53" s="1052" t="e">
        <f ca="1">ROUND(D45*'数据-取费表'!B41/(1+'数据-取费表'!C42),0)</f>
        <v>#REF!</v>
      </c>
      <c r="E53" s="2010" t="s">
        <v>1603</v>
      </c>
      <c r="F53" s="2233">
        <f>'数据-取费表'!B41</f>
        <v>0</v>
      </c>
      <c r="G53" s="2234"/>
      <c r="H53" s="2223"/>
      <c r="I53" s="1747"/>
      <c r="J53" s="2202">
        <v>2</v>
      </c>
      <c r="K53" s="3496" t="s">
        <v>1606</v>
      </c>
      <c r="L53" s="3496"/>
      <c r="M53" s="2204" t="e">
        <f t="shared" ref="M53:O54" ca="1" si="0">D55</f>
        <v>#REF!</v>
      </c>
      <c r="N53" s="2202" t="str">
        <f t="shared" si="0"/>
        <v>销售额×税（费）率</v>
      </c>
      <c r="O53" s="2205" t="str">
        <f t="shared" si="0"/>
        <v>免征</v>
      </c>
    </row>
    <row r="54" spans="1:35" ht="12" customHeight="1">
      <c r="A54" s="2011" t="s">
        <v>1607</v>
      </c>
      <c r="B54" s="3454" t="s">
        <v>2579</v>
      </c>
      <c r="C54" s="3455"/>
      <c r="D54" s="1052" t="e">
        <f ca="1">C68</f>
        <v>#REF!</v>
      </c>
      <c r="E54" s="328" t="s">
        <v>1608</v>
      </c>
      <c r="F54" s="2233">
        <f>'数据-取费表'!B41</f>
        <v>0</v>
      </c>
      <c r="G54" s="2234"/>
      <c r="H54" s="2235"/>
      <c r="I54" s="1747"/>
      <c r="J54" s="2202">
        <v>3</v>
      </c>
      <c r="K54" s="3496" t="s">
        <v>1609</v>
      </c>
      <c r="L54" s="3496"/>
      <c r="M54" s="2204" t="e">
        <f t="shared" ca="1" si="0"/>
        <v>#REF!</v>
      </c>
      <c r="N54" s="2202" t="str">
        <f t="shared" si="0"/>
        <v>增值额×税（费）率</v>
      </c>
      <c r="O54" s="2206" t="str">
        <f t="shared" si="0"/>
        <v>免征</v>
      </c>
    </row>
    <row r="55" spans="1:35" ht="24" customHeight="1">
      <c r="A55" s="3443" t="s">
        <v>1610</v>
      </c>
      <c r="B55" s="3444"/>
      <c r="C55" s="3444"/>
      <c r="D55" s="2000" t="e">
        <f ca="1">IF(H55="个人住宅",0,ROUND(D45*I55,0))</f>
        <v>#REF!</v>
      </c>
      <c r="E55" s="2010" t="s">
        <v>1611</v>
      </c>
      <c r="F55" s="2233" t="str">
        <f>IF(H55="正常",I55,"免征")</f>
        <v>免征</v>
      </c>
      <c r="G55" s="2234"/>
      <c r="H55" s="2229"/>
      <c r="I55" s="169">
        <f>'数据-取费表'!B49</f>
        <v>0</v>
      </c>
      <c r="J55" s="2202">
        <f>IF(H59="非个人房产","",4)</f>
        <v>4</v>
      </c>
      <c r="K55" s="3496" t="str">
        <f>IF(H59="非个人房产","——","个人所得税")</f>
        <v>个人所得税</v>
      </c>
      <c r="L55" s="3496"/>
      <c r="M55" s="2207" t="e">
        <f ca="1">D59</f>
        <v>#REF!</v>
      </c>
      <c r="N55" s="1938" t="str">
        <f>E59</f>
        <v>差额计税</v>
      </c>
      <c r="O55" s="2208">
        <f>F59</f>
        <v>0.01</v>
      </c>
    </row>
    <row r="56" spans="1:35" ht="24.75">
      <c r="A56" s="3443" t="s">
        <v>1612</v>
      </c>
      <c r="B56" s="3444"/>
      <c r="C56" s="3444"/>
      <c r="D56" s="2000" t="e">
        <f ca="1">IF(H56="个人住宅",D57,D58)</f>
        <v>#REF!</v>
      </c>
      <c r="E56" s="2010" t="s">
        <v>1613</v>
      </c>
      <c r="F56" s="2233" t="str">
        <f>IF(H56="正常",F58,"免征")</f>
        <v>免征</v>
      </c>
      <c r="G56" s="2236" t="s">
        <v>1614</v>
      </c>
      <c r="H56" s="2237"/>
      <c r="I56" s="1748"/>
      <c r="J56" s="2202" t="str">
        <f>IF(项目基本情况!K6="上海银行",IF(J55="",4,J55+1),"")</f>
        <v/>
      </c>
      <c r="K56" s="3519" t="str">
        <f>IF(项目基本情况!K6="上海银行","其他处置费用","")</f>
        <v/>
      </c>
      <c r="L56" s="3520"/>
      <c r="M56" s="2204" t="str">
        <f>IF(项目基本情况!K6="上海银行",M69,"")</f>
        <v/>
      </c>
      <c r="N56" s="3519" t="str">
        <f>IF(项目基本情况!K6="上海银行","包含处置中涉及的律师、诉讼、拍卖、评估等费用","")</f>
        <v/>
      </c>
      <c r="O56" s="3522"/>
    </row>
    <row r="57" spans="1:35" ht="12.75">
      <c r="A57" s="2011" t="s">
        <v>1590</v>
      </c>
      <c r="B57" s="3454" t="s">
        <v>1615</v>
      </c>
      <c r="C57" s="3455"/>
      <c r="D57" s="1529">
        <v>0</v>
      </c>
      <c r="E57" s="325" t="s">
        <v>1592</v>
      </c>
      <c r="F57" s="303"/>
      <c r="G57" s="2234"/>
      <c r="H57" s="2238"/>
      <c r="I57" s="1748"/>
      <c r="J57" s="3496">
        <f>IF(AND(J55="",J56=""),4,IF(项目基本情况!K6="上海银行",结果表!J56+1,结果表!J55+1))</f>
        <v>5</v>
      </c>
      <c r="K57" s="3496" t="s">
        <v>1616</v>
      </c>
      <c r="L57" s="2209" t="s">
        <v>1617</v>
      </c>
      <c r="M57" s="2210"/>
      <c r="N57" s="2211">
        <f ca="1">SUMIF(M52:M56,"&lt;9e307")</f>
        <v>0</v>
      </c>
      <c r="O57" s="2212"/>
      <c r="P57" s="2370" t="e">
        <f ca="1">N57/M49</f>
        <v>#VALUE!</v>
      </c>
    </row>
    <row r="58" spans="1:35" ht="24.75">
      <c r="A58" s="2011" t="s">
        <v>1601</v>
      </c>
      <c r="B58" s="3454" t="s">
        <v>1618</v>
      </c>
      <c r="C58" s="3428"/>
      <c r="D58" s="2000" t="e">
        <f ca="1">IF(H58="转让取得",C81,C97)</f>
        <v>#REF!</v>
      </c>
      <c r="E58" s="2010" t="s">
        <v>1613</v>
      </c>
      <c r="F58" s="303" t="s">
        <v>34</v>
      </c>
      <c r="G58" s="2234"/>
      <c r="H58" s="2237"/>
      <c r="I58" s="1748"/>
      <c r="J58" s="3496"/>
      <c r="K58" s="3496"/>
      <c r="L58" s="2209" t="s">
        <v>1619</v>
      </c>
      <c r="M58" s="2213"/>
      <c r="N58" s="2214" t="str">
        <f ca="1">NUMBERSTRING(INT(N57*10000),2)&amp;"元整"</f>
        <v>零元整</v>
      </c>
      <c r="O58" s="2215"/>
    </row>
    <row r="59" spans="1:35" ht="24.75" thickBot="1">
      <c r="A59" s="3499" t="s">
        <v>1620</v>
      </c>
      <c r="B59" s="3500"/>
      <c r="C59" s="3500"/>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97">
        <f>J57+1</f>
        <v>6</v>
      </c>
      <c r="K59" s="3496" t="s">
        <v>1621</v>
      </c>
      <c r="L59" s="2202" t="s">
        <v>1617</v>
      </c>
      <c r="M59" s="2216"/>
      <c r="N59" s="2217" t="e">
        <f ca="1">M49-N57</f>
        <v>#VALUE!</v>
      </c>
      <c r="O59" s="2218"/>
    </row>
    <row r="60" spans="1:35" ht="12" customHeight="1">
      <c r="A60" s="1749"/>
      <c r="B60" s="1687"/>
      <c r="C60" s="1687"/>
      <c r="D60" s="1687"/>
      <c r="E60" s="1517"/>
      <c r="F60" s="1748"/>
      <c r="G60" s="1748"/>
      <c r="H60" s="1750"/>
      <c r="I60" s="133"/>
      <c r="J60" s="3498"/>
      <c r="K60" s="3496"/>
      <c r="L60" s="2209" t="s">
        <v>1619</v>
      </c>
      <c r="M60" s="2213"/>
      <c r="N60" s="2214" t="e">
        <f ca="1">NUMBERSTRING(INT(N59*10000),2)&amp;"元整"</f>
        <v>#VALUE!</v>
      </c>
      <c r="O60" s="2215"/>
    </row>
    <row r="61" spans="1:35" ht="13.5" thickBot="1">
      <c r="A61" s="3441" t="s">
        <v>1622</v>
      </c>
      <c r="B61" s="3441"/>
      <c r="C61" s="3441"/>
      <c r="D61" s="3441"/>
      <c r="E61" s="3441"/>
      <c r="F61" s="1748"/>
      <c r="G61" s="1748"/>
      <c r="H61" s="1750"/>
      <c r="I61" s="133"/>
      <c r="J61" s="2202">
        <f>J59+1</f>
        <v>7</v>
      </c>
      <c r="K61" s="3496" t="s">
        <v>1623</v>
      </c>
      <c r="L61" s="3496"/>
      <c r="M61" s="2219"/>
      <c r="N61" s="2220" t="e">
        <f ca="1">ROUND(N59*10000/'数据-汇总表'!E3,0)</f>
        <v>#VALUE!</v>
      </c>
      <c r="O61" s="2221"/>
    </row>
    <row r="62" spans="1:35" ht="12.75">
      <c r="A62" s="3459" t="s">
        <v>1624</v>
      </c>
      <c r="B62" s="3460"/>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521" t="s">
        <v>1628</v>
      </c>
      <c r="K63" s="1275" t="s">
        <v>1629</v>
      </c>
      <c r="L63" s="1275" t="e">
        <f ca="1">IF(M49&gt;10000,M49*0.5%,IF(AND(M49&gt;1000,M49&lt;=10000),M49*1%,IF(AND(M49&gt;100,M49&lt;=1000),M49*3%,IF(AND(M49&gt;10,M49&lt;=100),M49*5%,M49*8%))))</f>
        <v>#VALUE!</v>
      </c>
      <c r="M63" s="303" t="e">
        <f ca="1">ROUND(L63,1)</f>
        <v>#VALUE!</v>
      </c>
      <c r="N63" s="2222"/>
      <c r="Z63" s="1692"/>
      <c r="AI63" s="1693"/>
    </row>
    <row r="64" spans="1:35" ht="14.25" customHeight="1">
      <c r="A64" s="173" t="s">
        <v>557</v>
      </c>
      <c r="B64" s="174" t="s">
        <v>1630</v>
      </c>
      <c r="C64" s="2244" t="e">
        <f ca="1">D45</f>
        <v>#REF!</v>
      </c>
      <c r="D64" s="174" t="s">
        <v>32</v>
      </c>
      <c r="E64" s="176"/>
      <c r="F64" s="1748"/>
      <c r="G64" s="1748"/>
      <c r="H64" s="1750"/>
      <c r="I64" s="133"/>
      <c r="J64" s="3521"/>
      <c r="K64" s="1275" t="s">
        <v>1631</v>
      </c>
      <c r="L64" s="1275" t="e">
        <f ca="1">IF(M49&gt;2000,M49*0.5%,IF(AND(M49&gt;1000,M49&lt;=2000),M49*0.6%,IF(AND(M49&gt;500,M49&lt;=1000),M49*0.7%,IF(AND(M49&gt;200,M49&lt;=500),M49*0.8%,IF(AND(M49&gt;100,M49&lt;=200),M49*0.9%,IF(AND(M49&gt;50,M49&lt;=100),M49*1%,IF(AND(M49&gt;20,M49&lt;=50),M49*1.5%,IF(AND(M49&gt;10,M49&lt;=20),M49*2%,IF(AND(M49&gt;1,M49&lt;=10),M49*2.5%)))))))))</f>
        <v>#VALUE!</v>
      </c>
      <c r="M64" s="303" t="e">
        <f t="shared" ref="M64:M65" ca="1" si="1">ROUND(L64,1)</f>
        <v>#VALUE!</v>
      </c>
      <c r="N64" s="2223" t="s">
        <v>1632</v>
      </c>
      <c r="Z64" s="1692"/>
      <c r="AI64" s="1693"/>
    </row>
    <row r="65" spans="1:35" ht="14.25" customHeight="1">
      <c r="A65" s="173" t="s">
        <v>558</v>
      </c>
      <c r="B65" s="174" t="s">
        <v>1633</v>
      </c>
      <c r="C65" s="2245"/>
      <c r="D65" s="174"/>
      <c r="E65" s="176"/>
      <c r="F65" s="1748"/>
      <c r="G65" s="1748"/>
      <c r="H65" s="1750"/>
      <c r="I65" s="133"/>
      <c r="J65" s="3521"/>
      <c r="K65" s="1275" t="s">
        <v>1634</v>
      </c>
      <c r="L65" s="1275" t="e">
        <f ca="1">IF(M49&gt;1000,M49*0.1%,IF(AND(M49&gt;500,M49&lt;=1000),M49*0.5%,IF(AND(M49&gt;50,M49&lt;=500),M49*1%,IF(AND(M49&gt;1,M49&lt;=50),M49*1.5%))))</f>
        <v>#VALUE!</v>
      </c>
      <c r="M65" s="303" t="e">
        <f t="shared" ca="1" si="1"/>
        <v>#VALUE!</v>
      </c>
      <c r="N65" s="2223" t="s">
        <v>1632</v>
      </c>
      <c r="Z65" s="1692"/>
      <c r="AI65" s="1693"/>
    </row>
    <row r="66" spans="1:35" ht="14.25" customHeight="1">
      <c r="A66" s="177" t="s">
        <v>559</v>
      </c>
      <c r="B66" s="178" t="s">
        <v>1635</v>
      </c>
      <c r="C66" s="2246"/>
      <c r="D66" s="178" t="s">
        <v>32</v>
      </c>
      <c r="E66" s="1280" t="s">
        <v>908</v>
      </c>
      <c r="F66" s="1748"/>
      <c r="G66" s="1748"/>
      <c r="H66" s="1750"/>
      <c r="I66" s="133"/>
      <c r="J66" s="3521"/>
      <c r="K66" s="1275" t="s">
        <v>1636</v>
      </c>
      <c r="L66" s="1275" t="e">
        <f ca="1">M49*0.5%</f>
        <v>#VALUE!</v>
      </c>
      <c r="M66" s="303" t="e">
        <f ca="1">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521"/>
      <c r="K67" s="1275" t="s">
        <v>1639</v>
      </c>
      <c r="L67" s="1275" t="e">
        <f ca="1">IF(M49&gt;=10000,(8.25+(M49-10000)*0.01%),IF(AND(M49&gt;=8000,M49&lt;10000),(7.85+(M49-8000)*0.02%),IF(AND(M49&gt;=5000,M49&lt;8000),(6.65+(M49-5000)*0.04%),IF(AND(M49&gt;=2000,M49&lt;5000),(4.25+(PM49-2000)*0.08%),IF(AND(M49&gt;=1000,M49&lt;2000),(2.75+(M49-1000)*0.15%),IF(AND(M49&gt;=100,M49&lt;1000),(0.5+(M49-100)*0.25%),IF(AND(M49&gt;0,M49&lt;100),M49*0.5%)))))))</f>
        <v>#VALUE!</v>
      </c>
      <c r="M67" s="303" t="e">
        <f ca="1">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521"/>
      <c r="K68" s="1275" t="s">
        <v>1641</v>
      </c>
      <c r="L68" s="1275" t="e">
        <f ca="1">IF(M49&gt;10000,M49*0.5%,IF(AND(M49&gt;5000,M49&lt;=10000),M49*1%,IF(AND(M49&gt;1000,M49&lt;=5000),M49*2%,IF(AND(M49&gt;200,M49&lt;=1000),M49*3%,M49*5%))))</f>
        <v>#VALUE!</v>
      </c>
      <c r="M68" s="303" t="e">
        <f ca="1">ROUND(L68,1)</f>
        <v>#VALUE!</v>
      </c>
      <c r="N68" s="2222"/>
      <c r="Z68" s="1692"/>
      <c r="AI68" s="1693"/>
    </row>
    <row r="69" spans="1:35" s="1712" customFormat="1" ht="16.5" customHeight="1">
      <c r="A69" s="1751"/>
      <c r="B69" s="1752"/>
      <c r="C69" s="1753"/>
      <c r="D69" s="1754"/>
      <c r="E69" s="1755"/>
      <c r="F69" s="1517"/>
      <c r="G69" s="1517"/>
      <c r="H69" s="1516"/>
      <c r="I69" s="1687"/>
      <c r="J69" s="3521"/>
      <c r="K69" s="1275" t="s">
        <v>1642</v>
      </c>
      <c r="L69" s="1275"/>
      <c r="M69" s="303" t="e">
        <f ca="1">ROUND(SUM(M63:M68),0)</f>
        <v>#VALUE!</v>
      </c>
      <c r="N69" s="2224" t="e">
        <f ca="1">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0" t="s">
        <v>1643</v>
      </c>
      <c r="B70" s="3481"/>
      <c r="C70" s="3481"/>
      <c r="D70" s="3481"/>
      <c r="E70" s="3481"/>
      <c r="F70" s="3481"/>
      <c r="G70" s="3481"/>
      <c r="H70" s="3481"/>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59" t="s">
        <v>1624</v>
      </c>
      <c r="B71" s="3460"/>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54" t="s">
        <v>1651</v>
      </c>
      <c r="F76" s="3428"/>
      <c r="G76" s="3428"/>
      <c r="H76" s="3479"/>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38" t="s">
        <v>1655</v>
      </c>
      <c r="F78" s="3439"/>
      <c r="G78" s="3439"/>
      <c r="H78" s="3448"/>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0" t="s">
        <v>1659</v>
      </c>
      <c r="B83" s="3481"/>
      <c r="C83" s="3481"/>
      <c r="D83" s="3481"/>
      <c r="E83" s="3481"/>
      <c r="F83" s="3481"/>
      <c r="G83" s="3481"/>
      <c r="H83" s="3481"/>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59" t="s">
        <v>1624</v>
      </c>
      <c r="B84" s="3460"/>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523" t="s">
        <v>2412</v>
      </c>
      <c r="H90" s="3524"/>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38" t="s">
        <v>1668</v>
      </c>
      <c r="F91" s="3439"/>
      <c r="G91" s="3439"/>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38" t="s">
        <v>1671</v>
      </c>
      <c r="F92" s="3439"/>
      <c r="G92" s="3439"/>
      <c r="H92" s="3448"/>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38" t="s">
        <v>1655</v>
      </c>
      <c r="F93" s="3439"/>
      <c r="G93" s="3439"/>
      <c r="H93" s="3448"/>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449" t="s">
        <v>1675</v>
      </c>
      <c r="F94" s="3450"/>
      <c r="G94" s="3450"/>
      <c r="H94" s="3451"/>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40"/>
      <c r="E100" s="3423" t="s">
        <v>1678</v>
      </c>
      <c r="F100" s="3423"/>
      <c r="G100" s="3423"/>
      <c r="H100" s="3440"/>
      <c r="I100" s="133"/>
    </row>
    <row r="101" spans="1:35" ht="18.75" customHeight="1">
      <c r="A101" s="3504" t="s">
        <v>1679</v>
      </c>
      <c r="B101" s="3505"/>
      <c r="C101" s="2264">
        <f>C4</f>
        <v>0</v>
      </c>
      <c r="D101" s="2265">
        <f>D4</f>
        <v>0</v>
      </c>
      <c r="E101" s="3518" t="s">
        <v>1680</v>
      </c>
      <c r="F101" s="3472"/>
      <c r="G101" s="1767" t="s">
        <v>1681</v>
      </c>
      <c r="H101" s="2274" t="e">
        <f ca="1">H118</f>
        <v>#REF!</v>
      </c>
      <c r="I101" s="133"/>
    </row>
    <row r="102" spans="1:35" ht="18.75" customHeight="1">
      <c r="A102" s="3474" t="s">
        <v>1682</v>
      </c>
      <c r="B102" s="2263" t="s">
        <v>1681</v>
      </c>
      <c r="C102" s="2264" t="e">
        <f ca="1">C19</f>
        <v>#REF!</v>
      </c>
      <c r="D102" s="2265" t="e">
        <f ca="1">D19</f>
        <v>#REF!</v>
      </c>
      <c r="E102" s="3518"/>
      <c r="F102" s="3472"/>
      <c r="G102" s="1767" t="s">
        <v>1683</v>
      </c>
      <c r="H102" s="2234" t="e">
        <f ca="1">I118</f>
        <v>#REF!</v>
      </c>
      <c r="I102" s="133"/>
    </row>
    <row r="103" spans="1:35" ht="42.75" customHeight="1">
      <c r="A103" s="3474"/>
      <c r="B103" s="2263" t="s">
        <v>1683</v>
      </c>
      <c r="C103" s="2266" t="e">
        <f ca="1">C20</f>
        <v>#REF!</v>
      </c>
      <c r="D103" s="2267" t="e">
        <f ca="1">D20</f>
        <v>#REF!</v>
      </c>
      <c r="E103" s="3512" t="s">
        <v>1684</v>
      </c>
      <c r="F103" s="3513"/>
      <c r="G103" s="1768" t="s">
        <v>1685</v>
      </c>
      <c r="H103" s="2274">
        <f>IF(D36="正常操作",H104+H105+H106,H105+H106)</f>
        <v>0</v>
      </c>
      <c r="I103" s="133"/>
    </row>
    <row r="104" spans="1:35" ht="18.75" customHeight="1">
      <c r="A104" s="3474"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5"/>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71" t="str">
        <f>IF(项目基本情况!E8="已注销","——","3.房地产抵押价值")</f>
        <v>3.房地产抵押价值</v>
      </c>
      <c r="F107" s="3472"/>
      <c r="G107" s="1767" t="s">
        <v>1681</v>
      </c>
      <c r="H107" s="2274" t="e">
        <f ca="1">IF(E107="——","——",H101-H103)</f>
        <v>#REF!</v>
      </c>
      <c r="I107" s="133"/>
    </row>
    <row r="108" spans="1:35" ht="18.75" customHeight="1">
      <c r="A108" s="133"/>
      <c r="B108" s="133"/>
      <c r="C108" s="133"/>
      <c r="D108" s="133"/>
      <c r="E108" s="3471"/>
      <c r="F108" s="3472"/>
      <c r="G108" s="1767" t="s">
        <v>1683</v>
      </c>
      <c r="H108" s="2234" t="e">
        <f ca="1">ROUND(H107*10000/'数据-汇总表'!E3,0)</f>
        <v>#REF!</v>
      </c>
      <c r="I108" s="133"/>
    </row>
    <row r="109" spans="1:35" ht="18.75" customHeight="1">
      <c r="A109" s="133"/>
      <c r="B109" s="133"/>
      <c r="C109" s="133"/>
      <c r="D109" s="133"/>
      <c r="E109" s="3471" t="str">
        <f>IF(项目基本情况!E8="已注销及未注销","4.抵押担保权已注销时的房地产抵押价值",IF(项目基本情况!E8="已注销","3.抵押担保权已注销时的房地产抵押价值","——"))</f>
        <v>——</v>
      </c>
      <c r="F109" s="3472"/>
      <c r="G109" s="1767" t="s">
        <v>1681</v>
      </c>
      <c r="H109" s="2277" t="str">
        <f>IF(E109="——","——",H101-H105-H106)</f>
        <v>——</v>
      </c>
      <c r="I109" s="133"/>
    </row>
    <row r="110" spans="1:35" ht="18.75" customHeight="1">
      <c r="A110" s="133"/>
      <c r="B110" s="133"/>
      <c r="C110" s="133"/>
      <c r="D110" s="133"/>
      <c r="E110" s="3471"/>
      <c r="F110" s="3472"/>
      <c r="G110" s="1767" t="s">
        <v>1683</v>
      </c>
      <c r="H110" s="2234" t="str">
        <f>IF(H109="——","——",ROUND(H109*10000/'数据-汇总表'!E3,0))</f>
        <v>——</v>
      </c>
      <c r="I110" s="133"/>
    </row>
    <row r="111" spans="1:35" ht="18.75" customHeight="1">
      <c r="A111" s="133"/>
      <c r="B111" s="133"/>
      <c r="C111" s="133"/>
      <c r="D111" s="133"/>
      <c r="E111" s="3506" t="str">
        <f>IF(项目基本情况!E9="抵押净值",IF(OR(项目基本情况!E8="已注销",项目基本情况!E8="房地产抵押价值"),"4.抵押净值","5.抵押净值"),"——")</f>
        <v>——</v>
      </c>
      <c r="F111" s="3473"/>
      <c r="G111" s="1767" t="s">
        <v>1681</v>
      </c>
      <c r="H111" s="2274" t="str">
        <f>IF(E111="——","——",N59)</f>
        <v>——</v>
      </c>
      <c r="I111" s="133"/>
    </row>
    <row r="112" spans="1:35" ht="18.75" customHeight="1" thickBot="1">
      <c r="A112" s="133"/>
      <c r="B112" s="133"/>
      <c r="C112" s="133"/>
      <c r="D112" s="133"/>
      <c r="E112" s="3507"/>
      <c r="F112" s="3508"/>
      <c r="G112" s="1770" t="s">
        <v>1683</v>
      </c>
      <c r="H112" s="2278" t="str">
        <f>IF(E111="——","——",N61)</f>
        <v>——</v>
      </c>
      <c r="I112" s="133"/>
    </row>
    <row r="113" spans="1:27" ht="18.75" customHeight="1">
      <c r="A113" s="133"/>
      <c r="B113" s="133"/>
      <c r="C113" s="133"/>
      <c r="D113" s="133"/>
      <c r="E113" s="3476" t="s">
        <v>1689</v>
      </c>
      <c r="F113" s="3476"/>
      <c r="G113" s="3476"/>
      <c r="H113" s="3476"/>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2" t="s">
        <v>1692</v>
      </c>
      <c r="B116" s="3477" t="s">
        <v>1693</v>
      </c>
      <c r="C116" s="3477" t="s">
        <v>1694</v>
      </c>
      <c r="D116" s="3493" t="s">
        <v>1695</v>
      </c>
      <c r="E116" s="3494"/>
      <c r="F116" s="3485" t="s">
        <v>1696</v>
      </c>
      <c r="G116" s="3485"/>
      <c r="H116" s="3442" t="s">
        <v>1697</v>
      </c>
      <c r="I116" s="3442"/>
    </row>
    <row r="117" spans="1:27" ht="18.75" customHeight="1">
      <c r="A117" s="3442"/>
      <c r="B117" s="3478"/>
      <c r="C117" s="3478"/>
      <c r="D117" s="2005" t="s">
        <v>1698</v>
      </c>
      <c r="E117" s="2005" t="s">
        <v>1699</v>
      </c>
      <c r="F117" s="2005" t="s">
        <v>1698</v>
      </c>
      <c r="G117" s="2005" t="s">
        <v>1700</v>
      </c>
      <c r="H117" s="2005" t="s">
        <v>1698</v>
      </c>
      <c r="I117" s="2005" t="s">
        <v>1700</v>
      </c>
    </row>
    <row r="118" spans="1:27" ht="24.75" customHeight="1">
      <c r="A118" s="2279"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2" t="s">
        <v>1701</v>
      </c>
      <c r="B119" s="3442"/>
      <c r="C119" s="3442"/>
      <c r="D119" s="3482" t="e">
        <f ca="1">NUMBERSTRING(INT(D118*10000),2)&amp;"元整"</f>
        <v>#REF!</v>
      </c>
      <c r="E119" s="3484"/>
      <c r="F119" s="3482" t="e">
        <f ca="1">NUMBERSTRING(INT(F118*10000),2)&amp;"元整"</f>
        <v>#REF!</v>
      </c>
      <c r="G119" s="3484"/>
      <c r="H119" s="3482" t="e">
        <f ca="1">NUMBERSTRING(INT(H118*10000),2)&amp;"元整"</f>
        <v>#REF!</v>
      </c>
      <c r="I119" s="3484"/>
    </row>
    <row r="120" spans="1:27" ht="18.75" customHeight="1">
      <c r="A120" s="3509" t="str">
        <f>IF(项目基本情况!B9="房地产市场价值","",MID(E103,3,LEN(E103)-2))</f>
        <v>估价师知悉的法定优先受偿款</v>
      </c>
      <c r="B120" s="3510"/>
      <c r="C120" s="3511"/>
      <c r="D120" s="3509">
        <f>H103</f>
        <v>0</v>
      </c>
      <c r="E120" s="3510"/>
      <c r="F120" s="3510"/>
      <c r="G120" s="3510"/>
      <c r="H120" s="3510"/>
      <c r="I120" s="3511"/>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82" t="str">
        <f>IF(D120=0,"零元整",NUMBERSTRING(INT(D120*10000),2)&amp;"元整")</f>
        <v>零元整</v>
      </c>
      <c r="E121" s="3483"/>
      <c r="F121" s="3483"/>
      <c r="G121" s="3483"/>
      <c r="H121" s="3483"/>
      <c r="I121" s="3484"/>
      <c r="AA121" s="728"/>
    </row>
    <row r="122" spans="1:27" ht="18.75" customHeight="1">
      <c r="A122" s="3473" t="str">
        <f>IF(项目基本情况!B9="房地产市场价值","",MID(E107,3,LEN(E107)-2))</f>
        <v>房地产抵押价值</v>
      </c>
      <c r="B122" s="3473"/>
      <c r="C122" s="3473"/>
      <c r="D122" s="3509" t="e">
        <f ca="1">H107</f>
        <v>#REF!</v>
      </c>
      <c r="E122" s="3510"/>
      <c r="F122" s="3510"/>
      <c r="G122" s="3510"/>
      <c r="H122" s="3510"/>
      <c r="I122" s="3511"/>
      <c r="AA122" s="728"/>
    </row>
    <row r="123" spans="1:27" ht="18.75" customHeight="1">
      <c r="A123" s="3442" t="s">
        <v>1701</v>
      </c>
      <c r="B123" s="3442"/>
      <c r="C123" s="3442"/>
      <c r="D123" s="3482" t="e">
        <f ca="1">NUMBERSTRING(INT(D122*10000),2)&amp;"元整"</f>
        <v>#REF!</v>
      </c>
      <c r="E123" s="3483"/>
      <c r="F123" s="3483"/>
      <c r="G123" s="3483"/>
      <c r="H123" s="3483"/>
      <c r="I123" s="3484"/>
      <c r="AA123" s="728"/>
    </row>
    <row r="124" spans="1:27" ht="18.75" customHeight="1">
      <c r="A124" s="3473" t="str">
        <f>IF(项目基本情况!B9="房地产市场价值","",MID(E109,3,LEN(E109)-2))</f>
        <v/>
      </c>
      <c r="B124" s="3473"/>
      <c r="C124" s="3473"/>
      <c r="D124" s="3509" t="str">
        <f>H109</f>
        <v>——</v>
      </c>
      <c r="E124" s="3510"/>
      <c r="F124" s="3510"/>
      <c r="G124" s="3510"/>
      <c r="H124" s="3510"/>
      <c r="I124" s="3511"/>
      <c r="AA124" s="728"/>
    </row>
    <row r="125" spans="1:27" ht="18.75" customHeight="1">
      <c r="A125" s="3442" t="s">
        <v>1701</v>
      </c>
      <c r="B125" s="3442"/>
      <c r="C125" s="3442"/>
      <c r="D125" s="3482" t="e">
        <f>NUMBERSTRING(INT(D124*10000),2)&amp;"元整"</f>
        <v>#VALUE!</v>
      </c>
      <c r="E125" s="3483"/>
      <c r="F125" s="3483"/>
      <c r="G125" s="3483"/>
      <c r="H125" s="3483"/>
      <c r="I125" s="3484"/>
      <c r="AA125" s="728"/>
    </row>
    <row r="126" spans="1:27" ht="18.75" customHeight="1">
      <c r="A126" s="3473" t="str">
        <f>IF(项目基本情况!B9="房地产市场价值","",MID(E111,3,LEN(E111)-2))</f>
        <v/>
      </c>
      <c r="B126" s="3473"/>
      <c r="C126" s="3473"/>
      <c r="D126" s="3509" t="str">
        <f>H111</f>
        <v>——</v>
      </c>
      <c r="E126" s="3510"/>
      <c r="F126" s="3510"/>
      <c r="G126" s="3510"/>
      <c r="H126" s="3510"/>
      <c r="I126" s="3511"/>
      <c r="AA126" s="728"/>
    </row>
    <row r="127" spans="1:27" ht="18.75" customHeight="1">
      <c r="A127" s="3442" t="s">
        <v>1701</v>
      </c>
      <c r="B127" s="3442"/>
      <c r="C127" s="3442"/>
      <c r="D127" s="3482" t="e">
        <f>NUMBERSTRING(INT(D126*10000),2)&amp;"元整"</f>
        <v>#VALUE!</v>
      </c>
      <c r="E127" s="3483"/>
      <c r="F127" s="3483"/>
      <c r="G127" s="3483"/>
      <c r="H127" s="3483"/>
      <c r="I127" s="3484"/>
      <c r="AA127" s="728"/>
    </row>
    <row r="128" spans="1:27" ht="21.75" customHeight="1">
      <c r="A128" s="3492" t="s">
        <v>1702</v>
      </c>
      <c r="B128" s="3492"/>
      <c r="C128" s="3492"/>
      <c r="D128" s="3492"/>
      <c r="E128" s="3492"/>
      <c r="F128" s="3492"/>
      <c r="G128" s="3492"/>
      <c r="H128" s="3492"/>
      <c r="I128" s="349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北京市房地产抵押价值预评估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IF(项目基本情况!B11="自然人","——",ROUND(C6*F32/(1+'数据-取费表'!C42),2))</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IF(项目基本情况!B11="自然人","——",IF(D33="按租金收入计税",ROUND(C6*F33/(1+'数据-取费表'!C42),2),IF(D33="按房产原值计税",ROUND(C29*F33*0.7,2),INDIRECT("'数据-取费表'!Aj"&amp;$G$1))))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IF(项目基本情况!B11="自然人","——",ROUND(F34*F35/10000,2))</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IF(项目基本情况!B11="自然人","——",ROUND(C48*F60/(1+'数据-取费表'!C42),2))</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IF(项目基本情况!B11="自然人","——",IF(D61="按租金收入计税",ROUND(C49*F61/(1+'数据-取费表'!C42),2),IF(D61="按房产原值计税",ROUND(C57*F61*0.7,2),INDIRECT("'数据-取费表'!Aj"&amp;$G$1))))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IF(项目基本情况!B11="自然人","——",ROUND(F62*F63/10000,2))</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IF(项目基本情况!B11="自然人","——",ROUND(C6*F32/(1+'数据-取费表'!C42),0))</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IF(项目基本情况!B11="自然人","——",IF(D33="按租金收入计税",ROUND(C6*F33/(1+'数据-取费表'!C42),0),IF(D33="按房产原值计税",ROUND(C29*F33*0.7,0),INDIRECT("'数据-取费表'!Aj"&amp;$G$1))))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IF(项目基本情况!B11="自然人","——",ROUND(C48*F60/(1+'数据-取费表'!C42),0))</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IF(项目基本情况!B11="自然人","——",IF(D61="按租金收入计税",ROUND(C49*F61/(1+'数据-取费表'!C42),0),IF(D61="按房产原值计税",ROUND(C57*F61*0.7,0),INDIRECT("'数据-取费表'!Aj"&amp;$G$1))))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IF(项目基本情况!B11="自然人","——",ROUND(F62*F63,0))</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9" t="s">
        <v>2608</v>
      </c>
      <c r="K2" s="3540"/>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41" t="s">
        <v>2618</v>
      </c>
      <c r="K3" s="3542"/>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41" t="s">
        <v>2620</v>
      </c>
      <c r="K4" s="3542"/>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47" t="s">
        <v>2624</v>
      </c>
      <c r="B6" s="3548"/>
      <c r="C6" s="3549"/>
      <c r="D6" s="2537"/>
      <c r="E6" s="2538"/>
      <c r="F6" s="2539"/>
      <c r="G6" s="2540"/>
      <c r="H6" s="2515"/>
      <c r="I6" s="2516"/>
      <c r="J6" s="3533">
        <v>1</v>
      </c>
      <c r="K6" s="3534"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33"/>
      <c r="K7" s="3535"/>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50" t="s">
        <v>2638</v>
      </c>
      <c r="C8" s="3551"/>
      <c r="D8" s="2556" t="s">
        <v>2639</v>
      </c>
      <c r="E8" s="2557" t="s">
        <v>2640</v>
      </c>
      <c r="F8" s="2558" t="s">
        <v>2641</v>
      </c>
      <c r="G8" s="2559"/>
      <c r="H8" s="2515"/>
      <c r="I8" s="2516"/>
      <c r="J8" s="3533"/>
      <c r="K8" s="3535"/>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50" t="s">
        <v>2644</v>
      </c>
      <c r="C9" s="3551"/>
      <c r="D9" s="2556">
        <f>ROUND(D6*E9,0)</f>
        <v>0</v>
      </c>
      <c r="E9" s="2560"/>
      <c r="F9" s="2561" t="s">
        <v>2645</v>
      </c>
      <c r="G9" s="2540"/>
      <c r="H9" s="2515"/>
      <c r="I9" s="2516"/>
      <c r="J9" s="3533"/>
      <c r="K9" s="3535"/>
      <c r="L9" s="2550" t="s">
        <v>2646</v>
      </c>
      <c r="M9" s="2551"/>
      <c r="N9" s="2527"/>
      <c r="O9" s="2552"/>
      <c r="P9" s="2552"/>
      <c r="Q9" s="2553">
        <v>365</v>
      </c>
      <c r="R9" s="2554">
        <f t="shared" si="0"/>
        <v>0</v>
      </c>
      <c r="S9" s="2508"/>
      <c r="T9" s="2508"/>
      <c r="U9" s="2508"/>
      <c r="V9" s="2516"/>
    </row>
    <row r="10" spans="1:22" s="2520" customFormat="1" ht="13.15" customHeight="1">
      <c r="A10" s="2555">
        <v>2</v>
      </c>
      <c r="B10" s="3550" t="s">
        <v>2647</v>
      </c>
      <c r="C10" s="3551"/>
      <c r="D10" s="2556">
        <f>ROUND(D6*E10,0)</f>
        <v>0</v>
      </c>
      <c r="E10" s="2560"/>
      <c r="F10" s="2561" t="s">
        <v>2648</v>
      </c>
      <c r="G10" s="2540"/>
      <c r="H10" s="2515"/>
      <c r="I10" s="2516"/>
      <c r="J10" s="3533"/>
      <c r="K10" s="3535"/>
      <c r="L10" s="2550" t="s">
        <v>2649</v>
      </c>
      <c r="M10" s="2551"/>
      <c r="N10" s="2527"/>
      <c r="O10" s="2552"/>
      <c r="P10" s="2552"/>
      <c r="Q10" s="2553">
        <v>365</v>
      </c>
      <c r="R10" s="2554">
        <f t="shared" si="0"/>
        <v>0</v>
      </c>
      <c r="S10" s="2508"/>
      <c r="T10" s="2508"/>
      <c r="U10" s="2508"/>
      <c r="V10" s="2516"/>
    </row>
    <row r="11" spans="1:22" s="2520" customFormat="1" ht="13.15" customHeight="1">
      <c r="A11" s="2555">
        <v>3</v>
      </c>
      <c r="B11" s="3550" t="s">
        <v>2650</v>
      </c>
      <c r="C11" s="3551"/>
      <c r="D11" s="2556">
        <f>D12+D14+D15+D16</f>
        <v>0</v>
      </c>
      <c r="E11" s="2562" t="e">
        <f>D11/D6</f>
        <v>#DIV/0!</v>
      </c>
      <c r="F11" s="2558"/>
      <c r="G11" s="2559"/>
      <c r="H11" s="2515"/>
      <c r="I11" s="2516"/>
      <c r="J11" s="3533"/>
      <c r="K11" s="3535"/>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3" t="s">
        <v>2653</v>
      </c>
      <c r="C12" s="3544"/>
      <c r="D12" s="2564">
        <f>ROUND(D13*1.2%*(1-30%),0)</f>
        <v>0</v>
      </c>
      <c r="E12" s="2565">
        <v>1.2E-2</v>
      </c>
      <c r="F12" s="2558" t="s">
        <v>2654</v>
      </c>
      <c r="G12" s="2559"/>
      <c r="H12" s="2515"/>
      <c r="I12" s="2516"/>
      <c r="J12" s="3533"/>
      <c r="K12" s="3535"/>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33"/>
      <c r="K13" s="3535"/>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3" t="s">
        <v>2659</v>
      </c>
      <c r="C14" s="3544"/>
      <c r="D14" s="2564">
        <f>ROUND(E14*B5/10000,0)</f>
        <v>0</v>
      </c>
      <c r="E14" s="2553"/>
      <c r="F14" s="2558" t="s">
        <v>2660</v>
      </c>
      <c r="G14" s="2559"/>
      <c r="H14" s="2515"/>
      <c r="I14" s="2516"/>
      <c r="J14" s="3533"/>
      <c r="K14" s="3536"/>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3" t="s">
        <v>2663</v>
      </c>
      <c r="C15" s="3544"/>
      <c r="D15" s="2564">
        <f>ROUND(D6*E15,0)</f>
        <v>0</v>
      </c>
      <c r="E15" s="2565">
        <v>5.5E-2</v>
      </c>
      <c r="F15" s="2558" t="s">
        <v>2664</v>
      </c>
      <c r="G15" s="2540"/>
      <c r="H15" s="2515"/>
      <c r="I15" s="2516"/>
      <c r="J15" s="3533">
        <v>2</v>
      </c>
      <c r="K15" s="3534"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3" t="s">
        <v>2672</v>
      </c>
      <c r="C16" s="3544"/>
      <c r="D16" s="2575">
        <f>D6*E16</f>
        <v>0</v>
      </c>
      <c r="E16" s="2576"/>
      <c r="F16" s="2561" t="s">
        <v>2673</v>
      </c>
      <c r="G16" s="2540"/>
      <c r="H16" s="2515"/>
      <c r="I16" s="2516"/>
      <c r="J16" s="3533"/>
      <c r="K16" s="3535"/>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5" t="s">
        <v>2675</v>
      </c>
      <c r="C17" s="3546"/>
      <c r="D17" s="2578">
        <f>ROUND(D6*E17,0)</f>
        <v>0</v>
      </c>
      <c r="E17" s="2579"/>
      <c r="F17" s="2580" t="s">
        <v>2676</v>
      </c>
      <c r="G17" s="2540"/>
      <c r="H17" s="2515"/>
      <c r="I17" s="2516"/>
      <c r="J17" s="3533"/>
      <c r="K17" s="3535"/>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33"/>
      <c r="K18" s="3535"/>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33"/>
      <c r="K19" s="3536"/>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33">
        <v>3</v>
      </c>
      <c r="K20" s="3534"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33"/>
      <c r="K21" s="3535"/>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33"/>
      <c r="K22" s="3535"/>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33"/>
      <c r="K23" s="3535"/>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33"/>
      <c r="K24" s="3536"/>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37">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38"/>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9" t="s">
        <v>2608</v>
      </c>
      <c r="K32" s="3540"/>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41" t="s">
        <v>2618</v>
      </c>
      <c r="K33" s="3542"/>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41" t="s">
        <v>2620</v>
      </c>
      <c r="K34" s="3542"/>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33">
        <v>1</v>
      </c>
      <c r="K36" s="3534"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33"/>
      <c r="K37" s="3535"/>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33"/>
      <c r="K38" s="3535"/>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33"/>
      <c r="K39" s="3535"/>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33"/>
      <c r="K40" s="3536"/>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37">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38"/>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82" t="s">
        <v>1921</v>
      </c>
      <c r="S4" s="3583"/>
      <c r="T4" s="3582" t="s">
        <v>1922</v>
      </c>
      <c r="U4" s="3583"/>
      <c r="V4" s="3588" t="s">
        <v>1923</v>
      </c>
      <c r="W4" s="3588"/>
      <c r="X4" s="1294"/>
      <c r="Y4" s="3582" t="s">
        <v>1925</v>
      </c>
      <c r="Z4" s="3583"/>
      <c r="AA4" s="3569" t="s">
        <v>1921</v>
      </c>
      <c r="AB4" s="3569" t="s">
        <v>1922</v>
      </c>
      <c r="AC4" s="3569" t="s">
        <v>1923</v>
      </c>
    </row>
    <row r="5" spans="1:29" ht="15">
      <c r="A5" s="359"/>
      <c r="B5" s="360"/>
      <c r="C5" s="3591" t="s">
        <v>1926</v>
      </c>
      <c r="D5" s="3592"/>
      <c r="E5" s="3598" t="s">
        <v>1927</v>
      </c>
      <c r="F5" s="3599"/>
      <c r="G5" s="3591" t="s">
        <v>1928</v>
      </c>
      <c r="H5" s="3592"/>
      <c r="I5" s="3591" t="s">
        <v>1929</v>
      </c>
      <c r="J5" s="3592"/>
      <c r="K5" s="1830"/>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1830"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44733</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93" t="s">
        <v>1933</v>
      </c>
      <c r="Q7" s="3595"/>
      <c r="R7" s="704" t="s">
        <v>23</v>
      </c>
      <c r="S7" s="705">
        <f t="shared" ref="S7:S15" si="0">F7</f>
        <v>0</v>
      </c>
      <c r="T7" s="704" t="s">
        <v>23</v>
      </c>
      <c r="U7" s="705">
        <f t="shared" ref="U7:U15" si="1">H7</f>
        <v>0</v>
      </c>
      <c r="V7" s="704" t="s">
        <v>23</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93" t="s">
        <v>1936</v>
      </c>
      <c r="Q8" s="3594"/>
      <c r="R8" s="704" t="s">
        <v>23</v>
      </c>
      <c r="S8" s="705">
        <f t="shared" si="0"/>
        <v>0</v>
      </c>
      <c r="T8" s="704" t="s">
        <v>23</v>
      </c>
      <c r="U8" s="705">
        <f t="shared" si="1"/>
        <v>0</v>
      </c>
      <c r="V8" s="704" t="s">
        <v>23</v>
      </c>
      <c r="W8" s="705">
        <f t="shared" si="2"/>
        <v>0</v>
      </c>
      <c r="X8" s="706"/>
      <c r="Y8" s="3593" t="s">
        <v>1936</v>
      </c>
      <c r="Z8" s="3594"/>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68"/>
      <c r="Q11" s="1284" t="str">
        <f t="shared" si="6"/>
        <v>容积率</v>
      </c>
      <c r="R11" s="704" t="s">
        <v>21</v>
      </c>
      <c r="S11" s="705" t="e">
        <f t="shared" si="0"/>
        <v>#N/A</v>
      </c>
      <c r="T11" s="704" t="s">
        <v>21</v>
      </c>
      <c r="U11" s="705" t="e">
        <f t="shared" si="1"/>
        <v>#N/A</v>
      </c>
      <c r="V11" s="704" t="s">
        <v>21</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68"/>
      <c r="Q12" s="1284">
        <f t="shared" si="6"/>
        <v>111</v>
      </c>
      <c r="R12" s="704" t="s">
        <v>21</v>
      </c>
      <c r="S12" s="705">
        <f t="shared" si="0"/>
        <v>100</v>
      </c>
      <c r="T12" s="704" t="s">
        <v>21</v>
      </c>
      <c r="U12" s="705">
        <f t="shared" si="1"/>
        <v>100</v>
      </c>
      <c r="V12" s="704" t="s">
        <v>21</v>
      </c>
      <c r="W12" s="705">
        <f t="shared" si="2"/>
        <v>100</v>
      </c>
      <c r="X12" s="706"/>
      <c r="Y12" s="3429"/>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68"/>
      <c r="Q13" s="1284">
        <f t="shared" si="6"/>
        <v>111</v>
      </c>
      <c r="R13" s="704" t="s">
        <v>21</v>
      </c>
      <c r="S13" s="705">
        <f t="shared" si="0"/>
        <v>100</v>
      </c>
      <c r="T13" s="704" t="s">
        <v>21</v>
      </c>
      <c r="U13" s="705">
        <f t="shared" si="1"/>
        <v>100</v>
      </c>
      <c r="V13" s="704" t="s">
        <v>21</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68"/>
      <c r="Q14" s="1284">
        <f t="shared" si="6"/>
        <v>111</v>
      </c>
      <c r="R14" s="704" t="s">
        <v>21</v>
      </c>
      <c r="S14" s="705">
        <f t="shared" si="0"/>
        <v>100</v>
      </c>
      <c r="T14" s="704" t="s">
        <v>21</v>
      </c>
      <c r="U14" s="705">
        <f t="shared" si="1"/>
        <v>100</v>
      </c>
      <c r="V14" s="704" t="s">
        <v>21</v>
      </c>
      <c r="W14" s="705">
        <f t="shared" si="2"/>
        <v>100</v>
      </c>
      <c r="X14" s="706"/>
      <c r="Y14" s="3429"/>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66" t="s">
        <v>1944</v>
      </c>
      <c r="Q15" s="1291" t="str">
        <f t="shared" si="6"/>
        <v>居住社区成熟度</v>
      </c>
      <c r="R15" s="708" t="s">
        <v>21</v>
      </c>
      <c r="S15" s="709">
        <f t="shared" si="0"/>
        <v>100</v>
      </c>
      <c r="T15" s="708" t="s">
        <v>21</v>
      </c>
      <c r="U15" s="709">
        <f t="shared" si="1"/>
        <v>100</v>
      </c>
      <c r="V15" s="708" t="s">
        <v>21</v>
      </c>
      <c r="W15" s="709">
        <f t="shared" si="2"/>
        <v>100</v>
      </c>
      <c r="X15" s="1294"/>
      <c r="Y15" s="3559"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67"/>
      <c r="Q16" s="1291"/>
      <c r="R16" s="708"/>
      <c r="S16" s="709"/>
      <c r="T16" s="708"/>
      <c r="U16" s="709"/>
      <c r="V16" s="708"/>
      <c r="W16" s="709"/>
      <c r="X16" s="1294"/>
      <c r="Y16" s="3560"/>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67"/>
      <c r="Q17" s="1291" t="str">
        <f>B17</f>
        <v>交通便捷度</v>
      </c>
      <c r="R17" s="708" t="s">
        <v>21</v>
      </c>
      <c r="S17" s="709">
        <f>F17</f>
        <v>100</v>
      </c>
      <c r="T17" s="708" t="s">
        <v>21</v>
      </c>
      <c r="U17" s="709">
        <f>H17</f>
        <v>100</v>
      </c>
      <c r="V17" s="708" t="s">
        <v>21</v>
      </c>
      <c r="W17" s="709">
        <f>J17</f>
        <v>100</v>
      </c>
      <c r="X17" s="1294"/>
      <c r="Y17" s="3560"/>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67"/>
      <c r="Q18" s="1291"/>
      <c r="R18" s="708"/>
      <c r="S18" s="709"/>
      <c r="T18" s="708"/>
      <c r="U18" s="709"/>
      <c r="V18" s="708"/>
      <c r="W18" s="709"/>
      <c r="X18" s="1294"/>
      <c r="Y18" s="3560"/>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67"/>
      <c r="Q19" s="1291" t="str">
        <f>B19</f>
        <v>公共配套设施</v>
      </c>
      <c r="R19" s="708" t="s">
        <v>21</v>
      </c>
      <c r="S19" s="709">
        <f>F19</f>
        <v>100</v>
      </c>
      <c r="T19" s="708" t="s">
        <v>21</v>
      </c>
      <c r="U19" s="709">
        <f>H19</f>
        <v>100</v>
      </c>
      <c r="V19" s="708" t="s">
        <v>21</v>
      </c>
      <c r="W19" s="709">
        <f>J19</f>
        <v>100</v>
      </c>
      <c r="X19" s="1294"/>
      <c r="Y19" s="3560"/>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67"/>
      <c r="Q20" s="1291"/>
      <c r="R20" s="708"/>
      <c r="S20" s="709"/>
      <c r="T20" s="708"/>
      <c r="U20" s="709"/>
      <c r="V20" s="708"/>
      <c r="W20" s="709"/>
      <c r="X20" s="1294"/>
      <c r="Y20" s="3560"/>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67"/>
      <c r="Q22" s="1291"/>
      <c r="R22" s="708"/>
      <c r="S22" s="709"/>
      <c r="T22" s="708"/>
      <c r="U22" s="709"/>
      <c r="V22" s="708"/>
      <c r="W22" s="709"/>
      <c r="X22" s="1294"/>
      <c r="Y22" s="3560"/>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67"/>
      <c r="Q23" s="1291" t="str">
        <f>B23</f>
        <v>自然及人文环境</v>
      </c>
      <c r="R23" s="708" t="s">
        <v>21</v>
      </c>
      <c r="S23" s="709">
        <f>F23</f>
        <v>100</v>
      </c>
      <c r="T23" s="708" t="s">
        <v>21</v>
      </c>
      <c r="U23" s="709">
        <f>H23</f>
        <v>100</v>
      </c>
      <c r="V23" s="708" t="s">
        <v>21</v>
      </c>
      <c r="W23" s="709">
        <f>J23</f>
        <v>100</v>
      </c>
      <c r="X23" s="1294"/>
      <c r="Y23" s="3560"/>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67"/>
      <c r="Q24" s="1291"/>
      <c r="R24" s="708"/>
      <c r="S24" s="709"/>
      <c r="T24" s="708"/>
      <c r="U24" s="709"/>
      <c r="V24" s="708"/>
      <c r="W24" s="709"/>
      <c r="X24" s="1294"/>
      <c r="Y24" s="3560"/>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67"/>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0"/>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67"/>
      <c r="Q26" s="1291" t="str">
        <f t="shared" si="11"/>
        <v>朝向</v>
      </c>
      <c r="R26" s="708" t="s">
        <v>21</v>
      </c>
      <c r="S26" s="709">
        <f t="shared" si="12"/>
        <v>100</v>
      </c>
      <c r="T26" s="708" t="s">
        <v>21</v>
      </c>
      <c r="U26" s="709">
        <f t="shared" si="13"/>
        <v>100</v>
      </c>
      <c r="V26" s="708" t="s">
        <v>21</v>
      </c>
      <c r="W26" s="709">
        <f t="shared" si="14"/>
        <v>100</v>
      </c>
      <c r="X26" s="1294"/>
      <c r="Y26" s="3560"/>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67"/>
      <c r="Q27" s="1284">
        <f t="shared" si="11"/>
        <v>111</v>
      </c>
      <c r="R27" s="704" t="s">
        <v>21</v>
      </c>
      <c r="S27" s="705">
        <f t="shared" si="12"/>
        <v>100</v>
      </c>
      <c r="T27" s="704" t="s">
        <v>21</v>
      </c>
      <c r="U27" s="705">
        <f t="shared" si="13"/>
        <v>100</v>
      </c>
      <c r="V27" s="704" t="s">
        <v>21</v>
      </c>
      <c r="W27" s="705">
        <f t="shared" si="14"/>
        <v>100</v>
      </c>
      <c r="X27" s="706"/>
      <c r="Y27" s="3560"/>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67"/>
      <c r="Q28" s="1291">
        <f t="shared" si="11"/>
        <v>111</v>
      </c>
      <c r="R28" s="708" t="s">
        <v>21</v>
      </c>
      <c r="S28" s="709">
        <f t="shared" si="12"/>
        <v>100</v>
      </c>
      <c r="T28" s="708" t="s">
        <v>21</v>
      </c>
      <c r="U28" s="709">
        <f t="shared" si="13"/>
        <v>100</v>
      </c>
      <c r="V28" s="708" t="s">
        <v>21</v>
      </c>
      <c r="W28" s="709">
        <f t="shared" si="14"/>
        <v>100</v>
      </c>
      <c r="X28" s="1294"/>
      <c r="Y28" s="3560"/>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67"/>
      <c r="Q29" s="1291">
        <f t="shared" si="11"/>
        <v>111</v>
      </c>
      <c r="R29" s="708" t="s">
        <v>21</v>
      </c>
      <c r="S29" s="709">
        <f t="shared" si="12"/>
        <v>100</v>
      </c>
      <c r="T29" s="708" t="s">
        <v>21</v>
      </c>
      <c r="U29" s="709">
        <f t="shared" si="13"/>
        <v>100</v>
      </c>
      <c r="V29" s="708" t="s">
        <v>21</v>
      </c>
      <c r="W29" s="709">
        <f t="shared" si="14"/>
        <v>100</v>
      </c>
      <c r="X29" s="1294"/>
      <c r="Y29" s="3560"/>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67"/>
      <c r="Q30" s="1291">
        <f t="shared" si="11"/>
        <v>111</v>
      </c>
      <c r="R30" s="708" t="s">
        <v>21</v>
      </c>
      <c r="S30" s="709">
        <f t="shared" si="12"/>
        <v>100</v>
      </c>
      <c r="T30" s="708" t="s">
        <v>21</v>
      </c>
      <c r="U30" s="709">
        <f t="shared" si="13"/>
        <v>100</v>
      </c>
      <c r="V30" s="708" t="s">
        <v>21</v>
      </c>
      <c r="W30" s="709">
        <f t="shared" si="14"/>
        <v>100</v>
      </c>
      <c r="X30" s="1294"/>
      <c r="Y30" s="3560"/>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67"/>
      <c r="Q31" s="1291">
        <f t="shared" si="11"/>
        <v>111</v>
      </c>
      <c r="R31" s="708" t="s">
        <v>21</v>
      </c>
      <c r="S31" s="709">
        <f t="shared" si="12"/>
        <v>100</v>
      </c>
      <c r="T31" s="708" t="s">
        <v>21</v>
      </c>
      <c r="U31" s="709">
        <f t="shared" si="13"/>
        <v>100</v>
      </c>
      <c r="V31" s="708" t="s">
        <v>21</v>
      </c>
      <c r="W31" s="709">
        <f t="shared" si="14"/>
        <v>100</v>
      </c>
      <c r="X31" s="1294"/>
      <c r="Y31" s="3560"/>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61" t="s">
        <v>1949</v>
      </c>
      <c r="Q32" s="1291" t="str">
        <f t="shared" si="11"/>
        <v>建筑类型</v>
      </c>
      <c r="R32" s="708" t="s">
        <v>21</v>
      </c>
      <c r="S32" s="709">
        <f t="shared" si="12"/>
        <v>100</v>
      </c>
      <c r="T32" s="708" t="s">
        <v>21</v>
      </c>
      <c r="U32" s="709">
        <f t="shared" si="13"/>
        <v>100</v>
      </c>
      <c r="V32" s="708" t="s">
        <v>21</v>
      </c>
      <c r="W32" s="709">
        <f t="shared" si="14"/>
        <v>100</v>
      </c>
      <c r="X32" s="1294"/>
      <c r="Y32" s="3564"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62"/>
      <c r="Q33" s="710" t="str">
        <f t="shared" si="11"/>
        <v>项目建筑规模</v>
      </c>
      <c r="R33" s="711" t="s">
        <v>21</v>
      </c>
      <c r="S33" s="712" t="e">
        <f t="shared" si="12"/>
        <v>#N/A</v>
      </c>
      <c r="T33" s="711" t="s">
        <v>21</v>
      </c>
      <c r="U33" s="712" t="e">
        <f t="shared" si="13"/>
        <v>#N/A</v>
      </c>
      <c r="V33" s="711" t="s">
        <v>21</v>
      </c>
      <c r="W33" s="712" t="e">
        <f t="shared" si="14"/>
        <v>#N/A</v>
      </c>
      <c r="X33" s="713"/>
      <c r="Y33" s="3564"/>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62"/>
      <c r="Q34" s="1291" t="str">
        <f t="shared" si="11"/>
        <v>建筑结构</v>
      </c>
      <c r="R34" s="708" t="s">
        <v>21</v>
      </c>
      <c r="S34" s="709">
        <f t="shared" si="12"/>
        <v>100</v>
      </c>
      <c r="T34" s="708" t="s">
        <v>21</v>
      </c>
      <c r="U34" s="709">
        <f t="shared" si="13"/>
        <v>100</v>
      </c>
      <c r="V34" s="708" t="s">
        <v>21</v>
      </c>
      <c r="W34" s="709">
        <f t="shared" si="14"/>
        <v>100</v>
      </c>
      <c r="X34" s="1294"/>
      <c r="Y34" s="3564"/>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62"/>
      <c r="Q35" s="1291" t="str">
        <f t="shared" si="11"/>
        <v>建筑品质</v>
      </c>
      <c r="R35" s="708" t="s">
        <v>21</v>
      </c>
      <c r="S35" s="709">
        <f t="shared" si="12"/>
        <v>100</v>
      </c>
      <c r="T35" s="708" t="s">
        <v>21</v>
      </c>
      <c r="U35" s="709">
        <f t="shared" si="13"/>
        <v>100</v>
      </c>
      <c r="V35" s="708" t="s">
        <v>21</v>
      </c>
      <c r="W35" s="709">
        <f t="shared" si="14"/>
        <v>100</v>
      </c>
      <c r="X35" s="1294"/>
      <c r="Y35" s="3564"/>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62"/>
      <c r="Q36" s="1291" t="str">
        <f t="shared" si="11"/>
        <v>公共部分装修</v>
      </c>
      <c r="R36" s="708" t="s">
        <v>21</v>
      </c>
      <c r="S36" s="709">
        <f t="shared" si="12"/>
        <v>100</v>
      </c>
      <c r="T36" s="708" t="s">
        <v>21</v>
      </c>
      <c r="U36" s="709">
        <f t="shared" si="13"/>
        <v>100</v>
      </c>
      <c r="V36" s="708" t="s">
        <v>21</v>
      </c>
      <c r="W36" s="709">
        <f t="shared" si="14"/>
        <v>100</v>
      </c>
      <c r="X36" s="1294"/>
      <c r="Y36" s="3564"/>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62"/>
      <c r="Q37" s="1284" t="str">
        <f t="shared" si="11"/>
        <v>成新度</v>
      </c>
      <c r="R37" s="704" t="s">
        <v>21</v>
      </c>
      <c r="S37" s="705" t="e">
        <f t="shared" si="12"/>
        <v>#N/A</v>
      </c>
      <c r="T37" s="704" t="s">
        <v>21</v>
      </c>
      <c r="U37" s="705" t="e">
        <f t="shared" si="13"/>
        <v>#N/A</v>
      </c>
      <c r="V37" s="704" t="s">
        <v>21</v>
      </c>
      <c r="W37" s="705" t="e">
        <f t="shared" si="14"/>
        <v>#N/A</v>
      </c>
      <c r="X37" s="706"/>
      <c r="Y37" s="3564"/>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62" t="s">
        <v>1949</v>
      </c>
      <c r="Q38" s="1291" t="str">
        <f t="shared" si="11"/>
        <v>物业管理</v>
      </c>
      <c r="R38" s="708" t="s">
        <v>21</v>
      </c>
      <c r="S38" s="709">
        <f t="shared" si="12"/>
        <v>100</v>
      </c>
      <c r="T38" s="708" t="s">
        <v>21</v>
      </c>
      <c r="U38" s="709">
        <f t="shared" si="13"/>
        <v>100</v>
      </c>
      <c r="V38" s="708" t="s">
        <v>21</v>
      </c>
      <c r="W38" s="709">
        <f t="shared" si="14"/>
        <v>100</v>
      </c>
      <c r="X38" s="1294"/>
      <c r="Y38" s="3564"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62"/>
      <c r="Q39" s="1291" t="str">
        <f t="shared" si="11"/>
        <v>市政基础设施</v>
      </c>
      <c r="R39" s="708" t="s">
        <v>21</v>
      </c>
      <c r="S39" s="709">
        <f t="shared" si="12"/>
        <v>100</v>
      </c>
      <c r="T39" s="708" t="s">
        <v>21</v>
      </c>
      <c r="U39" s="709">
        <f t="shared" si="13"/>
        <v>100</v>
      </c>
      <c r="V39" s="708" t="s">
        <v>21</v>
      </c>
      <c r="W39" s="709">
        <f t="shared" si="14"/>
        <v>100</v>
      </c>
      <c r="X39" s="1294"/>
      <c r="Y39" s="3564"/>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62"/>
      <c r="Q40" s="1291" t="str">
        <f t="shared" si="11"/>
        <v>房型</v>
      </c>
      <c r="R40" s="708" t="s">
        <v>21</v>
      </c>
      <c r="S40" s="709">
        <f t="shared" si="12"/>
        <v>100</v>
      </c>
      <c r="T40" s="708" t="s">
        <v>21</v>
      </c>
      <c r="U40" s="709">
        <f t="shared" si="13"/>
        <v>100</v>
      </c>
      <c r="V40" s="708" t="s">
        <v>21</v>
      </c>
      <c r="W40" s="709">
        <f t="shared" si="14"/>
        <v>100</v>
      </c>
      <c r="X40" s="1294"/>
      <c r="Y40" s="3564"/>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62"/>
      <c r="Q41" s="710" t="str">
        <f t="shared" si="11"/>
        <v>单套/主力户型建筑面积</v>
      </c>
      <c r="R41" s="711" t="s">
        <v>21</v>
      </c>
      <c r="S41" s="712">
        <f t="shared" si="12"/>
        <v>100</v>
      </c>
      <c r="T41" s="711" t="s">
        <v>21</v>
      </c>
      <c r="U41" s="712">
        <f t="shared" si="13"/>
        <v>100</v>
      </c>
      <c r="V41" s="711" t="s">
        <v>21</v>
      </c>
      <c r="W41" s="712">
        <f t="shared" si="14"/>
        <v>100</v>
      </c>
      <c r="X41" s="713"/>
      <c r="Y41" s="3564"/>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62"/>
      <c r="Q42" s="1291" t="str">
        <f t="shared" si="11"/>
        <v>内部装修</v>
      </c>
      <c r="R42" s="708" t="s">
        <v>21</v>
      </c>
      <c r="S42" s="709">
        <f t="shared" si="12"/>
        <v>100</v>
      </c>
      <c r="T42" s="708" t="s">
        <v>21</v>
      </c>
      <c r="U42" s="709">
        <f t="shared" si="13"/>
        <v>100</v>
      </c>
      <c r="V42" s="708" t="s">
        <v>21</v>
      </c>
      <c r="W42" s="709">
        <f t="shared" si="14"/>
        <v>100</v>
      </c>
      <c r="X42" s="1294"/>
      <c r="Y42" s="3564"/>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62"/>
      <c r="Q43" s="1291" t="str">
        <f t="shared" si="11"/>
        <v>内部装修维护情况</v>
      </c>
      <c r="R43" s="708" t="s">
        <v>21</v>
      </c>
      <c r="S43" s="709">
        <f t="shared" si="12"/>
        <v>100</v>
      </c>
      <c r="T43" s="708" t="s">
        <v>21</v>
      </c>
      <c r="U43" s="709">
        <f t="shared" si="13"/>
        <v>100</v>
      </c>
      <c r="V43" s="708" t="s">
        <v>21</v>
      </c>
      <c r="W43" s="709">
        <f t="shared" si="14"/>
        <v>100</v>
      </c>
      <c r="X43" s="1294"/>
      <c r="Y43" s="3564"/>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62"/>
      <c r="Q44" s="1284">
        <f t="shared" si="11"/>
        <v>111</v>
      </c>
      <c r="R44" s="704" t="s">
        <v>21</v>
      </c>
      <c r="S44" s="705">
        <f t="shared" si="12"/>
        <v>100</v>
      </c>
      <c r="T44" s="704" t="s">
        <v>21</v>
      </c>
      <c r="U44" s="705">
        <f t="shared" si="13"/>
        <v>100</v>
      </c>
      <c r="V44" s="704" t="s">
        <v>21</v>
      </c>
      <c r="W44" s="705">
        <f t="shared" si="14"/>
        <v>100</v>
      </c>
      <c r="X44" s="706"/>
      <c r="Y44" s="3564"/>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62"/>
      <c r="Q45" s="1291">
        <f t="shared" si="11"/>
        <v>111</v>
      </c>
      <c r="R45" s="708" t="s">
        <v>21</v>
      </c>
      <c r="S45" s="709">
        <f t="shared" si="12"/>
        <v>100</v>
      </c>
      <c r="T45" s="708" t="s">
        <v>21</v>
      </c>
      <c r="U45" s="709">
        <f t="shared" si="13"/>
        <v>100</v>
      </c>
      <c r="V45" s="708" t="s">
        <v>21</v>
      </c>
      <c r="W45" s="709">
        <f t="shared" si="14"/>
        <v>100</v>
      </c>
      <c r="X45" s="1294"/>
      <c r="Y45" s="3564"/>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63"/>
      <c r="Q46" s="1291">
        <f t="shared" si="11"/>
        <v>111</v>
      </c>
      <c r="R46" s="708" t="s">
        <v>20</v>
      </c>
      <c r="S46" s="709">
        <f t="shared" si="12"/>
        <v>100</v>
      </c>
      <c r="T46" s="708" t="s">
        <v>20</v>
      </c>
      <c r="U46" s="709">
        <f t="shared" si="13"/>
        <v>100</v>
      </c>
      <c r="V46" s="708" t="s">
        <v>20</v>
      </c>
      <c r="W46" s="709">
        <f t="shared" si="14"/>
        <v>100</v>
      </c>
      <c r="X46" s="1294"/>
      <c r="Y46" s="3565"/>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57" t="str">
        <f>A47</f>
        <v>成交单价（元/平方米）</v>
      </c>
      <c r="Q47" s="3557"/>
      <c r="R47" s="3558">
        <f>E47</f>
        <v>0</v>
      </c>
      <c r="S47" s="3558"/>
      <c r="T47" s="3558">
        <f>G47</f>
        <v>0</v>
      </c>
      <c r="U47" s="3558"/>
      <c r="V47" s="3558">
        <f>I47</f>
        <v>0</v>
      </c>
      <c r="W47" s="3558"/>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88"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88"/>
      <c r="AC5" s="3570"/>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88"/>
      <c r="AC6" s="3571"/>
    </row>
    <row r="7" spans="1:29" s="112" customFormat="1" ht="15.75" thickBot="1">
      <c r="A7" s="363" t="s">
        <v>1932</v>
      </c>
      <c r="B7" s="364"/>
      <c r="C7" s="365">
        <f>'数据-取费表'!B2</f>
        <v>44733</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68"/>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68"/>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68"/>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68"/>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66" t="s">
        <v>1944</v>
      </c>
      <c r="Q15" s="1291" t="str">
        <f t="shared" si="6"/>
        <v>商业繁华度</v>
      </c>
      <c r="R15" s="708" t="s">
        <v>17</v>
      </c>
      <c r="S15" s="709">
        <f t="shared" si="0"/>
        <v>100</v>
      </c>
      <c r="T15" s="708" t="s">
        <v>17</v>
      </c>
      <c r="U15" s="709">
        <f t="shared" si="1"/>
        <v>100</v>
      </c>
      <c r="V15" s="708" t="s">
        <v>17</v>
      </c>
      <c r="W15" s="709">
        <f t="shared" si="2"/>
        <v>100</v>
      </c>
      <c r="X15" s="1294"/>
      <c r="Y15" s="3559"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67"/>
      <c r="Q16" s="1291"/>
      <c r="R16" s="708"/>
      <c r="S16" s="709"/>
      <c r="T16" s="708"/>
      <c r="U16" s="709"/>
      <c r="V16" s="708"/>
      <c r="W16" s="709"/>
      <c r="X16" s="1294"/>
      <c r="Y16" s="3560"/>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67"/>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67"/>
      <c r="Q18" s="1291"/>
      <c r="R18" s="708"/>
      <c r="S18" s="709"/>
      <c r="T18" s="708"/>
      <c r="U18" s="709"/>
      <c r="V18" s="708"/>
      <c r="W18" s="709"/>
      <c r="X18" s="1294"/>
      <c r="Y18" s="3560"/>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67"/>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67"/>
      <c r="Q20" s="1291"/>
      <c r="R20" s="708"/>
      <c r="S20" s="709"/>
      <c r="T20" s="708"/>
      <c r="U20" s="709"/>
      <c r="V20" s="708"/>
      <c r="W20" s="709"/>
      <c r="X20" s="1294"/>
      <c r="Y20" s="3560"/>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67"/>
      <c r="Q22" s="1291"/>
      <c r="R22" s="708"/>
      <c r="S22" s="709"/>
      <c r="T22" s="708"/>
      <c r="U22" s="709"/>
      <c r="V22" s="708"/>
      <c r="W22" s="709"/>
      <c r="X22" s="1294"/>
      <c r="Y22" s="3560"/>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67"/>
      <c r="Q23" s="1291" t="str">
        <f>B23</f>
        <v>自然及人文环境</v>
      </c>
      <c r="R23" s="708" t="s">
        <v>17</v>
      </c>
      <c r="S23" s="709">
        <f>F23</f>
        <v>100</v>
      </c>
      <c r="T23" s="708" t="s">
        <v>17</v>
      </c>
      <c r="U23" s="709">
        <f>H23</f>
        <v>100</v>
      </c>
      <c r="V23" s="708" t="s">
        <v>17</v>
      </c>
      <c r="W23" s="709">
        <f>J23</f>
        <v>100</v>
      </c>
      <c r="X23" s="1294"/>
      <c r="Y23" s="3560"/>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67"/>
      <c r="Q24" s="1291"/>
      <c r="R24" s="708"/>
      <c r="S24" s="709"/>
      <c r="T24" s="708"/>
      <c r="U24" s="709"/>
      <c r="V24" s="708"/>
      <c r="W24" s="709"/>
      <c r="X24" s="1294"/>
      <c r="Y24" s="3560"/>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67"/>
      <c r="Q25" s="1291" t="str">
        <f t="shared" ref="Q25:Q46" si="11">B25</f>
        <v>临街状况</v>
      </c>
      <c r="R25" s="708" t="s">
        <v>17</v>
      </c>
      <c r="S25" s="709">
        <f>F25</f>
        <v>100</v>
      </c>
      <c r="T25" s="708" t="s">
        <v>17</v>
      </c>
      <c r="U25" s="709">
        <f>H25</f>
        <v>100</v>
      </c>
      <c r="V25" s="708" t="s">
        <v>17</v>
      </c>
      <c r="W25" s="709">
        <f>J25</f>
        <v>100</v>
      </c>
      <c r="X25" s="1294"/>
      <c r="Y25" s="3560"/>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67"/>
      <c r="Q26" s="1291" t="str">
        <f t="shared" si="11"/>
        <v>平面位置/可视性</v>
      </c>
      <c r="R26" s="708" t="s">
        <v>17</v>
      </c>
      <c r="S26" s="709">
        <f>F26</f>
        <v>100</v>
      </c>
      <c r="T26" s="708" t="s">
        <v>17</v>
      </c>
      <c r="U26" s="709">
        <f>H26</f>
        <v>100</v>
      </c>
      <c r="V26" s="708" t="s">
        <v>17</v>
      </c>
      <c r="W26" s="709">
        <f>J26</f>
        <v>100</v>
      </c>
      <c r="X26" s="1294"/>
      <c r="Y26" s="3560"/>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67"/>
      <c r="Q27" s="1284" t="str">
        <f t="shared" si="11"/>
        <v>人流量</v>
      </c>
      <c r="R27" s="704" t="s">
        <v>17</v>
      </c>
      <c r="S27" s="705">
        <f>F27</f>
        <v>100</v>
      </c>
      <c r="T27" s="704" t="s">
        <v>17</v>
      </c>
      <c r="U27" s="705">
        <f>H27</f>
        <v>100</v>
      </c>
      <c r="V27" s="704" t="s">
        <v>17</v>
      </c>
      <c r="W27" s="705">
        <f>J27</f>
        <v>100</v>
      </c>
      <c r="X27" s="706"/>
      <c r="Y27" s="3560"/>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67"/>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0"/>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67"/>
      <c r="Q29" s="1291">
        <f t="shared" si="11"/>
        <v>111</v>
      </c>
      <c r="R29" s="708" t="s">
        <v>17</v>
      </c>
      <c r="S29" s="709">
        <f t="shared" si="12"/>
        <v>100</v>
      </c>
      <c r="T29" s="708" t="s">
        <v>17</v>
      </c>
      <c r="U29" s="709">
        <f t="shared" si="13"/>
        <v>100</v>
      </c>
      <c r="V29" s="708" t="s">
        <v>17</v>
      </c>
      <c r="W29" s="709">
        <f t="shared" si="14"/>
        <v>100</v>
      </c>
      <c r="X29" s="1294"/>
      <c r="Y29" s="3560"/>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67"/>
      <c r="Q30" s="1291">
        <f t="shared" si="11"/>
        <v>111</v>
      </c>
      <c r="R30" s="708" t="s">
        <v>17</v>
      </c>
      <c r="S30" s="709">
        <f t="shared" si="12"/>
        <v>100</v>
      </c>
      <c r="T30" s="708" t="s">
        <v>17</v>
      </c>
      <c r="U30" s="709">
        <f t="shared" si="13"/>
        <v>100</v>
      </c>
      <c r="V30" s="708" t="s">
        <v>17</v>
      </c>
      <c r="W30" s="709">
        <f t="shared" si="14"/>
        <v>100</v>
      </c>
      <c r="X30" s="1294"/>
      <c r="Y30" s="3560"/>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67"/>
      <c r="Q31" s="1291">
        <f t="shared" si="11"/>
        <v>111</v>
      </c>
      <c r="R31" s="708" t="s">
        <v>17</v>
      </c>
      <c r="S31" s="709">
        <f t="shared" si="12"/>
        <v>100</v>
      </c>
      <c r="T31" s="708" t="s">
        <v>17</v>
      </c>
      <c r="U31" s="709">
        <f t="shared" si="13"/>
        <v>100</v>
      </c>
      <c r="V31" s="708" t="s">
        <v>17</v>
      </c>
      <c r="W31" s="709">
        <f t="shared" si="14"/>
        <v>100</v>
      </c>
      <c r="X31" s="1294"/>
      <c r="Y31" s="3560"/>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61" t="s">
        <v>1949</v>
      </c>
      <c r="Q32" s="1291" t="str">
        <f t="shared" si="11"/>
        <v>商业类型</v>
      </c>
      <c r="R32" s="708" t="s">
        <v>17</v>
      </c>
      <c r="S32" s="709">
        <f t="shared" si="12"/>
        <v>100</v>
      </c>
      <c r="T32" s="708" t="s">
        <v>17</v>
      </c>
      <c r="U32" s="709">
        <f t="shared" si="13"/>
        <v>100</v>
      </c>
      <c r="V32" s="708" t="s">
        <v>17</v>
      </c>
      <c r="W32" s="709">
        <f t="shared" si="14"/>
        <v>100</v>
      </c>
      <c r="X32" s="1294"/>
      <c r="Y32" s="3564"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62"/>
      <c r="Q33" s="710" t="str">
        <f t="shared" si="11"/>
        <v>项目建筑规模</v>
      </c>
      <c r="R33" s="711" t="s">
        <v>17</v>
      </c>
      <c r="S33" s="712" t="e">
        <f t="shared" si="12"/>
        <v>#N/A</v>
      </c>
      <c r="T33" s="711" t="s">
        <v>17</v>
      </c>
      <c r="U33" s="712" t="e">
        <f t="shared" si="13"/>
        <v>#N/A</v>
      </c>
      <c r="V33" s="711" t="s">
        <v>17</v>
      </c>
      <c r="W33" s="712" t="e">
        <f t="shared" si="14"/>
        <v>#N/A</v>
      </c>
      <c r="X33" s="713"/>
      <c r="Y33" s="3564"/>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62"/>
      <c r="Q34" s="1291" t="str">
        <f t="shared" si="11"/>
        <v>建筑结构</v>
      </c>
      <c r="R34" s="708" t="s">
        <v>17</v>
      </c>
      <c r="S34" s="709">
        <f t="shared" si="12"/>
        <v>100</v>
      </c>
      <c r="T34" s="708" t="s">
        <v>17</v>
      </c>
      <c r="U34" s="709">
        <f t="shared" si="13"/>
        <v>100</v>
      </c>
      <c r="V34" s="708" t="s">
        <v>17</v>
      </c>
      <c r="W34" s="709">
        <f t="shared" si="14"/>
        <v>100</v>
      </c>
      <c r="X34" s="1294"/>
      <c r="Y34" s="3564"/>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62"/>
      <c r="Q35" s="1291" t="str">
        <f t="shared" si="11"/>
        <v>公共部分装修</v>
      </c>
      <c r="R35" s="708" t="s">
        <v>17</v>
      </c>
      <c r="S35" s="709">
        <f t="shared" si="12"/>
        <v>100</v>
      </c>
      <c r="T35" s="708" t="s">
        <v>17</v>
      </c>
      <c r="U35" s="709">
        <f t="shared" si="13"/>
        <v>100</v>
      </c>
      <c r="V35" s="708" t="s">
        <v>17</v>
      </c>
      <c r="W35" s="709">
        <f t="shared" si="14"/>
        <v>100</v>
      </c>
      <c r="X35" s="1294"/>
      <c r="Y35" s="3564"/>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62"/>
      <c r="Q36" s="1291" t="str">
        <f t="shared" si="11"/>
        <v>成新度</v>
      </c>
      <c r="R36" s="708" t="s">
        <v>17</v>
      </c>
      <c r="S36" s="709" t="e">
        <f t="shared" si="12"/>
        <v>#N/A</v>
      </c>
      <c r="T36" s="708" t="s">
        <v>17</v>
      </c>
      <c r="U36" s="709" t="e">
        <f t="shared" si="13"/>
        <v>#N/A</v>
      </c>
      <c r="V36" s="708" t="s">
        <v>17</v>
      </c>
      <c r="W36" s="709" t="e">
        <f t="shared" si="14"/>
        <v>#N/A</v>
      </c>
      <c r="X36" s="1294"/>
      <c r="Y36" s="3564"/>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62"/>
      <c r="Q37" s="1284" t="str">
        <f t="shared" si="11"/>
        <v>市政基础设施</v>
      </c>
      <c r="R37" s="704" t="s">
        <v>17</v>
      </c>
      <c r="S37" s="705">
        <f t="shared" si="12"/>
        <v>100</v>
      </c>
      <c r="T37" s="704" t="s">
        <v>17</v>
      </c>
      <c r="U37" s="705">
        <f t="shared" si="13"/>
        <v>100</v>
      </c>
      <c r="V37" s="704" t="s">
        <v>17</v>
      </c>
      <c r="W37" s="705">
        <f t="shared" si="14"/>
        <v>100</v>
      </c>
      <c r="X37" s="706"/>
      <c r="Y37" s="3564"/>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62" t="s">
        <v>1949</v>
      </c>
      <c r="Q38" s="1291" t="str">
        <f t="shared" si="11"/>
        <v>业态</v>
      </c>
      <c r="R38" s="708" t="s">
        <v>17</v>
      </c>
      <c r="S38" s="709">
        <f t="shared" si="12"/>
        <v>100</v>
      </c>
      <c r="T38" s="708" t="s">
        <v>17</v>
      </c>
      <c r="U38" s="709">
        <f t="shared" si="13"/>
        <v>100</v>
      </c>
      <c r="V38" s="708" t="s">
        <v>17</v>
      </c>
      <c r="W38" s="709">
        <f t="shared" si="14"/>
        <v>100</v>
      </c>
      <c r="X38" s="1294"/>
      <c r="Y38" s="3564"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62"/>
      <c r="Q39" s="1291" t="str">
        <f t="shared" si="11"/>
        <v>层高</v>
      </c>
      <c r="R39" s="708" t="s">
        <v>17</v>
      </c>
      <c r="S39" s="709">
        <f t="shared" si="12"/>
        <v>100</v>
      </c>
      <c r="T39" s="708" t="s">
        <v>17</v>
      </c>
      <c r="U39" s="709">
        <f t="shared" si="13"/>
        <v>100</v>
      </c>
      <c r="V39" s="708" t="s">
        <v>17</v>
      </c>
      <c r="W39" s="709">
        <f t="shared" si="14"/>
        <v>100</v>
      </c>
      <c r="X39" s="1294"/>
      <c r="Y39" s="3564"/>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62"/>
      <c r="Q40" s="1291" t="str">
        <f t="shared" si="11"/>
        <v>单套建筑面积</v>
      </c>
      <c r="R40" s="708" t="s">
        <v>17</v>
      </c>
      <c r="S40" s="709">
        <f t="shared" si="12"/>
        <v>100</v>
      </c>
      <c r="T40" s="708" t="s">
        <v>17</v>
      </c>
      <c r="U40" s="709">
        <f t="shared" si="13"/>
        <v>100</v>
      </c>
      <c r="V40" s="708" t="s">
        <v>17</v>
      </c>
      <c r="W40" s="709">
        <f t="shared" si="14"/>
        <v>100</v>
      </c>
      <c r="X40" s="1294"/>
      <c r="Y40" s="3564"/>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62"/>
      <c r="Q41" s="710" t="str">
        <f t="shared" si="11"/>
        <v>进深比</v>
      </c>
      <c r="R41" s="711" t="s">
        <v>17</v>
      </c>
      <c r="S41" s="712">
        <f t="shared" si="12"/>
        <v>100</v>
      </c>
      <c r="T41" s="711" t="s">
        <v>17</v>
      </c>
      <c r="U41" s="712">
        <f t="shared" si="13"/>
        <v>100</v>
      </c>
      <c r="V41" s="711" t="s">
        <v>17</v>
      </c>
      <c r="W41" s="712">
        <f t="shared" si="14"/>
        <v>100</v>
      </c>
      <c r="X41" s="713"/>
      <c r="Y41" s="3564"/>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62"/>
      <c r="Q42" s="1291" t="str">
        <f t="shared" si="11"/>
        <v>内部装修</v>
      </c>
      <c r="R42" s="708" t="s">
        <v>17</v>
      </c>
      <c r="S42" s="709">
        <f t="shared" si="12"/>
        <v>100</v>
      </c>
      <c r="T42" s="708" t="s">
        <v>17</v>
      </c>
      <c r="U42" s="709">
        <f t="shared" si="13"/>
        <v>100</v>
      </c>
      <c r="V42" s="708" t="s">
        <v>17</v>
      </c>
      <c r="W42" s="709">
        <f t="shared" si="14"/>
        <v>100</v>
      </c>
      <c r="X42" s="1294"/>
      <c r="Y42" s="3564"/>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62"/>
      <c r="Q43" s="1291" t="str">
        <f t="shared" si="11"/>
        <v>内部装修维护情况</v>
      </c>
      <c r="R43" s="708" t="s">
        <v>17</v>
      </c>
      <c r="S43" s="709">
        <f t="shared" si="12"/>
        <v>100</v>
      </c>
      <c r="T43" s="708" t="s">
        <v>17</v>
      </c>
      <c r="U43" s="709">
        <f t="shared" si="13"/>
        <v>100</v>
      </c>
      <c r="V43" s="708" t="s">
        <v>17</v>
      </c>
      <c r="W43" s="709">
        <f t="shared" si="14"/>
        <v>100</v>
      </c>
      <c r="X43" s="1294"/>
      <c r="Y43" s="3564"/>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62"/>
      <c r="Q44" s="1284">
        <f t="shared" si="11"/>
        <v>111</v>
      </c>
      <c r="R44" s="704" t="s">
        <v>17</v>
      </c>
      <c r="S44" s="705">
        <f t="shared" si="12"/>
        <v>100</v>
      </c>
      <c r="T44" s="704" t="s">
        <v>17</v>
      </c>
      <c r="U44" s="705">
        <f t="shared" si="13"/>
        <v>100</v>
      </c>
      <c r="V44" s="704" t="s">
        <v>17</v>
      </c>
      <c r="W44" s="705">
        <f t="shared" si="14"/>
        <v>100</v>
      </c>
      <c r="X44" s="706"/>
      <c r="Y44" s="3564"/>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62"/>
      <c r="Q45" s="1291">
        <f t="shared" si="11"/>
        <v>111</v>
      </c>
      <c r="R45" s="708" t="s">
        <v>17</v>
      </c>
      <c r="S45" s="709">
        <f t="shared" si="12"/>
        <v>100</v>
      </c>
      <c r="T45" s="708" t="s">
        <v>17</v>
      </c>
      <c r="U45" s="709">
        <f t="shared" si="13"/>
        <v>100</v>
      </c>
      <c r="V45" s="708" t="s">
        <v>17</v>
      </c>
      <c r="W45" s="709">
        <f t="shared" si="14"/>
        <v>100</v>
      </c>
      <c r="X45" s="1294"/>
      <c r="Y45" s="3564"/>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63"/>
      <c r="Q46" s="1291">
        <f t="shared" si="11"/>
        <v>111</v>
      </c>
      <c r="R46" s="708" t="s">
        <v>17</v>
      </c>
      <c r="S46" s="709">
        <f t="shared" si="12"/>
        <v>100</v>
      </c>
      <c r="T46" s="708" t="s">
        <v>17</v>
      </c>
      <c r="U46" s="709">
        <f t="shared" si="13"/>
        <v>100</v>
      </c>
      <c r="V46" s="708" t="s">
        <v>17</v>
      </c>
      <c r="W46" s="709">
        <f t="shared" si="14"/>
        <v>100</v>
      </c>
      <c r="X46" s="1294"/>
      <c r="Y46" s="3565"/>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57" t="str">
        <f>A47</f>
        <v>成交单价（元/平方米）</v>
      </c>
      <c r="Q47" s="3557"/>
      <c r="R47" s="3588">
        <f>E47</f>
        <v>0</v>
      </c>
      <c r="S47" s="3588"/>
      <c r="T47" s="3588">
        <f>G47</f>
        <v>0</v>
      </c>
      <c r="U47" s="3588"/>
      <c r="V47" s="3588">
        <f>I47</f>
        <v>0</v>
      </c>
      <c r="W47" s="3588"/>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10" t="s">
        <v>2031</v>
      </c>
      <c r="S4" s="3611"/>
      <c r="T4" s="3610" t="s">
        <v>2032</v>
      </c>
      <c r="U4" s="3611"/>
      <c r="V4" s="3612" t="s">
        <v>2033</v>
      </c>
      <c r="W4" s="3612"/>
      <c r="X4" s="1898"/>
      <c r="Y4" s="3610" t="s">
        <v>2035</v>
      </c>
      <c r="Z4" s="3611"/>
      <c r="AA4" s="3614" t="s">
        <v>2031</v>
      </c>
      <c r="AB4" s="3614" t="s">
        <v>2032</v>
      </c>
      <c r="AC4" s="3603" t="s">
        <v>2033</v>
      </c>
    </row>
    <row r="5" spans="1:29" ht="15">
      <c r="A5" s="359"/>
      <c r="B5" s="360"/>
      <c r="C5" s="3591" t="s">
        <v>1926</v>
      </c>
      <c r="D5" s="3592"/>
      <c r="E5" s="3598" t="s">
        <v>1927</v>
      </c>
      <c r="F5" s="3599"/>
      <c r="G5" s="3591" t="s">
        <v>1928</v>
      </c>
      <c r="H5" s="3592"/>
      <c r="I5" s="3591" t="s">
        <v>1929</v>
      </c>
      <c r="J5" s="3592"/>
      <c r="K5" s="562"/>
      <c r="L5" s="2395"/>
      <c r="M5" s="2396"/>
      <c r="N5" s="2396"/>
      <c r="O5" s="2396"/>
      <c r="P5" s="3608"/>
      <c r="Q5" s="3579"/>
      <c r="R5" s="3584"/>
      <c r="S5" s="3585"/>
      <c r="T5" s="3584"/>
      <c r="U5" s="3585"/>
      <c r="V5" s="3588"/>
      <c r="W5" s="3588"/>
      <c r="X5" s="1294"/>
      <c r="Y5" s="3584"/>
      <c r="Z5" s="3585"/>
      <c r="AA5" s="3570"/>
      <c r="AB5" s="3570"/>
      <c r="AC5" s="3604"/>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609"/>
      <c r="Q6" s="3581"/>
      <c r="R6" s="3584"/>
      <c r="S6" s="3585"/>
      <c r="T6" s="3586"/>
      <c r="U6" s="3587"/>
      <c r="V6" s="3588"/>
      <c r="W6" s="3588"/>
      <c r="X6" s="1294"/>
      <c r="Y6" s="3586"/>
      <c r="Z6" s="3587"/>
      <c r="AA6" s="3571"/>
      <c r="AB6" s="3571"/>
      <c r="AC6" s="3605"/>
    </row>
    <row r="7" spans="1:29" s="112" customFormat="1" ht="15.75" thickBot="1">
      <c r="A7" s="363" t="s">
        <v>1932</v>
      </c>
      <c r="B7" s="364"/>
      <c r="C7" s="365">
        <f>'数据-取费表'!B2</f>
        <v>44733</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3" t="s">
        <v>1936</v>
      </c>
      <c r="Q8" s="3594"/>
      <c r="R8" s="704" t="s">
        <v>17</v>
      </c>
      <c r="S8" s="705">
        <f t="shared" si="0"/>
        <v>0</v>
      </c>
      <c r="T8" s="704" t="s">
        <v>17</v>
      </c>
      <c r="U8" s="705">
        <f t="shared" si="1"/>
        <v>0</v>
      </c>
      <c r="V8" s="704" t="s">
        <v>17</v>
      </c>
      <c r="W8" s="705">
        <f t="shared" si="2"/>
        <v>0</v>
      </c>
      <c r="X8" s="706"/>
      <c r="Y8" s="3593" t="s">
        <v>1936</v>
      </c>
      <c r="Z8" s="3594"/>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68"/>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68"/>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68"/>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68"/>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66" t="s">
        <v>1944</v>
      </c>
      <c r="Q15" s="1291" t="str">
        <f t="shared" si="6"/>
        <v>办公集聚程度</v>
      </c>
      <c r="R15" s="708" t="s">
        <v>17</v>
      </c>
      <c r="S15" s="709">
        <f t="shared" si="0"/>
        <v>100</v>
      </c>
      <c r="T15" s="708" t="s">
        <v>17</v>
      </c>
      <c r="U15" s="709">
        <f t="shared" si="1"/>
        <v>100</v>
      </c>
      <c r="V15" s="708" t="s">
        <v>17</v>
      </c>
      <c r="W15" s="709">
        <f t="shared" si="2"/>
        <v>100</v>
      </c>
      <c r="X15" s="1294"/>
      <c r="Y15" s="3559"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67"/>
      <c r="Q16" s="1291"/>
      <c r="R16" s="708"/>
      <c r="S16" s="709"/>
      <c r="T16" s="708"/>
      <c r="U16" s="709"/>
      <c r="V16" s="708"/>
      <c r="W16" s="709"/>
      <c r="X16" s="1294"/>
      <c r="Y16" s="3560"/>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67"/>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67"/>
      <c r="Q18" s="1291"/>
      <c r="R18" s="708"/>
      <c r="S18" s="709"/>
      <c r="T18" s="708"/>
      <c r="U18" s="709"/>
      <c r="V18" s="708"/>
      <c r="W18" s="709"/>
      <c r="X18" s="1294"/>
      <c r="Y18" s="3560"/>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67"/>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67"/>
      <c r="Q20" s="1291"/>
      <c r="R20" s="708"/>
      <c r="S20" s="709"/>
      <c r="T20" s="708"/>
      <c r="U20" s="709"/>
      <c r="V20" s="708"/>
      <c r="W20" s="709"/>
      <c r="X20" s="1294"/>
      <c r="Y20" s="3560"/>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67"/>
      <c r="Q22" s="1291"/>
      <c r="R22" s="708"/>
      <c r="S22" s="709"/>
      <c r="T22" s="708"/>
      <c r="U22" s="709"/>
      <c r="V22" s="708"/>
      <c r="W22" s="709"/>
      <c r="X22" s="1294"/>
      <c r="Y22" s="3560"/>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67"/>
      <c r="Q23" s="1291" t="str">
        <f>B23</f>
        <v>环境质量</v>
      </c>
      <c r="R23" s="708" t="s">
        <v>17</v>
      </c>
      <c r="S23" s="709">
        <f>F23</f>
        <v>100</v>
      </c>
      <c r="T23" s="708" t="s">
        <v>17</v>
      </c>
      <c r="U23" s="709">
        <f>H23</f>
        <v>100</v>
      </c>
      <c r="V23" s="708" t="s">
        <v>17</v>
      </c>
      <c r="W23" s="709">
        <f>J23</f>
        <v>100</v>
      </c>
      <c r="X23" s="1294"/>
      <c r="Y23" s="3560"/>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67"/>
      <c r="Q24" s="1291"/>
      <c r="R24" s="708"/>
      <c r="S24" s="709"/>
      <c r="T24" s="708"/>
      <c r="U24" s="709"/>
      <c r="V24" s="708"/>
      <c r="W24" s="709"/>
      <c r="X24" s="1294"/>
      <c r="Y24" s="3560"/>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67"/>
      <c r="Q25" s="1291" t="str">
        <f>B25</f>
        <v>毗邻道路的类型与等级</v>
      </c>
      <c r="R25" s="708" t="s">
        <v>17</v>
      </c>
      <c r="S25" s="709">
        <f>F25</f>
        <v>100</v>
      </c>
      <c r="T25" s="708" t="s">
        <v>17</v>
      </c>
      <c r="U25" s="709">
        <f>H25</f>
        <v>100</v>
      </c>
      <c r="V25" s="708" t="s">
        <v>17</v>
      </c>
      <c r="W25" s="709">
        <f>J25</f>
        <v>100</v>
      </c>
      <c r="X25" s="1294"/>
      <c r="Y25" s="3560"/>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67"/>
      <c r="Q26" s="1291"/>
      <c r="R26" s="708"/>
      <c r="S26" s="709"/>
      <c r="T26" s="708"/>
      <c r="U26" s="709"/>
      <c r="V26" s="708"/>
      <c r="W26" s="709"/>
      <c r="X26" s="1294"/>
      <c r="Y26" s="3560"/>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67"/>
      <c r="Q27" s="1291" t="str">
        <f t="shared" ref="Q27:Q47" si="11">B27</f>
        <v>楼层</v>
      </c>
      <c r="R27" s="708" t="s">
        <v>17</v>
      </c>
      <c r="S27" s="709">
        <f>F27</f>
        <v>100</v>
      </c>
      <c r="T27" s="708" t="s">
        <v>17</v>
      </c>
      <c r="U27" s="709">
        <f>H27</f>
        <v>100</v>
      </c>
      <c r="V27" s="708" t="s">
        <v>17</v>
      </c>
      <c r="W27" s="709">
        <f>J27</f>
        <v>100</v>
      </c>
      <c r="X27" s="1294"/>
      <c r="Y27" s="3560"/>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67"/>
      <c r="Q28" s="1284" t="str">
        <f t="shared" si="11"/>
        <v>朝向</v>
      </c>
      <c r="R28" s="704" t="s">
        <v>17</v>
      </c>
      <c r="S28" s="705">
        <f>F28</f>
        <v>100</v>
      </c>
      <c r="T28" s="704" t="s">
        <v>17</v>
      </c>
      <c r="U28" s="705">
        <f>H28</f>
        <v>100</v>
      </c>
      <c r="V28" s="704" t="s">
        <v>17</v>
      </c>
      <c r="W28" s="705">
        <f>J28</f>
        <v>100</v>
      </c>
      <c r="X28" s="706"/>
      <c r="Y28" s="3560"/>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67"/>
      <c r="Q29" s="1291">
        <f t="shared" si="11"/>
        <v>111</v>
      </c>
      <c r="R29" s="708" t="s">
        <v>17</v>
      </c>
      <c r="S29" s="709">
        <f t="shared" ref="S29:S47" si="12">F29</f>
        <v>100</v>
      </c>
      <c r="T29" s="708" t="s">
        <v>17</v>
      </c>
      <c r="U29" s="709">
        <f t="shared" ref="U29:U47" si="13">H29</f>
        <v>100</v>
      </c>
      <c r="V29" s="708" t="s">
        <v>17</v>
      </c>
      <c r="W29" s="709">
        <f t="shared" ref="W29:W47" si="14">J29</f>
        <v>100</v>
      </c>
      <c r="X29" s="1294"/>
      <c r="Y29" s="3560"/>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67"/>
      <c r="Q30" s="1291">
        <f t="shared" si="11"/>
        <v>111</v>
      </c>
      <c r="R30" s="708" t="s">
        <v>17</v>
      </c>
      <c r="S30" s="709">
        <f t="shared" si="12"/>
        <v>100</v>
      </c>
      <c r="T30" s="708" t="s">
        <v>17</v>
      </c>
      <c r="U30" s="709">
        <f t="shared" si="13"/>
        <v>100</v>
      </c>
      <c r="V30" s="708" t="s">
        <v>17</v>
      </c>
      <c r="W30" s="709">
        <f t="shared" si="14"/>
        <v>100</v>
      </c>
      <c r="X30" s="1294"/>
      <c r="Y30" s="3560"/>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67"/>
      <c r="Q31" s="1291">
        <f t="shared" si="11"/>
        <v>111</v>
      </c>
      <c r="R31" s="708" t="s">
        <v>17</v>
      </c>
      <c r="S31" s="709">
        <f t="shared" si="12"/>
        <v>100</v>
      </c>
      <c r="T31" s="708" t="s">
        <v>17</v>
      </c>
      <c r="U31" s="709">
        <f t="shared" si="13"/>
        <v>100</v>
      </c>
      <c r="V31" s="708" t="s">
        <v>17</v>
      </c>
      <c r="W31" s="709">
        <f t="shared" si="14"/>
        <v>100</v>
      </c>
      <c r="X31" s="1294"/>
      <c r="Y31" s="3560"/>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67"/>
      <c r="Q32" s="1291">
        <f t="shared" si="11"/>
        <v>111</v>
      </c>
      <c r="R32" s="708" t="s">
        <v>17</v>
      </c>
      <c r="S32" s="709">
        <f t="shared" si="12"/>
        <v>100</v>
      </c>
      <c r="T32" s="708" t="s">
        <v>17</v>
      </c>
      <c r="U32" s="709">
        <f t="shared" si="13"/>
        <v>100</v>
      </c>
      <c r="V32" s="708" t="s">
        <v>17</v>
      </c>
      <c r="W32" s="709">
        <f t="shared" si="14"/>
        <v>100</v>
      </c>
      <c r="X32" s="1294"/>
      <c r="Y32" s="3560"/>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61" t="s">
        <v>1949</v>
      </c>
      <c r="Q33" s="1291" t="str">
        <f t="shared" si="11"/>
        <v>建筑类型</v>
      </c>
      <c r="R33" s="708" t="s">
        <v>17</v>
      </c>
      <c r="S33" s="709">
        <f t="shared" si="12"/>
        <v>100</v>
      </c>
      <c r="T33" s="708" t="s">
        <v>17</v>
      </c>
      <c r="U33" s="709">
        <f t="shared" si="13"/>
        <v>100</v>
      </c>
      <c r="V33" s="708" t="s">
        <v>17</v>
      </c>
      <c r="W33" s="709">
        <f t="shared" si="14"/>
        <v>100</v>
      </c>
      <c r="X33" s="1294"/>
      <c r="Y33" s="3564"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62"/>
      <c r="Q34" s="710" t="str">
        <f t="shared" si="11"/>
        <v>项目建筑规模</v>
      </c>
      <c r="R34" s="711" t="s">
        <v>17</v>
      </c>
      <c r="S34" s="712" t="e">
        <f t="shared" si="12"/>
        <v>#N/A</v>
      </c>
      <c r="T34" s="711" t="s">
        <v>17</v>
      </c>
      <c r="U34" s="712" t="e">
        <f t="shared" si="13"/>
        <v>#N/A</v>
      </c>
      <c r="V34" s="711" t="s">
        <v>17</v>
      </c>
      <c r="W34" s="712" t="e">
        <f t="shared" si="14"/>
        <v>#N/A</v>
      </c>
      <c r="X34" s="713"/>
      <c r="Y34" s="3564"/>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62"/>
      <c r="Q35" s="1291" t="str">
        <f t="shared" si="11"/>
        <v>建筑结构</v>
      </c>
      <c r="R35" s="708" t="s">
        <v>17</v>
      </c>
      <c r="S35" s="709">
        <f t="shared" si="12"/>
        <v>100</v>
      </c>
      <c r="T35" s="708" t="s">
        <v>17</v>
      </c>
      <c r="U35" s="709">
        <f t="shared" si="13"/>
        <v>100</v>
      </c>
      <c r="V35" s="708" t="s">
        <v>17</v>
      </c>
      <c r="W35" s="709">
        <f t="shared" si="14"/>
        <v>100</v>
      </c>
      <c r="X35" s="1294"/>
      <c r="Y35" s="3564"/>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62"/>
      <c r="Q36" s="1291" t="str">
        <f t="shared" si="11"/>
        <v>公共部分装修</v>
      </c>
      <c r="R36" s="708" t="s">
        <v>17</v>
      </c>
      <c r="S36" s="709">
        <f t="shared" si="12"/>
        <v>100</v>
      </c>
      <c r="T36" s="708" t="s">
        <v>17</v>
      </c>
      <c r="U36" s="709">
        <f t="shared" si="13"/>
        <v>100</v>
      </c>
      <c r="V36" s="708" t="s">
        <v>17</v>
      </c>
      <c r="W36" s="709">
        <f t="shared" si="14"/>
        <v>100</v>
      </c>
      <c r="X36" s="1294"/>
      <c r="Y36" s="3564"/>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62"/>
      <c r="Q37" s="1291" t="str">
        <f t="shared" si="11"/>
        <v>成新度</v>
      </c>
      <c r="R37" s="708" t="s">
        <v>17</v>
      </c>
      <c r="S37" s="709" t="e">
        <f t="shared" si="12"/>
        <v>#N/A</v>
      </c>
      <c r="T37" s="708" t="s">
        <v>17</v>
      </c>
      <c r="U37" s="709" t="e">
        <f t="shared" si="13"/>
        <v>#N/A</v>
      </c>
      <c r="V37" s="708" t="s">
        <v>17</v>
      </c>
      <c r="W37" s="709" t="e">
        <f t="shared" si="14"/>
        <v>#N/A</v>
      </c>
      <c r="X37" s="1294"/>
      <c r="Y37" s="3564"/>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62"/>
      <c r="Q38" s="1284" t="str">
        <f t="shared" si="11"/>
        <v>写字楼等级</v>
      </c>
      <c r="R38" s="704" t="s">
        <v>17</v>
      </c>
      <c r="S38" s="705">
        <f t="shared" si="12"/>
        <v>100</v>
      </c>
      <c r="T38" s="704" t="s">
        <v>17</v>
      </c>
      <c r="U38" s="705">
        <f t="shared" si="13"/>
        <v>100</v>
      </c>
      <c r="V38" s="704" t="s">
        <v>17</v>
      </c>
      <c r="W38" s="705">
        <f t="shared" si="14"/>
        <v>100</v>
      </c>
      <c r="X38" s="706"/>
      <c r="Y38" s="3564"/>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62" t="s">
        <v>1949</v>
      </c>
      <c r="Q39" s="1291" t="str">
        <f t="shared" si="11"/>
        <v>物业管理</v>
      </c>
      <c r="R39" s="708" t="s">
        <v>17</v>
      </c>
      <c r="S39" s="709">
        <f t="shared" si="12"/>
        <v>100</v>
      </c>
      <c r="T39" s="708" t="s">
        <v>17</v>
      </c>
      <c r="U39" s="709">
        <f t="shared" si="13"/>
        <v>100</v>
      </c>
      <c r="V39" s="708" t="s">
        <v>17</v>
      </c>
      <c r="W39" s="709">
        <f t="shared" si="14"/>
        <v>100</v>
      </c>
      <c r="X39" s="1294"/>
      <c r="Y39" s="3564"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62"/>
      <c r="Q40" s="1291" t="str">
        <f t="shared" si="11"/>
        <v>市政基础设施</v>
      </c>
      <c r="R40" s="708" t="s">
        <v>17</v>
      </c>
      <c r="S40" s="709">
        <f t="shared" si="12"/>
        <v>100</v>
      </c>
      <c r="T40" s="708" t="s">
        <v>17</v>
      </c>
      <c r="U40" s="709">
        <f t="shared" si="13"/>
        <v>100</v>
      </c>
      <c r="V40" s="708" t="s">
        <v>17</v>
      </c>
      <c r="W40" s="709">
        <f t="shared" si="14"/>
        <v>100</v>
      </c>
      <c r="X40" s="1294"/>
      <c r="Y40" s="3564"/>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62"/>
      <c r="Q41" s="1291" t="str">
        <f t="shared" si="11"/>
        <v>层高</v>
      </c>
      <c r="R41" s="708" t="s">
        <v>17</v>
      </c>
      <c r="S41" s="709">
        <f t="shared" si="12"/>
        <v>100</v>
      </c>
      <c r="T41" s="708" t="s">
        <v>17</v>
      </c>
      <c r="U41" s="709">
        <f t="shared" si="13"/>
        <v>100</v>
      </c>
      <c r="V41" s="708" t="s">
        <v>17</v>
      </c>
      <c r="W41" s="709">
        <f t="shared" si="14"/>
        <v>100</v>
      </c>
      <c r="X41" s="1294"/>
      <c r="Y41" s="3564"/>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62"/>
      <c r="Q42" s="710" t="str">
        <f t="shared" si="11"/>
        <v>单套建筑面积</v>
      </c>
      <c r="R42" s="711" t="s">
        <v>17</v>
      </c>
      <c r="S42" s="712">
        <f t="shared" si="12"/>
        <v>100</v>
      </c>
      <c r="T42" s="711" t="s">
        <v>17</v>
      </c>
      <c r="U42" s="712">
        <f t="shared" si="13"/>
        <v>100</v>
      </c>
      <c r="V42" s="711" t="s">
        <v>17</v>
      </c>
      <c r="W42" s="712">
        <f t="shared" si="14"/>
        <v>100</v>
      </c>
      <c r="X42" s="713"/>
      <c r="Y42" s="3564"/>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62"/>
      <c r="Q43" s="1291" t="str">
        <f t="shared" si="11"/>
        <v>内部装修</v>
      </c>
      <c r="R43" s="708" t="s">
        <v>17</v>
      </c>
      <c r="S43" s="709">
        <f t="shared" si="12"/>
        <v>100</v>
      </c>
      <c r="T43" s="708" t="s">
        <v>17</v>
      </c>
      <c r="U43" s="709">
        <f t="shared" si="13"/>
        <v>100</v>
      </c>
      <c r="V43" s="708" t="s">
        <v>17</v>
      </c>
      <c r="W43" s="709">
        <f t="shared" si="14"/>
        <v>100</v>
      </c>
      <c r="X43" s="1294"/>
      <c r="Y43" s="3564"/>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62"/>
      <c r="Q44" s="1291" t="str">
        <f t="shared" si="11"/>
        <v>内部装修维护情况</v>
      </c>
      <c r="R44" s="708" t="s">
        <v>17</v>
      </c>
      <c r="S44" s="709">
        <f t="shared" si="12"/>
        <v>100</v>
      </c>
      <c r="T44" s="708" t="s">
        <v>17</v>
      </c>
      <c r="U44" s="709">
        <f t="shared" si="13"/>
        <v>100</v>
      </c>
      <c r="V44" s="708" t="s">
        <v>17</v>
      </c>
      <c r="W44" s="709">
        <f t="shared" si="14"/>
        <v>100</v>
      </c>
      <c r="X44" s="1294"/>
      <c r="Y44" s="3564"/>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62"/>
      <c r="Q45" s="1284">
        <f t="shared" si="11"/>
        <v>111</v>
      </c>
      <c r="R45" s="704" t="s">
        <v>17</v>
      </c>
      <c r="S45" s="705">
        <f t="shared" si="12"/>
        <v>100</v>
      </c>
      <c r="T45" s="704" t="s">
        <v>17</v>
      </c>
      <c r="U45" s="705">
        <f t="shared" si="13"/>
        <v>100</v>
      </c>
      <c r="V45" s="704" t="s">
        <v>17</v>
      </c>
      <c r="W45" s="705">
        <f t="shared" si="14"/>
        <v>100</v>
      </c>
      <c r="X45" s="706"/>
      <c r="Y45" s="3564"/>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62"/>
      <c r="Q46" s="1291">
        <f t="shared" si="11"/>
        <v>111</v>
      </c>
      <c r="R46" s="708" t="s">
        <v>17</v>
      </c>
      <c r="S46" s="709">
        <f t="shared" si="12"/>
        <v>100</v>
      </c>
      <c r="T46" s="708" t="s">
        <v>17</v>
      </c>
      <c r="U46" s="709">
        <f t="shared" si="13"/>
        <v>100</v>
      </c>
      <c r="V46" s="708" t="s">
        <v>17</v>
      </c>
      <c r="W46" s="709">
        <f t="shared" si="14"/>
        <v>100</v>
      </c>
      <c r="X46" s="1294"/>
      <c r="Y46" s="3564"/>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63"/>
      <c r="Q47" s="1291">
        <f t="shared" si="11"/>
        <v>111</v>
      </c>
      <c r="R47" s="708" t="s">
        <v>17</v>
      </c>
      <c r="S47" s="709">
        <f t="shared" si="12"/>
        <v>100</v>
      </c>
      <c r="T47" s="708" t="s">
        <v>17</v>
      </c>
      <c r="U47" s="709">
        <f t="shared" si="13"/>
        <v>100</v>
      </c>
      <c r="V47" s="708" t="s">
        <v>17</v>
      </c>
      <c r="W47" s="709">
        <f t="shared" si="14"/>
        <v>100</v>
      </c>
      <c r="X47" s="1294"/>
      <c r="Y47" s="3565"/>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68" t="str">
        <f>A48</f>
        <v>成交单价（元/平方米）</v>
      </c>
      <c r="Q48" s="3557"/>
      <c r="R48" s="3558">
        <f>E48</f>
        <v>0</v>
      </c>
      <c r="S48" s="3558"/>
      <c r="T48" s="3558">
        <f>G48</f>
        <v>0</v>
      </c>
      <c r="U48" s="3558"/>
      <c r="V48" s="3558">
        <f>I48</f>
        <v>0</v>
      </c>
      <c r="W48" s="3558"/>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68" t="str">
        <f>A49</f>
        <v>比较价值（元/平方米）</v>
      </c>
      <c r="Q49" s="3557"/>
      <c r="R49" s="3558" t="e">
        <f>IF(F1="售价",ROUND(PRODUCT(R48,AA7:AA47),0),ROUND(PRODUCT(R48,AA7:AA47),1))</f>
        <v>#DIV/0!</v>
      </c>
      <c r="S49" s="3558"/>
      <c r="T49" s="3558" t="e">
        <f>IF(F1="售价",ROUND(PRODUCT(T48,AB7:AB47),0),ROUND(PRODUCT(T48,AB7:AB47),1))</f>
        <v>#DIV/0!</v>
      </c>
      <c r="U49" s="3558"/>
      <c r="V49" s="3558" t="e">
        <f>IF(F1="售价",ROUND(PRODUCT(V48,AC7:AC47),0),ROUND(PRODUCT(V48,AC7:AC47),1))</f>
        <v>#DIV/0!</v>
      </c>
      <c r="W49" s="3558"/>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00" t="str">
        <f>A50</f>
        <v>估价对象XX用房的比较价值（楼面单价，元/平方米）</v>
      </c>
      <c r="Q50" s="3601"/>
      <c r="R50" s="3602" t="e">
        <f>IF(F1="售价",ROUND(IF(D49="简单平均",AVERAGE(R49:V49),R49*F49+T49*H49+V49*J49),0),ROUND(IF(D49="简单平均",AVERAGE(R49:V49),R49*F49+T49*H49+V49*J49),1))</f>
        <v>#DIV/0!</v>
      </c>
      <c r="S50" s="3602"/>
      <c r="T50" s="3602"/>
      <c r="U50" s="3602"/>
      <c r="V50" s="3602"/>
      <c r="W50" s="3602"/>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882"/>
      <c r="M5" s="883"/>
      <c r="N5" s="883"/>
      <c r="O5" s="883"/>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562" t="s">
        <v>1931</v>
      </c>
      <c r="L6" s="882"/>
      <c r="M6" s="883"/>
      <c r="N6" s="883"/>
      <c r="O6" s="883"/>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44733</v>
      </c>
      <c r="D7" s="366">
        <v>100</v>
      </c>
      <c r="E7" s="367"/>
      <c r="F7" s="368">
        <f>SUMIF(52:52,YEAR(E7)&amp;"-"&amp;MONTH(E7),53:53)</f>
        <v>0</v>
      </c>
      <c r="G7" s="367"/>
      <c r="H7" s="366">
        <f>SUMIF(52:52,YEAR(G7)&amp;"-"&amp;MONTH(G7),53:53)</f>
        <v>0</v>
      </c>
      <c r="I7" s="367"/>
      <c r="J7" s="366">
        <f>SUMIF(52:52,YEAR(I7)&amp;"-"&amp;MONTH(I7),53:53)</f>
        <v>0</v>
      </c>
      <c r="K7" s="563"/>
      <c r="L7" s="884"/>
      <c r="M7" s="885"/>
      <c r="N7" s="885"/>
      <c r="O7" s="885"/>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3" t="s">
        <v>1936</v>
      </c>
      <c r="Q8" s="3594"/>
      <c r="R8" s="704" t="s">
        <v>17</v>
      </c>
      <c r="S8" s="705">
        <f t="shared" si="0"/>
        <v>0</v>
      </c>
      <c r="T8" s="704" t="s">
        <v>17</v>
      </c>
      <c r="U8" s="705">
        <f t="shared" si="1"/>
        <v>0</v>
      </c>
      <c r="V8" s="704" t="s">
        <v>17</v>
      </c>
      <c r="W8" s="705">
        <f t="shared" si="2"/>
        <v>0</v>
      </c>
      <c r="X8" s="706"/>
      <c r="Y8" s="3593" t="s">
        <v>1936</v>
      </c>
      <c r="Z8" s="3594"/>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59" t="s">
        <v>1944</v>
      </c>
      <c r="Q15" s="1291" t="str">
        <f t="shared" si="6"/>
        <v>产业集聚程度</v>
      </c>
      <c r="R15" s="708" t="s">
        <v>17</v>
      </c>
      <c r="S15" s="709">
        <f t="shared" si="0"/>
        <v>100</v>
      </c>
      <c r="T15" s="708" t="s">
        <v>17</v>
      </c>
      <c r="U15" s="709">
        <f t="shared" si="1"/>
        <v>100</v>
      </c>
      <c r="V15" s="708" t="s">
        <v>17</v>
      </c>
      <c r="W15" s="709">
        <f t="shared" si="2"/>
        <v>100</v>
      </c>
      <c r="X15" s="1294"/>
      <c r="Y15" s="3559"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60"/>
      <c r="Q16" s="1291"/>
      <c r="R16" s="708"/>
      <c r="S16" s="709"/>
      <c r="T16" s="708"/>
      <c r="U16" s="709"/>
      <c r="V16" s="708"/>
      <c r="W16" s="709"/>
      <c r="X16" s="1294"/>
      <c r="Y16" s="3560"/>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0"/>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60"/>
      <c r="Q18" s="1291"/>
      <c r="R18" s="708"/>
      <c r="S18" s="709"/>
      <c r="T18" s="708"/>
      <c r="U18" s="709"/>
      <c r="V18" s="708"/>
      <c r="W18" s="709"/>
      <c r="X18" s="1294"/>
      <c r="Y18" s="3560"/>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0"/>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60"/>
      <c r="Q20" s="1291"/>
      <c r="R20" s="708"/>
      <c r="S20" s="709"/>
      <c r="T20" s="708"/>
      <c r="U20" s="709"/>
      <c r="V20" s="708"/>
      <c r="W20" s="709"/>
      <c r="X20" s="1294"/>
      <c r="Y20" s="3560"/>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0"/>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60"/>
      <c r="Q22" s="1291"/>
      <c r="R22" s="708"/>
      <c r="S22" s="709"/>
      <c r="T22" s="708"/>
      <c r="U22" s="709"/>
      <c r="V22" s="708"/>
      <c r="W22" s="709"/>
      <c r="X22" s="1294"/>
      <c r="Y22" s="3560"/>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0"/>
      <c r="Q23" s="1291" t="str">
        <f>B23</f>
        <v>环境质量</v>
      </c>
      <c r="R23" s="708" t="s">
        <v>17</v>
      </c>
      <c r="S23" s="709">
        <f>F23</f>
        <v>100</v>
      </c>
      <c r="T23" s="708" t="s">
        <v>17</v>
      </c>
      <c r="U23" s="709">
        <f>H23</f>
        <v>100</v>
      </c>
      <c r="V23" s="708" t="s">
        <v>17</v>
      </c>
      <c r="W23" s="709">
        <f>J23</f>
        <v>100</v>
      </c>
      <c r="X23" s="1294"/>
      <c r="Y23" s="3560"/>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60"/>
      <c r="Q24" s="1291"/>
      <c r="R24" s="708"/>
      <c r="S24" s="709"/>
      <c r="T24" s="708"/>
      <c r="U24" s="709"/>
      <c r="V24" s="708"/>
      <c r="W24" s="709"/>
      <c r="X24" s="1294"/>
      <c r="Y24" s="3560"/>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0"/>
      <c r="Q25" s="1291">
        <f>B25</f>
        <v>111</v>
      </c>
      <c r="R25" s="708" t="s">
        <v>17</v>
      </c>
      <c r="S25" s="709">
        <f>F25</f>
        <v>100</v>
      </c>
      <c r="T25" s="708" t="s">
        <v>17</v>
      </c>
      <c r="U25" s="709">
        <f>H25</f>
        <v>100</v>
      </c>
      <c r="V25" s="708" t="s">
        <v>17</v>
      </c>
      <c r="W25" s="709">
        <f>J25</f>
        <v>100</v>
      </c>
      <c r="X25" s="1294"/>
      <c r="Y25" s="3560"/>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0"/>
      <c r="Q26" s="1291">
        <f t="shared" ref="Q26:Q40" si="11">B26</f>
        <v>111</v>
      </c>
      <c r="R26" s="708" t="s">
        <v>17</v>
      </c>
      <c r="S26" s="709">
        <f>F26</f>
        <v>100</v>
      </c>
      <c r="T26" s="708" t="s">
        <v>17</v>
      </c>
      <c r="U26" s="709">
        <f>H26</f>
        <v>100</v>
      </c>
      <c r="V26" s="708" t="s">
        <v>17</v>
      </c>
      <c r="W26" s="709">
        <f>J26</f>
        <v>100</v>
      </c>
      <c r="X26" s="1294"/>
      <c r="Y26" s="3560"/>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0"/>
      <c r="Q27" s="1284">
        <f t="shared" si="11"/>
        <v>111</v>
      </c>
      <c r="R27" s="704" t="s">
        <v>17</v>
      </c>
      <c r="S27" s="705">
        <f>F27</f>
        <v>100</v>
      </c>
      <c r="T27" s="704" t="s">
        <v>17</v>
      </c>
      <c r="U27" s="705">
        <f>H27</f>
        <v>100</v>
      </c>
      <c r="V27" s="704" t="s">
        <v>17</v>
      </c>
      <c r="W27" s="705">
        <f>J27</f>
        <v>100</v>
      </c>
      <c r="X27" s="706"/>
      <c r="Y27" s="3560"/>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0"/>
      <c r="Q28" s="1291">
        <f t="shared" si="11"/>
        <v>111</v>
      </c>
      <c r="R28" s="708" t="s">
        <v>17</v>
      </c>
      <c r="S28" s="709">
        <f t="shared" ref="S28:S40" si="12">F28</f>
        <v>100</v>
      </c>
      <c r="T28" s="708" t="s">
        <v>17</v>
      </c>
      <c r="U28" s="709">
        <f t="shared" ref="U28:U40" si="13">H28</f>
        <v>100</v>
      </c>
      <c r="V28" s="708" t="s">
        <v>17</v>
      </c>
      <c r="W28" s="709">
        <f t="shared" ref="W28:W40" si="14">J28</f>
        <v>100</v>
      </c>
      <c r="X28" s="1294"/>
      <c r="Y28" s="3560"/>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64"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4"/>
      <c r="Q30" s="710" t="str">
        <f t="shared" si="11"/>
        <v>项目建筑规模</v>
      </c>
      <c r="R30" s="711" t="s">
        <v>17</v>
      </c>
      <c r="S30" s="712" t="e">
        <f t="shared" si="12"/>
        <v>#N/A</v>
      </c>
      <c r="T30" s="711" t="s">
        <v>17</v>
      </c>
      <c r="U30" s="712" t="e">
        <f t="shared" si="13"/>
        <v>#N/A</v>
      </c>
      <c r="V30" s="711" t="s">
        <v>17</v>
      </c>
      <c r="W30" s="712" t="e">
        <f t="shared" si="14"/>
        <v>#N/A</v>
      </c>
      <c r="X30" s="713"/>
      <c r="Y30" s="3564"/>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4"/>
      <c r="Q31" s="1291" t="str">
        <f t="shared" si="11"/>
        <v>建筑结构</v>
      </c>
      <c r="R31" s="708" t="s">
        <v>17</v>
      </c>
      <c r="S31" s="709">
        <f t="shared" si="12"/>
        <v>100</v>
      </c>
      <c r="T31" s="708" t="s">
        <v>17</v>
      </c>
      <c r="U31" s="709">
        <f t="shared" si="13"/>
        <v>100</v>
      </c>
      <c r="V31" s="708" t="s">
        <v>17</v>
      </c>
      <c r="W31" s="709">
        <f t="shared" si="14"/>
        <v>100</v>
      </c>
      <c r="X31" s="1294"/>
      <c r="Y31" s="3564"/>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4"/>
      <c r="Q32" s="1291" t="str">
        <f t="shared" si="11"/>
        <v>公共部分装修</v>
      </c>
      <c r="R32" s="708" t="s">
        <v>17</v>
      </c>
      <c r="S32" s="709">
        <f t="shared" si="12"/>
        <v>100</v>
      </c>
      <c r="T32" s="708" t="s">
        <v>17</v>
      </c>
      <c r="U32" s="709">
        <f t="shared" si="13"/>
        <v>100</v>
      </c>
      <c r="V32" s="708" t="s">
        <v>17</v>
      </c>
      <c r="W32" s="709">
        <f t="shared" si="14"/>
        <v>100</v>
      </c>
      <c r="X32" s="1294"/>
      <c r="Y32" s="3564"/>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4"/>
      <c r="Q33" s="1291" t="str">
        <f t="shared" si="11"/>
        <v>成新度</v>
      </c>
      <c r="R33" s="708" t="s">
        <v>17</v>
      </c>
      <c r="S33" s="709" t="e">
        <f t="shared" si="12"/>
        <v>#N/A</v>
      </c>
      <c r="T33" s="708" t="s">
        <v>17</v>
      </c>
      <c r="U33" s="709" t="e">
        <f t="shared" si="13"/>
        <v>#N/A</v>
      </c>
      <c r="V33" s="708" t="s">
        <v>17</v>
      </c>
      <c r="W33" s="709" t="e">
        <f t="shared" si="14"/>
        <v>#N/A</v>
      </c>
      <c r="X33" s="1294"/>
      <c r="Y33" s="3564"/>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4"/>
      <c r="Q34" s="1284" t="str">
        <f t="shared" si="11"/>
        <v>物业管理</v>
      </c>
      <c r="R34" s="704" t="s">
        <v>17</v>
      </c>
      <c r="S34" s="705">
        <f t="shared" si="12"/>
        <v>100</v>
      </c>
      <c r="T34" s="704" t="s">
        <v>17</v>
      </c>
      <c r="U34" s="705">
        <f t="shared" si="13"/>
        <v>100</v>
      </c>
      <c r="V34" s="704" t="s">
        <v>17</v>
      </c>
      <c r="W34" s="705">
        <f t="shared" si="14"/>
        <v>100</v>
      </c>
      <c r="X34" s="706"/>
      <c r="Y34" s="3564"/>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4" t="s">
        <v>1949</v>
      </c>
      <c r="Q35" s="1291" t="str">
        <f t="shared" si="11"/>
        <v>市政基础设施</v>
      </c>
      <c r="R35" s="708" t="s">
        <v>17</v>
      </c>
      <c r="S35" s="709">
        <f t="shared" si="12"/>
        <v>100</v>
      </c>
      <c r="T35" s="708" t="s">
        <v>17</v>
      </c>
      <c r="U35" s="709">
        <f t="shared" si="13"/>
        <v>100</v>
      </c>
      <c r="V35" s="708" t="s">
        <v>17</v>
      </c>
      <c r="W35" s="709">
        <f t="shared" si="14"/>
        <v>100</v>
      </c>
      <c r="X35" s="1294"/>
      <c r="Y35" s="3564"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4"/>
      <c r="Q36" s="1291" t="str">
        <f t="shared" si="11"/>
        <v>内部装修</v>
      </c>
      <c r="R36" s="708" t="s">
        <v>17</v>
      </c>
      <c r="S36" s="709">
        <f t="shared" si="12"/>
        <v>100</v>
      </c>
      <c r="T36" s="708" t="s">
        <v>17</v>
      </c>
      <c r="U36" s="709">
        <f t="shared" si="13"/>
        <v>100</v>
      </c>
      <c r="V36" s="708" t="s">
        <v>17</v>
      </c>
      <c r="W36" s="709">
        <f t="shared" si="14"/>
        <v>100</v>
      </c>
      <c r="X36" s="1294"/>
      <c r="Y36" s="3564"/>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4"/>
      <c r="Q37" s="1291" t="str">
        <f t="shared" si="11"/>
        <v>内部装修状况</v>
      </c>
      <c r="R37" s="708" t="s">
        <v>17</v>
      </c>
      <c r="S37" s="709">
        <f t="shared" si="12"/>
        <v>100</v>
      </c>
      <c r="T37" s="708" t="s">
        <v>17</v>
      </c>
      <c r="U37" s="709">
        <f t="shared" si="13"/>
        <v>100</v>
      </c>
      <c r="V37" s="708" t="s">
        <v>17</v>
      </c>
      <c r="W37" s="709">
        <f t="shared" si="14"/>
        <v>100</v>
      </c>
      <c r="X37" s="1294"/>
      <c r="Y37" s="3564"/>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4"/>
      <c r="Q38" s="710">
        <f t="shared" si="11"/>
        <v>111</v>
      </c>
      <c r="R38" s="711" t="s">
        <v>17</v>
      </c>
      <c r="S38" s="712">
        <f t="shared" si="12"/>
        <v>100</v>
      </c>
      <c r="T38" s="711" t="s">
        <v>17</v>
      </c>
      <c r="U38" s="712">
        <f t="shared" si="13"/>
        <v>100</v>
      </c>
      <c r="V38" s="711" t="s">
        <v>17</v>
      </c>
      <c r="W38" s="712">
        <f t="shared" si="14"/>
        <v>100</v>
      </c>
      <c r="X38" s="713"/>
      <c r="Y38" s="3564"/>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4"/>
      <c r="Q39" s="1291">
        <f t="shared" si="11"/>
        <v>111</v>
      </c>
      <c r="R39" s="708" t="s">
        <v>17</v>
      </c>
      <c r="S39" s="709">
        <f t="shared" si="12"/>
        <v>100</v>
      </c>
      <c r="T39" s="708" t="s">
        <v>17</v>
      </c>
      <c r="U39" s="709">
        <f t="shared" si="13"/>
        <v>100</v>
      </c>
      <c r="V39" s="708" t="s">
        <v>17</v>
      </c>
      <c r="W39" s="709">
        <f t="shared" si="14"/>
        <v>100</v>
      </c>
      <c r="X39" s="1294"/>
      <c r="Y39" s="3564"/>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5"/>
      <c r="Q40" s="1291">
        <f t="shared" si="11"/>
        <v>111</v>
      </c>
      <c r="R40" s="708" t="s">
        <v>17</v>
      </c>
      <c r="S40" s="709">
        <f t="shared" si="12"/>
        <v>100</v>
      </c>
      <c r="T40" s="708" t="s">
        <v>17</v>
      </c>
      <c r="U40" s="709">
        <f t="shared" si="13"/>
        <v>100</v>
      </c>
      <c r="V40" s="708" t="s">
        <v>17</v>
      </c>
      <c r="W40" s="709">
        <f t="shared" si="14"/>
        <v>100</v>
      </c>
      <c r="X40" s="1294"/>
      <c r="Y40" s="3565"/>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57" t="str">
        <f>A41</f>
        <v>成交单价（元/平方米）</v>
      </c>
      <c r="Q41" s="3557"/>
      <c r="R41" s="3558">
        <f>E41</f>
        <v>0</v>
      </c>
      <c r="S41" s="3558"/>
      <c r="T41" s="3558">
        <f>G41</f>
        <v>0</v>
      </c>
      <c r="U41" s="3558"/>
      <c r="V41" s="3558">
        <f>I41</f>
        <v>0</v>
      </c>
      <c r="W41" s="3558"/>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57" t="str">
        <f>A42</f>
        <v>比较价值（元/平方米）</v>
      </c>
      <c r="Q42" s="3557"/>
      <c r="R42" s="3558" t="e">
        <f>IF(F1="售价",ROUND(PRODUCT(R41,AA7:AA40),0),ROUND(PRODUCT(R41,AA7:AA40),1))</f>
        <v>#DIV/0!</v>
      </c>
      <c r="S42" s="3558"/>
      <c r="T42" s="3558" t="e">
        <f>IF(F1="售价",ROUND(PRODUCT(T41,AB7:AB40),0),ROUND(PRODUCT(T41,AB7:AB40),1))</f>
        <v>#DIV/0!</v>
      </c>
      <c r="U42" s="3558"/>
      <c r="V42" s="3558" t="e">
        <f>IF(F1="售价",ROUND(PRODUCT(V41,AC7:AC40),0),ROUND(PRODUCT(V41,AC7:AC40),1))</f>
        <v>#DIV/0!</v>
      </c>
      <c r="W42" s="3558"/>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2022年6月21日</v>
      </c>
    </row>
    <row r="16" spans="1:1" ht="18.75">
      <c r="A16" s="1424" t="s">
        <v>1147</v>
      </c>
    </row>
    <row r="17" spans="1:1" ht="75">
      <c r="A17" s="1419" t="s">
        <v>1148</v>
      </c>
    </row>
    <row r="18" spans="1:1" ht="36">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44733</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93" t="s">
        <v>1933</v>
      </c>
      <c r="Q7" s="3595"/>
      <c r="R7" s="704" t="s">
        <v>17</v>
      </c>
      <c r="S7" s="705">
        <f t="shared" ref="S7:S14" si="0">F7</f>
        <v>0</v>
      </c>
      <c r="T7" s="704" t="s">
        <v>17</v>
      </c>
      <c r="U7" s="705">
        <f t="shared" ref="U7:U14" si="1">H7</f>
        <v>0</v>
      </c>
      <c r="V7" s="704" t="s">
        <v>17</v>
      </c>
      <c r="W7" s="705">
        <f t="shared" ref="W7:W14" si="2">J7</f>
        <v>0</v>
      </c>
      <c r="X7" s="706"/>
      <c r="Y7" s="3593" t="s">
        <v>1933</v>
      </c>
      <c r="Z7" s="3594"/>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57" t="s">
        <v>1939</v>
      </c>
      <c r="Q9" s="1284" t="str">
        <f t="shared" ref="Q9:Q14" si="6">B9</f>
        <v>用途</v>
      </c>
      <c r="R9" s="704" t="s">
        <v>17</v>
      </c>
      <c r="S9" s="705">
        <f t="shared" si="0"/>
        <v>100</v>
      </c>
      <c r="T9" s="704" t="s">
        <v>17</v>
      </c>
      <c r="U9" s="705">
        <f t="shared" si="1"/>
        <v>100</v>
      </c>
      <c r="V9" s="704" t="s">
        <v>17</v>
      </c>
      <c r="W9" s="705">
        <f t="shared" si="2"/>
        <v>100</v>
      </c>
      <c r="X9" s="706"/>
      <c r="Y9" s="3429"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57"/>
      <c r="Q11" s="1284">
        <f t="shared" si="6"/>
        <v>111</v>
      </c>
      <c r="R11" s="704" t="s">
        <v>17</v>
      </c>
      <c r="S11" s="705">
        <f t="shared" si="0"/>
        <v>100</v>
      </c>
      <c r="T11" s="704" t="s">
        <v>17</v>
      </c>
      <c r="U11" s="705">
        <f t="shared" si="1"/>
        <v>100</v>
      </c>
      <c r="V11" s="704" t="s">
        <v>17</v>
      </c>
      <c r="W11" s="705">
        <f t="shared" si="2"/>
        <v>100</v>
      </c>
      <c r="X11" s="706"/>
      <c r="Y11" s="3429"/>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59" t="s">
        <v>1944</v>
      </c>
      <c r="Q14" s="1291" t="str">
        <f t="shared" si="6"/>
        <v>交通便捷度</v>
      </c>
      <c r="R14" s="708" t="s">
        <v>17</v>
      </c>
      <c r="S14" s="709">
        <f t="shared" si="0"/>
        <v>100</v>
      </c>
      <c r="T14" s="708" t="s">
        <v>17</v>
      </c>
      <c r="U14" s="709">
        <f t="shared" si="1"/>
        <v>100</v>
      </c>
      <c r="V14" s="708" t="s">
        <v>17</v>
      </c>
      <c r="W14" s="709">
        <f t="shared" si="2"/>
        <v>100</v>
      </c>
      <c r="X14" s="1294"/>
      <c r="Y14" s="3559"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60"/>
      <c r="Q15" s="1291"/>
      <c r="R15" s="708"/>
      <c r="S15" s="709"/>
      <c r="T15" s="708"/>
      <c r="U15" s="709"/>
      <c r="V15" s="708"/>
      <c r="W15" s="709"/>
      <c r="X15" s="1294"/>
      <c r="Y15" s="3560"/>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60"/>
      <c r="Q16" s="1291" t="str">
        <f>B16</f>
        <v>公共配套设施</v>
      </c>
      <c r="R16" s="708" t="s">
        <v>17</v>
      </c>
      <c r="S16" s="709">
        <f>F16</f>
        <v>100</v>
      </c>
      <c r="T16" s="708" t="s">
        <v>17</v>
      </c>
      <c r="U16" s="709">
        <f>H16</f>
        <v>100</v>
      </c>
      <c r="V16" s="708" t="s">
        <v>17</v>
      </c>
      <c r="W16" s="709">
        <f>J16</f>
        <v>100</v>
      </c>
      <c r="X16" s="1294"/>
      <c r="Y16" s="3560"/>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60"/>
      <c r="Q17" s="1291"/>
      <c r="R17" s="708"/>
      <c r="S17" s="709"/>
      <c r="T17" s="708"/>
      <c r="U17" s="709"/>
      <c r="V17" s="708"/>
      <c r="W17" s="709"/>
      <c r="X17" s="1294"/>
      <c r="Y17" s="3560"/>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60"/>
      <c r="Q18" s="1291" t="str">
        <f>B18</f>
        <v>基础设施水平</v>
      </c>
      <c r="R18" s="708" t="s">
        <v>17</v>
      </c>
      <c r="S18" s="709">
        <f>F18</f>
        <v>100</v>
      </c>
      <c r="T18" s="708" t="s">
        <v>17</v>
      </c>
      <c r="U18" s="709">
        <f>H18</f>
        <v>100</v>
      </c>
      <c r="V18" s="708" t="s">
        <v>17</v>
      </c>
      <c r="W18" s="709">
        <f>J18</f>
        <v>100</v>
      </c>
      <c r="X18" s="1294"/>
      <c r="Y18" s="3560"/>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60"/>
      <c r="Q19" s="1291"/>
      <c r="R19" s="708"/>
      <c r="S19" s="709"/>
      <c r="T19" s="708"/>
      <c r="U19" s="709"/>
      <c r="V19" s="708"/>
      <c r="W19" s="709"/>
      <c r="X19" s="1294"/>
      <c r="Y19" s="3560"/>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60"/>
      <c r="Q20" s="1291" t="str">
        <f>B20</f>
        <v>自然及人文环境</v>
      </c>
      <c r="R20" s="708" t="s">
        <v>17</v>
      </c>
      <c r="S20" s="709">
        <f>F20</f>
        <v>100</v>
      </c>
      <c r="T20" s="708" t="s">
        <v>17</v>
      </c>
      <c r="U20" s="709">
        <f>H20</f>
        <v>100</v>
      </c>
      <c r="V20" s="708" t="s">
        <v>17</v>
      </c>
      <c r="W20" s="709">
        <f>J20</f>
        <v>100</v>
      </c>
      <c r="X20" s="1294"/>
      <c r="Y20" s="3560"/>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60"/>
      <c r="Q21" s="1291"/>
      <c r="R21" s="708"/>
      <c r="S21" s="709"/>
      <c r="T21" s="708"/>
      <c r="U21" s="709"/>
      <c r="V21" s="708"/>
      <c r="W21" s="709"/>
      <c r="X21" s="1294"/>
      <c r="Y21" s="3560"/>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60"/>
      <c r="Q22" s="1291" t="str">
        <f>B22</f>
        <v>楼层</v>
      </c>
      <c r="R22" s="708" t="s">
        <v>17</v>
      </c>
      <c r="S22" s="709">
        <f>F22</f>
        <v>100</v>
      </c>
      <c r="T22" s="708" t="s">
        <v>17</v>
      </c>
      <c r="U22" s="709">
        <f>H22</f>
        <v>100</v>
      </c>
      <c r="V22" s="708" t="s">
        <v>17</v>
      </c>
      <c r="W22" s="709">
        <f>J22</f>
        <v>100</v>
      </c>
      <c r="X22" s="1294"/>
      <c r="Y22" s="3560"/>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60"/>
      <c r="Q23" s="1291">
        <f>B23</f>
        <v>111</v>
      </c>
      <c r="R23" s="708" t="s">
        <v>17</v>
      </c>
      <c r="S23" s="709">
        <f>F23</f>
        <v>100</v>
      </c>
      <c r="T23" s="708" t="s">
        <v>17</v>
      </c>
      <c r="U23" s="709">
        <f>H23</f>
        <v>100</v>
      </c>
      <c r="V23" s="708" t="s">
        <v>17</v>
      </c>
      <c r="W23" s="709">
        <f>J23</f>
        <v>100</v>
      </c>
      <c r="X23" s="1294"/>
      <c r="Y23" s="3560"/>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60"/>
      <c r="Q24" s="1291">
        <f t="shared" ref="Q24:Q36" si="11">B24</f>
        <v>111</v>
      </c>
      <c r="R24" s="708" t="s">
        <v>17</v>
      </c>
      <c r="S24" s="709">
        <f>F24</f>
        <v>100</v>
      </c>
      <c r="T24" s="708" t="s">
        <v>17</v>
      </c>
      <c r="U24" s="709">
        <f>H24</f>
        <v>100</v>
      </c>
      <c r="V24" s="708" t="s">
        <v>17</v>
      </c>
      <c r="W24" s="709">
        <f>J24</f>
        <v>100</v>
      </c>
      <c r="X24" s="1294"/>
      <c r="Y24" s="3560"/>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60"/>
      <c r="Q25" s="1284">
        <f t="shared" si="11"/>
        <v>111</v>
      </c>
      <c r="R25" s="704" t="s">
        <v>17</v>
      </c>
      <c r="S25" s="705">
        <f>F25</f>
        <v>100</v>
      </c>
      <c r="T25" s="704" t="s">
        <v>17</v>
      </c>
      <c r="U25" s="705">
        <f>H25</f>
        <v>100</v>
      </c>
      <c r="V25" s="704" t="s">
        <v>17</v>
      </c>
      <c r="W25" s="705">
        <f>J25</f>
        <v>100</v>
      </c>
      <c r="X25" s="706"/>
      <c r="Y25" s="3560"/>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4"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64"/>
      <c r="Q27" s="710" t="str">
        <f t="shared" si="11"/>
        <v>项目停车位配比</v>
      </c>
      <c r="R27" s="711" t="s">
        <v>17</v>
      </c>
      <c r="S27" s="712">
        <f t="shared" si="12"/>
        <v>100</v>
      </c>
      <c r="T27" s="711" t="s">
        <v>17</v>
      </c>
      <c r="U27" s="712">
        <f t="shared" si="13"/>
        <v>100</v>
      </c>
      <c r="V27" s="711" t="s">
        <v>17</v>
      </c>
      <c r="W27" s="712">
        <f t="shared" si="14"/>
        <v>100</v>
      </c>
      <c r="X27" s="713"/>
      <c r="Y27" s="3564"/>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64"/>
      <c r="Q28" s="1291" t="str">
        <f t="shared" si="11"/>
        <v>公共部分装修</v>
      </c>
      <c r="R28" s="708" t="s">
        <v>17</v>
      </c>
      <c r="S28" s="709">
        <f t="shared" si="12"/>
        <v>100</v>
      </c>
      <c r="T28" s="708" t="s">
        <v>17</v>
      </c>
      <c r="U28" s="709">
        <f t="shared" si="13"/>
        <v>100</v>
      </c>
      <c r="V28" s="708" t="s">
        <v>17</v>
      </c>
      <c r="W28" s="709">
        <f t="shared" si="14"/>
        <v>100</v>
      </c>
      <c r="X28" s="1294"/>
      <c r="Y28" s="3564"/>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64"/>
      <c r="Q29" s="1291" t="str">
        <f t="shared" si="11"/>
        <v>成新率</v>
      </c>
      <c r="R29" s="708" t="s">
        <v>17</v>
      </c>
      <c r="S29" s="709" t="e">
        <f t="shared" si="12"/>
        <v>#N/A</v>
      </c>
      <c r="T29" s="708" t="s">
        <v>17</v>
      </c>
      <c r="U29" s="709" t="e">
        <f t="shared" si="13"/>
        <v>#N/A</v>
      </c>
      <c r="V29" s="708" t="s">
        <v>17</v>
      </c>
      <c r="W29" s="709" t="e">
        <f t="shared" si="14"/>
        <v>#N/A</v>
      </c>
      <c r="X29" s="1294"/>
      <c r="Y29" s="3564"/>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64"/>
      <c r="Q30" s="1291" t="str">
        <f t="shared" si="11"/>
        <v>物业等级</v>
      </c>
      <c r="R30" s="708" t="s">
        <v>17</v>
      </c>
      <c r="S30" s="709">
        <f t="shared" si="12"/>
        <v>100</v>
      </c>
      <c r="T30" s="708" t="s">
        <v>17</v>
      </c>
      <c r="U30" s="709">
        <f t="shared" si="13"/>
        <v>100</v>
      </c>
      <c r="V30" s="708" t="s">
        <v>17</v>
      </c>
      <c r="W30" s="709">
        <f t="shared" si="14"/>
        <v>100</v>
      </c>
      <c r="X30" s="1294"/>
      <c r="Y30" s="3564"/>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64"/>
      <c r="Q31" s="1284" t="str">
        <f t="shared" si="11"/>
        <v>停车位面积</v>
      </c>
      <c r="R31" s="704" t="s">
        <v>17</v>
      </c>
      <c r="S31" s="705" t="e">
        <f t="shared" si="12"/>
        <v>#N/A</v>
      </c>
      <c r="T31" s="704" t="s">
        <v>17</v>
      </c>
      <c r="U31" s="705" t="e">
        <f t="shared" si="13"/>
        <v>#N/A</v>
      </c>
      <c r="V31" s="704" t="s">
        <v>17</v>
      </c>
      <c r="W31" s="705" t="e">
        <f t="shared" si="14"/>
        <v>#N/A</v>
      </c>
      <c r="X31" s="706"/>
      <c r="Y31" s="3564"/>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64" t="s">
        <v>1949</v>
      </c>
      <c r="Q32" s="1291" t="str">
        <f t="shared" si="11"/>
        <v>车位类型</v>
      </c>
      <c r="R32" s="708" t="s">
        <v>17</v>
      </c>
      <c r="S32" s="709">
        <f t="shared" si="12"/>
        <v>100</v>
      </c>
      <c r="T32" s="708" t="s">
        <v>17</v>
      </c>
      <c r="U32" s="709">
        <f t="shared" si="13"/>
        <v>100</v>
      </c>
      <c r="V32" s="708" t="s">
        <v>17</v>
      </c>
      <c r="W32" s="709">
        <f t="shared" si="14"/>
        <v>100</v>
      </c>
      <c r="X32" s="1294"/>
      <c r="Y32" s="3564"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64"/>
      <c r="Q33" s="1291" t="str">
        <f t="shared" si="11"/>
        <v>是否直接入户</v>
      </c>
      <c r="R33" s="708" t="s">
        <v>17</v>
      </c>
      <c r="S33" s="709">
        <f t="shared" si="12"/>
        <v>100</v>
      </c>
      <c r="T33" s="708" t="s">
        <v>17</v>
      </c>
      <c r="U33" s="709">
        <f t="shared" si="13"/>
        <v>100</v>
      </c>
      <c r="V33" s="708" t="s">
        <v>17</v>
      </c>
      <c r="W33" s="709">
        <f t="shared" si="14"/>
        <v>100</v>
      </c>
      <c r="X33" s="1294"/>
      <c r="Y33" s="3564"/>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64"/>
      <c r="Q34" s="1291">
        <f t="shared" si="11"/>
        <v>111</v>
      </c>
      <c r="R34" s="708" t="s">
        <v>17</v>
      </c>
      <c r="S34" s="709">
        <f t="shared" si="12"/>
        <v>100</v>
      </c>
      <c r="T34" s="708" t="s">
        <v>17</v>
      </c>
      <c r="U34" s="709">
        <f t="shared" si="13"/>
        <v>100</v>
      </c>
      <c r="V34" s="708" t="s">
        <v>17</v>
      </c>
      <c r="W34" s="709">
        <f t="shared" si="14"/>
        <v>100</v>
      </c>
      <c r="X34" s="1294"/>
      <c r="Y34" s="3564"/>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64"/>
      <c r="Q35" s="710">
        <f t="shared" si="11"/>
        <v>111</v>
      </c>
      <c r="R35" s="711" t="s">
        <v>17</v>
      </c>
      <c r="S35" s="712">
        <f t="shared" si="12"/>
        <v>100</v>
      </c>
      <c r="T35" s="711" t="s">
        <v>17</v>
      </c>
      <c r="U35" s="712">
        <f t="shared" si="13"/>
        <v>100</v>
      </c>
      <c r="V35" s="711" t="s">
        <v>17</v>
      </c>
      <c r="W35" s="712">
        <f t="shared" si="14"/>
        <v>100</v>
      </c>
      <c r="X35" s="713"/>
      <c r="Y35" s="3564"/>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64"/>
      <c r="Q36" s="1291">
        <f t="shared" si="11"/>
        <v>111</v>
      </c>
      <c r="R36" s="708" t="s">
        <v>17</v>
      </c>
      <c r="S36" s="709">
        <f t="shared" si="12"/>
        <v>100</v>
      </c>
      <c r="T36" s="708" t="s">
        <v>17</v>
      </c>
      <c r="U36" s="709">
        <f t="shared" si="13"/>
        <v>100</v>
      </c>
      <c r="V36" s="708" t="s">
        <v>17</v>
      </c>
      <c r="W36" s="709">
        <f t="shared" si="14"/>
        <v>100</v>
      </c>
      <c r="X36" s="1294"/>
      <c r="Y36" s="3564"/>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57" t="str">
        <f>A37</f>
        <v>成交单价</v>
      </c>
      <c r="Q37" s="3557"/>
      <c r="R37" s="3558">
        <f>E37</f>
        <v>0</v>
      </c>
      <c r="S37" s="3558"/>
      <c r="T37" s="3558">
        <f>G37</f>
        <v>0</v>
      </c>
      <c r="U37" s="3558"/>
      <c r="V37" s="3558">
        <f>I37</f>
        <v>0</v>
      </c>
      <c r="W37" s="3558"/>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57" t="str">
        <f>A38</f>
        <v>比较价值（元/平方米）</v>
      </c>
      <c r="Q38" s="3557"/>
      <c r="R38" s="3558" t="e">
        <f>IF(F1="售价",ROUND(PRODUCT(R37,AA7:AA36),0),ROUND(PRODUCT(R37,AA7:AA36),1))</f>
        <v>#DIV/0!</v>
      </c>
      <c r="S38" s="3558"/>
      <c r="T38" s="3558" t="e">
        <f>IF(F1="售价",ROUND(PRODUCT(T37,AB7:AB36),0),ROUND(PRODUCT(T37,AB7:AB36),1))</f>
        <v>#DIV/0!</v>
      </c>
      <c r="U38" s="3558"/>
      <c r="V38" s="3558" t="e">
        <f>IF(F1="售价",ROUND(PRODUCT(V37,AC7:AC36),0),ROUND(PRODUCT(V37,AC7:AC36),1))</f>
        <v>#DIV/0!</v>
      </c>
      <c r="W38" s="3558"/>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54" t="str">
        <f>A39</f>
        <v>估价对象XX用房的比较价值（楼面单价，元/平方米）</v>
      </c>
      <c r="Q39" s="3555"/>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44733</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93" t="s">
        <v>1933</v>
      </c>
      <c r="Q7" s="3595"/>
      <c r="R7" s="704" t="s">
        <v>17</v>
      </c>
      <c r="S7" s="705">
        <f t="shared" ref="S7:S14" si="0">F7</f>
        <v>0</v>
      </c>
      <c r="T7" s="704" t="s">
        <v>17</v>
      </c>
      <c r="U7" s="705">
        <f t="shared" ref="U7:U14" si="1">H7</f>
        <v>0</v>
      </c>
      <c r="V7" s="704" t="s">
        <v>17</v>
      </c>
      <c r="W7" s="705">
        <f t="shared" ref="W7:W14" si="2">J7</f>
        <v>0</v>
      </c>
      <c r="X7" s="706"/>
      <c r="Y7" s="3593" t="s">
        <v>1933</v>
      </c>
      <c r="Z7" s="3594"/>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57" t="s">
        <v>1939</v>
      </c>
      <c r="Q9" s="1284" t="str">
        <f t="shared" ref="Q9:Q14" si="6">B9</f>
        <v>用途</v>
      </c>
      <c r="R9" s="704" t="s">
        <v>17</v>
      </c>
      <c r="S9" s="705">
        <f t="shared" si="0"/>
        <v>100</v>
      </c>
      <c r="T9" s="704" t="s">
        <v>17</v>
      </c>
      <c r="U9" s="705">
        <f t="shared" si="1"/>
        <v>100</v>
      </c>
      <c r="V9" s="704" t="s">
        <v>17</v>
      </c>
      <c r="W9" s="705">
        <f t="shared" si="2"/>
        <v>100</v>
      </c>
      <c r="X9" s="706"/>
      <c r="Y9" s="3429"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57"/>
      <c r="Q11" s="1284">
        <f t="shared" si="6"/>
        <v>111</v>
      </c>
      <c r="R11" s="704" t="s">
        <v>17</v>
      </c>
      <c r="S11" s="705">
        <f t="shared" si="0"/>
        <v>100</v>
      </c>
      <c r="T11" s="704" t="s">
        <v>17</v>
      </c>
      <c r="U11" s="705">
        <f t="shared" si="1"/>
        <v>100</v>
      </c>
      <c r="V11" s="704" t="s">
        <v>17</v>
      </c>
      <c r="W11" s="705">
        <f t="shared" si="2"/>
        <v>100</v>
      </c>
      <c r="X11" s="706"/>
      <c r="Y11" s="3429"/>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59" t="s">
        <v>1944</v>
      </c>
      <c r="Q14" s="1291" t="str">
        <f t="shared" si="6"/>
        <v>交通便捷度</v>
      </c>
      <c r="R14" s="708" t="s">
        <v>17</v>
      </c>
      <c r="S14" s="709">
        <f t="shared" si="0"/>
        <v>100</v>
      </c>
      <c r="T14" s="708" t="s">
        <v>17</v>
      </c>
      <c r="U14" s="709">
        <f t="shared" si="1"/>
        <v>100</v>
      </c>
      <c r="V14" s="708" t="s">
        <v>17</v>
      </c>
      <c r="W14" s="709">
        <f t="shared" si="2"/>
        <v>100</v>
      </c>
      <c r="X14" s="1294"/>
      <c r="Y14" s="3559"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60"/>
      <c r="Q15" s="1291"/>
      <c r="R15" s="708"/>
      <c r="S15" s="709"/>
      <c r="T15" s="708"/>
      <c r="U15" s="709"/>
      <c r="V15" s="708"/>
      <c r="W15" s="709"/>
      <c r="X15" s="1294"/>
      <c r="Y15" s="3560"/>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60"/>
      <c r="Q16" s="1291" t="str">
        <f>B16</f>
        <v>公共配套设施</v>
      </c>
      <c r="R16" s="708" t="s">
        <v>17</v>
      </c>
      <c r="S16" s="709">
        <f>F16</f>
        <v>100</v>
      </c>
      <c r="T16" s="708" t="s">
        <v>17</v>
      </c>
      <c r="U16" s="709">
        <f>H16</f>
        <v>100</v>
      </c>
      <c r="V16" s="708" t="s">
        <v>17</v>
      </c>
      <c r="W16" s="709">
        <f>J16</f>
        <v>100</v>
      </c>
      <c r="X16" s="1294"/>
      <c r="Y16" s="3560"/>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60"/>
      <c r="Q17" s="1291"/>
      <c r="R17" s="708"/>
      <c r="S17" s="709"/>
      <c r="T17" s="708"/>
      <c r="U17" s="709"/>
      <c r="V17" s="708"/>
      <c r="W17" s="709"/>
      <c r="X17" s="1294"/>
      <c r="Y17" s="3560"/>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60"/>
      <c r="Q18" s="1291" t="str">
        <f>B18</f>
        <v>基础设施水平</v>
      </c>
      <c r="R18" s="708" t="s">
        <v>17</v>
      </c>
      <c r="S18" s="709">
        <f>F18</f>
        <v>100</v>
      </c>
      <c r="T18" s="708" t="s">
        <v>17</v>
      </c>
      <c r="U18" s="709">
        <f>H18</f>
        <v>100</v>
      </c>
      <c r="V18" s="708" t="s">
        <v>17</v>
      </c>
      <c r="W18" s="709">
        <f>J18</f>
        <v>100</v>
      </c>
      <c r="X18" s="1294"/>
      <c r="Y18" s="3560"/>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60"/>
      <c r="Q19" s="1291"/>
      <c r="R19" s="708"/>
      <c r="S19" s="709"/>
      <c r="T19" s="708"/>
      <c r="U19" s="709"/>
      <c r="V19" s="708"/>
      <c r="W19" s="709"/>
      <c r="X19" s="1294"/>
      <c r="Y19" s="3560"/>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60"/>
      <c r="Q20" s="1291" t="str">
        <f>B20</f>
        <v>自然及人文环境</v>
      </c>
      <c r="R20" s="708" t="s">
        <v>17</v>
      </c>
      <c r="S20" s="709">
        <f>F20</f>
        <v>100</v>
      </c>
      <c r="T20" s="708" t="s">
        <v>17</v>
      </c>
      <c r="U20" s="709">
        <f>H20</f>
        <v>100</v>
      </c>
      <c r="V20" s="708" t="s">
        <v>17</v>
      </c>
      <c r="W20" s="709">
        <f>J20</f>
        <v>100</v>
      </c>
      <c r="X20" s="1294"/>
      <c r="Y20" s="3560"/>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60"/>
      <c r="Q21" s="1291"/>
      <c r="R21" s="708"/>
      <c r="S21" s="709"/>
      <c r="T21" s="708"/>
      <c r="U21" s="709"/>
      <c r="V21" s="708"/>
      <c r="W21" s="709"/>
      <c r="X21" s="1294"/>
      <c r="Y21" s="3560"/>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60"/>
      <c r="Q22" s="1291" t="str">
        <f>B22</f>
        <v>楼层</v>
      </c>
      <c r="R22" s="708" t="s">
        <v>17</v>
      </c>
      <c r="S22" s="709">
        <f>F22</f>
        <v>100</v>
      </c>
      <c r="T22" s="708" t="s">
        <v>17</v>
      </c>
      <c r="U22" s="709">
        <f>H22</f>
        <v>100</v>
      </c>
      <c r="V22" s="708" t="s">
        <v>17</v>
      </c>
      <c r="W22" s="709">
        <f>J22</f>
        <v>100</v>
      </c>
      <c r="X22" s="1294"/>
      <c r="Y22" s="3560"/>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60"/>
      <c r="Q23" s="1291">
        <f>B23</f>
        <v>111</v>
      </c>
      <c r="R23" s="708" t="s">
        <v>17</v>
      </c>
      <c r="S23" s="709">
        <f>F23</f>
        <v>100</v>
      </c>
      <c r="T23" s="708" t="s">
        <v>17</v>
      </c>
      <c r="U23" s="709">
        <f>H23</f>
        <v>100</v>
      </c>
      <c r="V23" s="708" t="s">
        <v>17</v>
      </c>
      <c r="W23" s="709">
        <f>J23</f>
        <v>100</v>
      </c>
      <c r="X23" s="1294"/>
      <c r="Y23" s="3560"/>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60"/>
      <c r="Q24" s="1291">
        <f t="shared" ref="Q24:Q34" si="11">B24</f>
        <v>111</v>
      </c>
      <c r="R24" s="708" t="s">
        <v>17</v>
      </c>
      <c r="S24" s="709">
        <f>F24</f>
        <v>100</v>
      </c>
      <c r="T24" s="708" t="s">
        <v>17</v>
      </c>
      <c r="U24" s="709">
        <f>H24</f>
        <v>100</v>
      </c>
      <c r="V24" s="708" t="s">
        <v>17</v>
      </c>
      <c r="W24" s="709">
        <f>J24</f>
        <v>100</v>
      </c>
      <c r="X24" s="1294"/>
      <c r="Y24" s="3560"/>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60"/>
      <c r="Q25" s="1284">
        <f t="shared" si="11"/>
        <v>111</v>
      </c>
      <c r="R25" s="704" t="s">
        <v>17</v>
      </c>
      <c r="S25" s="705">
        <f>F25</f>
        <v>100</v>
      </c>
      <c r="T25" s="704" t="s">
        <v>17</v>
      </c>
      <c r="U25" s="705">
        <f>H25</f>
        <v>100</v>
      </c>
      <c r="V25" s="704" t="s">
        <v>17</v>
      </c>
      <c r="W25" s="705">
        <f>J25</f>
        <v>100</v>
      </c>
      <c r="X25" s="706"/>
      <c r="Y25" s="3560"/>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4"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64"/>
      <c r="Q27" s="710" t="str">
        <f t="shared" si="11"/>
        <v>成新率</v>
      </c>
      <c r="R27" s="711" t="s">
        <v>17</v>
      </c>
      <c r="S27" s="712" t="e">
        <f t="shared" si="12"/>
        <v>#N/A</v>
      </c>
      <c r="T27" s="711" t="s">
        <v>17</v>
      </c>
      <c r="U27" s="712" t="e">
        <f t="shared" si="13"/>
        <v>#N/A</v>
      </c>
      <c r="V27" s="711" t="s">
        <v>17</v>
      </c>
      <c r="W27" s="712" t="e">
        <f t="shared" si="14"/>
        <v>#N/A</v>
      </c>
      <c r="X27" s="713"/>
      <c r="Y27" s="3564"/>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64"/>
      <c r="Q28" s="1291" t="str">
        <f t="shared" si="11"/>
        <v>物业等级</v>
      </c>
      <c r="R28" s="708" t="s">
        <v>17</v>
      </c>
      <c r="S28" s="709">
        <f t="shared" si="12"/>
        <v>100</v>
      </c>
      <c r="T28" s="708" t="s">
        <v>17</v>
      </c>
      <c r="U28" s="709">
        <f t="shared" si="13"/>
        <v>100</v>
      </c>
      <c r="V28" s="708" t="s">
        <v>17</v>
      </c>
      <c r="W28" s="709">
        <f t="shared" si="14"/>
        <v>100</v>
      </c>
      <c r="X28" s="1294"/>
      <c r="Y28" s="3564"/>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64"/>
      <c r="Q29" s="1291" t="str">
        <f t="shared" si="11"/>
        <v>有无电梯</v>
      </c>
      <c r="R29" s="708" t="s">
        <v>17</v>
      </c>
      <c r="S29" s="709">
        <f t="shared" si="12"/>
        <v>100</v>
      </c>
      <c r="T29" s="708" t="s">
        <v>17</v>
      </c>
      <c r="U29" s="709">
        <f t="shared" si="13"/>
        <v>100</v>
      </c>
      <c r="V29" s="708" t="s">
        <v>17</v>
      </c>
      <c r="W29" s="709">
        <f t="shared" si="14"/>
        <v>100</v>
      </c>
      <c r="X29" s="1294"/>
      <c r="Y29" s="3564"/>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64"/>
      <c r="Q30" s="1291" t="str">
        <f t="shared" si="11"/>
        <v>建筑面积</v>
      </c>
      <c r="R30" s="708" t="s">
        <v>17</v>
      </c>
      <c r="S30" s="709" t="e">
        <f t="shared" si="12"/>
        <v>#N/A</v>
      </c>
      <c r="T30" s="708" t="s">
        <v>17</v>
      </c>
      <c r="U30" s="709" t="e">
        <f t="shared" si="13"/>
        <v>#N/A</v>
      </c>
      <c r="V30" s="708" t="s">
        <v>17</v>
      </c>
      <c r="W30" s="709" t="e">
        <f t="shared" si="14"/>
        <v>#N/A</v>
      </c>
      <c r="X30" s="1294"/>
      <c r="Y30" s="3564"/>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64"/>
      <c r="Q31" s="1284" t="str">
        <f t="shared" si="11"/>
        <v>是否封闭</v>
      </c>
      <c r="R31" s="704" t="s">
        <v>17</v>
      </c>
      <c r="S31" s="705">
        <f t="shared" si="12"/>
        <v>100</v>
      </c>
      <c r="T31" s="704" t="s">
        <v>17</v>
      </c>
      <c r="U31" s="705">
        <f t="shared" si="13"/>
        <v>100</v>
      </c>
      <c r="V31" s="704" t="s">
        <v>17</v>
      </c>
      <c r="W31" s="705">
        <f t="shared" si="14"/>
        <v>100</v>
      </c>
      <c r="X31" s="706"/>
      <c r="Y31" s="3564"/>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64" t="s">
        <v>1949</v>
      </c>
      <c r="Q32" s="1291">
        <f t="shared" si="11"/>
        <v>111</v>
      </c>
      <c r="R32" s="708" t="s">
        <v>17</v>
      </c>
      <c r="S32" s="709">
        <f t="shared" si="12"/>
        <v>100</v>
      </c>
      <c r="T32" s="708" t="s">
        <v>17</v>
      </c>
      <c r="U32" s="709">
        <f t="shared" si="13"/>
        <v>100</v>
      </c>
      <c r="V32" s="708" t="s">
        <v>17</v>
      </c>
      <c r="W32" s="709">
        <f t="shared" si="14"/>
        <v>100</v>
      </c>
      <c r="X32" s="1294"/>
      <c r="Y32" s="3564"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64"/>
      <c r="Q33" s="1291">
        <f t="shared" si="11"/>
        <v>111</v>
      </c>
      <c r="R33" s="708" t="s">
        <v>17</v>
      </c>
      <c r="S33" s="709">
        <f t="shared" si="12"/>
        <v>100</v>
      </c>
      <c r="T33" s="708" t="s">
        <v>17</v>
      </c>
      <c r="U33" s="709">
        <f t="shared" si="13"/>
        <v>100</v>
      </c>
      <c r="V33" s="708" t="s">
        <v>17</v>
      </c>
      <c r="W33" s="709">
        <f t="shared" si="14"/>
        <v>100</v>
      </c>
      <c r="X33" s="1294"/>
      <c r="Y33" s="3564"/>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64"/>
      <c r="Q34" s="1291">
        <f t="shared" si="11"/>
        <v>111</v>
      </c>
      <c r="R34" s="708" t="s">
        <v>17</v>
      </c>
      <c r="S34" s="709">
        <f t="shared" si="12"/>
        <v>100</v>
      </c>
      <c r="T34" s="708" t="s">
        <v>17</v>
      </c>
      <c r="U34" s="709">
        <f t="shared" si="13"/>
        <v>100</v>
      </c>
      <c r="V34" s="708" t="s">
        <v>17</v>
      </c>
      <c r="W34" s="709">
        <f t="shared" si="14"/>
        <v>100</v>
      </c>
      <c r="X34" s="1294"/>
      <c r="Y34" s="3564"/>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57" t="str">
        <f>A35</f>
        <v>成交单价（元/平方米）</v>
      </c>
      <c r="Q35" s="3557"/>
      <c r="R35" s="3558">
        <f>E35</f>
        <v>0</v>
      </c>
      <c r="S35" s="3558"/>
      <c r="T35" s="3558">
        <f>G35</f>
        <v>0</v>
      </c>
      <c r="U35" s="3558"/>
      <c r="V35" s="3558">
        <f>I35</f>
        <v>0</v>
      </c>
      <c r="W35" s="3558"/>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57" t="str">
        <f>A36</f>
        <v>比较价值（元/平方米）</v>
      </c>
      <c r="Q36" s="3557"/>
      <c r="R36" s="3558" t="e">
        <f>IF(F1="售价",ROUND(PRODUCT(R35,AA7:AA34),0),ROUND(PRODUCT(R35,AA7:AA34),1))</f>
        <v>#DIV/0!</v>
      </c>
      <c r="S36" s="3558"/>
      <c r="T36" s="3558" t="e">
        <f>IF(F1="售价",ROUND(PRODUCT(T35,AB7:AB34),0),ROUND(PRODUCT(T35,AB7:AB34),1))</f>
        <v>#DIV/0!</v>
      </c>
      <c r="U36" s="3558"/>
      <c r="V36" s="3558" t="e">
        <f>IF(F1="售价",ROUND(PRODUCT(V35,AC7:AC34),0),ROUND(PRODUCT(V35,AC7:AC34),1))</f>
        <v>#DIV/0!</v>
      </c>
      <c r="W36" s="3558"/>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54" t="str">
        <f>A37</f>
        <v>估价对象XX用房的比较价值（楼面单价，元/平方米）</v>
      </c>
      <c r="Q37" s="3555"/>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30"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30"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30" s="112" customFormat="1" ht="15.75" thickBot="1">
      <c r="A7" s="363" t="s">
        <v>1932</v>
      </c>
      <c r="B7" s="364"/>
      <c r="C7" s="365">
        <f>'数据-取费表'!B2</f>
        <v>44733</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57"/>
      <c r="Q10" s="1284" t="str">
        <f t="shared" si="6"/>
        <v>土地使用年限（年）</v>
      </c>
      <c r="R10" s="704" t="s">
        <v>17</v>
      </c>
      <c r="S10" s="705" t="e">
        <f t="shared" si="0"/>
        <v>#DIV/0!</v>
      </c>
      <c r="T10" s="704" t="s">
        <v>17</v>
      </c>
      <c r="U10" s="705" t="e">
        <f t="shared" si="1"/>
        <v>#DIV/0!</v>
      </c>
      <c r="V10" s="704" t="s">
        <v>17</v>
      </c>
      <c r="W10" s="705" t="e">
        <f t="shared" si="2"/>
        <v>#DIV/0!</v>
      </c>
      <c r="X10" s="706"/>
      <c r="Y10" s="3429"/>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57"/>
      <c r="Q12" s="1284" t="str">
        <f t="shared" si="6"/>
        <v>配建</v>
      </c>
      <c r="R12" s="704" t="s">
        <v>17</v>
      </c>
      <c r="S12" s="705">
        <f t="shared" si="0"/>
        <v>100</v>
      </c>
      <c r="T12" s="704" t="s">
        <v>17</v>
      </c>
      <c r="U12" s="705">
        <f t="shared" si="1"/>
        <v>100</v>
      </c>
      <c r="V12" s="704" t="s">
        <v>17</v>
      </c>
      <c r="W12" s="705">
        <f t="shared" si="2"/>
        <v>100</v>
      </c>
      <c r="X12" s="706"/>
      <c r="Y12" s="3429"/>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59" t="s">
        <v>1944</v>
      </c>
      <c r="Q15" s="1291" t="str">
        <f t="shared" si="6"/>
        <v>居住社区成熟度</v>
      </c>
      <c r="R15" s="708" t="s">
        <v>17</v>
      </c>
      <c r="S15" s="709">
        <f t="shared" si="0"/>
        <v>100</v>
      </c>
      <c r="T15" s="708" t="s">
        <v>17</v>
      </c>
      <c r="U15" s="709">
        <f t="shared" si="1"/>
        <v>100</v>
      </c>
      <c r="V15" s="708" t="s">
        <v>17</v>
      </c>
      <c r="W15" s="709">
        <f t="shared" si="2"/>
        <v>100</v>
      </c>
      <c r="X15" s="1294"/>
      <c r="Y15" s="3559"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60"/>
      <c r="Q16" s="1291"/>
      <c r="R16" s="708"/>
      <c r="S16" s="709"/>
      <c r="T16" s="708"/>
      <c r="U16" s="709"/>
      <c r="V16" s="708"/>
      <c r="W16" s="709"/>
      <c r="X16" s="1294"/>
      <c r="Y16" s="3560"/>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60"/>
      <c r="Q17" s="1291" t="str">
        <f>B17</f>
        <v>商业繁华度</v>
      </c>
      <c r="R17" s="708" t="s">
        <v>17</v>
      </c>
      <c r="S17" s="709">
        <f>F17</f>
        <v>100</v>
      </c>
      <c r="T17" s="708" t="s">
        <v>17</v>
      </c>
      <c r="U17" s="709">
        <f>H17</f>
        <v>100</v>
      </c>
      <c r="V17" s="708" t="s">
        <v>17</v>
      </c>
      <c r="W17" s="709">
        <f>J17</f>
        <v>100</v>
      </c>
      <c r="X17" s="1294"/>
      <c r="Y17" s="3560"/>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60"/>
      <c r="Q18" s="1291"/>
      <c r="R18" s="708"/>
      <c r="S18" s="709"/>
      <c r="T18" s="708"/>
      <c r="U18" s="709"/>
      <c r="V18" s="708"/>
      <c r="W18" s="709"/>
      <c r="X18" s="1294"/>
      <c r="Y18" s="3560"/>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60"/>
      <c r="Q19" s="1291" t="str">
        <f>B19</f>
        <v>办公集聚程度</v>
      </c>
      <c r="R19" s="708" t="s">
        <v>17</v>
      </c>
      <c r="S19" s="709">
        <f>F19</f>
        <v>100</v>
      </c>
      <c r="T19" s="708" t="s">
        <v>17</v>
      </c>
      <c r="U19" s="709">
        <f>H19</f>
        <v>100</v>
      </c>
      <c r="V19" s="708" t="s">
        <v>17</v>
      </c>
      <c r="W19" s="709">
        <f>J19</f>
        <v>100</v>
      </c>
      <c r="X19" s="1294"/>
      <c r="Y19" s="3560"/>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60"/>
      <c r="Q20" s="1291"/>
      <c r="R20" s="708"/>
      <c r="S20" s="709"/>
      <c r="T20" s="708"/>
      <c r="U20" s="709"/>
      <c r="V20" s="708"/>
      <c r="W20" s="709"/>
      <c r="X20" s="1294"/>
      <c r="Y20" s="3560"/>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60"/>
      <c r="Q21" s="1291" t="str">
        <f>B21</f>
        <v>交通便捷度</v>
      </c>
      <c r="R21" s="708" t="s">
        <v>17</v>
      </c>
      <c r="S21" s="709">
        <f>F21</f>
        <v>100</v>
      </c>
      <c r="T21" s="708" t="s">
        <v>17</v>
      </c>
      <c r="U21" s="709">
        <f>H21</f>
        <v>100</v>
      </c>
      <c r="V21" s="708" t="s">
        <v>17</v>
      </c>
      <c r="W21" s="709">
        <f>J21</f>
        <v>100</v>
      </c>
      <c r="X21" s="1294"/>
      <c r="Y21" s="3560"/>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60"/>
      <c r="Q22" s="1291"/>
      <c r="R22" s="708"/>
      <c r="S22" s="709"/>
      <c r="T22" s="708"/>
      <c r="U22" s="709"/>
      <c r="V22" s="708"/>
      <c r="W22" s="709"/>
      <c r="X22" s="1294"/>
      <c r="Y22" s="3560"/>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60"/>
      <c r="Q23" s="1291" t="str">
        <f t="shared" ref="Q23:Q37" si="8">B23</f>
        <v>区域土地利用方向</v>
      </c>
      <c r="R23" s="708" t="s">
        <v>17</v>
      </c>
      <c r="S23" s="709">
        <f>F23</f>
        <v>100</v>
      </c>
      <c r="T23" s="708" t="s">
        <v>17</v>
      </c>
      <c r="U23" s="709">
        <f>H23</f>
        <v>100</v>
      </c>
      <c r="V23" s="708" t="s">
        <v>17</v>
      </c>
      <c r="W23" s="709">
        <f>J23</f>
        <v>100</v>
      </c>
      <c r="X23" s="1294"/>
      <c r="Y23" s="3560"/>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60"/>
      <c r="Q24" s="1291"/>
      <c r="R24" s="708"/>
      <c r="S24" s="709"/>
      <c r="T24" s="708"/>
      <c r="U24" s="709"/>
      <c r="V24" s="708"/>
      <c r="W24" s="709"/>
      <c r="X24" s="1294"/>
      <c r="Y24" s="3560"/>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60"/>
      <c r="Q25" s="1291" t="str">
        <f t="shared" si="8"/>
        <v>自然及人文环境状况</v>
      </c>
      <c r="R25" s="708" t="s">
        <v>17</v>
      </c>
      <c r="S25" s="709">
        <f>F25</f>
        <v>100</v>
      </c>
      <c r="T25" s="708" t="s">
        <v>17</v>
      </c>
      <c r="U25" s="709">
        <f>H25</f>
        <v>100</v>
      </c>
      <c r="V25" s="708" t="s">
        <v>17</v>
      </c>
      <c r="W25" s="709">
        <f>J25</f>
        <v>100</v>
      </c>
      <c r="X25" s="1294"/>
      <c r="Y25" s="3560"/>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60"/>
      <c r="Q26" s="1291"/>
      <c r="R26" s="708"/>
      <c r="S26" s="709"/>
      <c r="T26" s="708"/>
      <c r="U26" s="709"/>
      <c r="V26" s="708"/>
      <c r="W26" s="709"/>
      <c r="X26" s="1294"/>
      <c r="Y26" s="3560"/>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60"/>
      <c r="Q27" s="1284" t="str">
        <f t="shared" si="8"/>
        <v>公共配套设施</v>
      </c>
      <c r="R27" s="704" t="s">
        <v>17</v>
      </c>
      <c r="S27" s="705">
        <f>F27</f>
        <v>100</v>
      </c>
      <c r="T27" s="704" t="s">
        <v>17</v>
      </c>
      <c r="U27" s="705">
        <f>H27</f>
        <v>100</v>
      </c>
      <c r="V27" s="704" t="s">
        <v>17</v>
      </c>
      <c r="W27" s="705">
        <f>J27</f>
        <v>100</v>
      </c>
      <c r="X27" s="706"/>
      <c r="Y27" s="3560"/>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60"/>
      <c r="Q28" s="1284"/>
      <c r="R28" s="704"/>
      <c r="S28" s="705"/>
      <c r="T28" s="704"/>
      <c r="U28" s="705"/>
      <c r="V28" s="704"/>
      <c r="W28" s="705"/>
      <c r="X28" s="706"/>
      <c r="Y28" s="3560"/>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60"/>
      <c r="Q29" s="1284" t="str">
        <f t="shared" ref="Q29" si="9">B29</f>
        <v>基础设施水平</v>
      </c>
      <c r="R29" s="704" t="s">
        <v>17</v>
      </c>
      <c r="S29" s="705">
        <f>F29</f>
        <v>100</v>
      </c>
      <c r="T29" s="704" t="s">
        <v>17</v>
      </c>
      <c r="U29" s="705">
        <f>H29</f>
        <v>100</v>
      </c>
      <c r="V29" s="704" t="s">
        <v>17</v>
      </c>
      <c r="W29" s="705">
        <f>J29</f>
        <v>100</v>
      </c>
      <c r="X29" s="706"/>
      <c r="Y29" s="3560"/>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60"/>
      <c r="Q30" s="1284"/>
      <c r="R30" s="704"/>
      <c r="S30" s="705"/>
      <c r="T30" s="704"/>
      <c r="U30" s="705"/>
      <c r="V30" s="704"/>
      <c r="W30" s="705"/>
      <c r="X30" s="706"/>
      <c r="Y30" s="3560"/>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60"/>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0"/>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60"/>
      <c r="Q32" s="1291" t="str">
        <f t="shared" si="8"/>
        <v>毗邻道路的类型与等级</v>
      </c>
      <c r="R32" s="708" t="s">
        <v>17</v>
      </c>
      <c r="S32" s="709">
        <f t="shared" si="10"/>
        <v>100</v>
      </c>
      <c r="T32" s="708" t="s">
        <v>17</v>
      </c>
      <c r="U32" s="709">
        <f t="shared" si="11"/>
        <v>100</v>
      </c>
      <c r="V32" s="708" t="s">
        <v>17</v>
      </c>
      <c r="W32" s="709">
        <f t="shared" si="12"/>
        <v>100</v>
      </c>
      <c r="X32" s="1294"/>
      <c r="Y32" s="3560"/>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60"/>
      <c r="Q33" s="1291"/>
      <c r="R33" s="708"/>
      <c r="S33" s="709"/>
      <c r="T33" s="708"/>
      <c r="U33" s="709"/>
      <c r="V33" s="708"/>
      <c r="W33" s="709"/>
      <c r="X33" s="1294"/>
      <c r="Y33" s="3560"/>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60"/>
      <c r="Q34" s="1291" t="str">
        <f t="shared" si="8"/>
        <v>土地级别</v>
      </c>
      <c r="R34" s="708" t="s">
        <v>17</v>
      </c>
      <c r="S34" s="709">
        <f t="shared" si="10"/>
        <v>100</v>
      </c>
      <c r="T34" s="708" t="s">
        <v>17</v>
      </c>
      <c r="U34" s="709">
        <f t="shared" si="11"/>
        <v>100</v>
      </c>
      <c r="V34" s="708" t="s">
        <v>17</v>
      </c>
      <c r="W34" s="709">
        <f t="shared" si="12"/>
        <v>100</v>
      </c>
      <c r="X34" s="1294"/>
      <c r="Y34" s="3560"/>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60"/>
      <c r="Q35" s="1291">
        <f t="shared" si="8"/>
        <v>111</v>
      </c>
      <c r="R35" s="708" t="s">
        <v>17</v>
      </c>
      <c r="S35" s="709">
        <f t="shared" si="10"/>
        <v>100</v>
      </c>
      <c r="T35" s="708" t="s">
        <v>17</v>
      </c>
      <c r="U35" s="709">
        <f t="shared" si="11"/>
        <v>100</v>
      </c>
      <c r="V35" s="708" t="s">
        <v>17</v>
      </c>
      <c r="W35" s="709">
        <f t="shared" si="12"/>
        <v>100</v>
      </c>
      <c r="X35" s="1294"/>
      <c r="Y35" s="3560"/>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64"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64"/>
      <c r="Q37" s="1291">
        <f t="shared" si="8"/>
        <v>111</v>
      </c>
      <c r="R37" s="711" t="s">
        <v>17</v>
      </c>
      <c r="S37" s="712">
        <f t="shared" si="10"/>
        <v>100</v>
      </c>
      <c r="T37" s="711" t="s">
        <v>17</v>
      </c>
      <c r="U37" s="712">
        <f t="shared" si="11"/>
        <v>100</v>
      </c>
      <c r="V37" s="711" t="s">
        <v>17</v>
      </c>
      <c r="W37" s="712">
        <f t="shared" si="12"/>
        <v>100</v>
      </c>
      <c r="X37" s="713"/>
      <c r="Y37" s="3564"/>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64"/>
      <c r="Q38" s="1291" t="str">
        <f>B38</f>
        <v>宗地面积</v>
      </c>
      <c r="R38" s="708" t="s">
        <v>17</v>
      </c>
      <c r="S38" s="709" t="e">
        <f t="shared" si="10"/>
        <v>#N/A</v>
      </c>
      <c r="T38" s="708" t="s">
        <v>17</v>
      </c>
      <c r="U38" s="709" t="e">
        <f t="shared" si="11"/>
        <v>#N/A</v>
      </c>
      <c r="V38" s="708" t="s">
        <v>17</v>
      </c>
      <c r="W38" s="709" t="e">
        <f t="shared" si="12"/>
        <v>#N/A</v>
      </c>
      <c r="X38" s="1294"/>
      <c r="Y38" s="3564"/>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64"/>
      <c r="Q39" s="1291" t="str">
        <f t="shared" ref="Q39:Q45" si="14">B39</f>
        <v>宗地形状</v>
      </c>
      <c r="R39" s="708" t="s">
        <v>17</v>
      </c>
      <c r="S39" s="709">
        <f t="shared" si="10"/>
        <v>100</v>
      </c>
      <c r="T39" s="708" t="s">
        <v>17</v>
      </c>
      <c r="U39" s="709">
        <f t="shared" si="11"/>
        <v>100</v>
      </c>
      <c r="V39" s="708" t="s">
        <v>17</v>
      </c>
      <c r="W39" s="709">
        <f t="shared" si="12"/>
        <v>100</v>
      </c>
      <c r="X39" s="1294"/>
      <c r="Y39" s="3564"/>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64"/>
      <c r="Q40" s="1291" t="str">
        <f t="shared" si="14"/>
        <v>临街宽度及深度</v>
      </c>
      <c r="R40" s="708" t="s">
        <v>17</v>
      </c>
      <c r="S40" s="709">
        <f t="shared" si="10"/>
        <v>100</v>
      </c>
      <c r="T40" s="708" t="s">
        <v>17</v>
      </c>
      <c r="U40" s="709">
        <f t="shared" si="11"/>
        <v>100</v>
      </c>
      <c r="V40" s="708" t="s">
        <v>17</v>
      </c>
      <c r="W40" s="709">
        <f t="shared" si="12"/>
        <v>100</v>
      </c>
      <c r="X40" s="1294"/>
      <c r="Y40" s="3564"/>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64"/>
      <c r="Q41" s="1291" t="str">
        <f t="shared" si="14"/>
        <v>宗地开发程度</v>
      </c>
      <c r="R41" s="704" t="s">
        <v>17</v>
      </c>
      <c r="S41" s="705">
        <f t="shared" si="10"/>
        <v>100</v>
      </c>
      <c r="T41" s="704" t="s">
        <v>17</v>
      </c>
      <c r="U41" s="705">
        <f t="shared" si="11"/>
        <v>100</v>
      </c>
      <c r="V41" s="704" t="s">
        <v>17</v>
      </c>
      <c r="W41" s="705">
        <f t="shared" si="12"/>
        <v>100</v>
      </c>
      <c r="X41" s="706"/>
      <c r="Y41" s="3564"/>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64" t="s">
        <v>1949</v>
      </c>
      <c r="Q42" s="1291" t="str">
        <f t="shared" si="14"/>
        <v>工程地质条件</v>
      </c>
      <c r="R42" s="708" t="s">
        <v>17</v>
      </c>
      <c r="S42" s="709">
        <f t="shared" si="10"/>
        <v>100</v>
      </c>
      <c r="T42" s="708" t="s">
        <v>17</v>
      </c>
      <c r="U42" s="709">
        <f t="shared" si="11"/>
        <v>100</v>
      </c>
      <c r="V42" s="708" t="s">
        <v>17</v>
      </c>
      <c r="W42" s="709">
        <f t="shared" si="12"/>
        <v>100</v>
      </c>
      <c r="X42" s="1294"/>
      <c r="Y42" s="3564"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64"/>
      <c r="Q43" s="1291">
        <f t="shared" si="14"/>
        <v>111</v>
      </c>
      <c r="R43" s="708" t="s">
        <v>17</v>
      </c>
      <c r="S43" s="709">
        <f t="shared" si="10"/>
        <v>100</v>
      </c>
      <c r="T43" s="708" t="s">
        <v>17</v>
      </c>
      <c r="U43" s="709">
        <f t="shared" si="11"/>
        <v>100</v>
      </c>
      <c r="V43" s="708" t="s">
        <v>17</v>
      </c>
      <c r="W43" s="709">
        <f t="shared" si="12"/>
        <v>100</v>
      </c>
      <c r="X43" s="1294"/>
      <c r="Y43" s="3564"/>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64"/>
      <c r="Q44" s="1291">
        <f t="shared" si="14"/>
        <v>111</v>
      </c>
      <c r="R44" s="708" t="s">
        <v>17</v>
      </c>
      <c r="S44" s="709">
        <f t="shared" si="10"/>
        <v>100</v>
      </c>
      <c r="T44" s="708" t="s">
        <v>17</v>
      </c>
      <c r="U44" s="709">
        <f t="shared" si="11"/>
        <v>100</v>
      </c>
      <c r="V44" s="708" t="s">
        <v>17</v>
      </c>
      <c r="W44" s="709">
        <f t="shared" si="12"/>
        <v>100</v>
      </c>
      <c r="X44" s="1294"/>
      <c r="Y44" s="3564"/>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64"/>
      <c r="Q45" s="1291">
        <f t="shared" si="14"/>
        <v>111</v>
      </c>
      <c r="R45" s="711" t="s">
        <v>17</v>
      </c>
      <c r="S45" s="712">
        <f t="shared" si="10"/>
        <v>100</v>
      </c>
      <c r="T45" s="711" t="s">
        <v>17</v>
      </c>
      <c r="U45" s="712">
        <f t="shared" si="11"/>
        <v>100</v>
      </c>
      <c r="V45" s="711" t="s">
        <v>17</v>
      </c>
      <c r="W45" s="712">
        <f t="shared" si="12"/>
        <v>100</v>
      </c>
      <c r="X45" s="713"/>
      <c r="Y45" s="3564"/>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57" t="str">
        <f>A46</f>
        <v>成交单价</v>
      </c>
      <c r="Q46" s="3557"/>
      <c r="R46" s="3588">
        <f>E46</f>
        <v>0</v>
      </c>
      <c r="S46" s="3588"/>
      <c r="T46" s="3588">
        <f>G46</f>
        <v>0</v>
      </c>
      <c r="U46" s="3588"/>
      <c r="V46" s="3588">
        <f>I46</f>
        <v>0</v>
      </c>
      <c r="W46" s="3588"/>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57" t="str">
        <f>A47</f>
        <v>比较价值（元/平方米）</v>
      </c>
      <c r="Q47" s="3557"/>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54" t="str">
        <f>A48</f>
        <v>估价对象XX用房的比较价值（楼面单价，元/平方米）</v>
      </c>
      <c r="Q48" s="3555"/>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68"/>
      <c r="H56" s="3557"/>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0.6</v>
      </c>
      <c r="D57" s="914">
        <v>0.25</v>
      </c>
      <c r="E57" s="645"/>
      <c r="F57" s="855" t="e">
        <f t="shared" si="15"/>
        <v>#DIV/0!</v>
      </c>
      <c r="G57" s="3620" t="s">
        <v>2153</v>
      </c>
      <c r="H57" s="856" t="str">
        <f>项目基本情况!B37</f>
        <v>六级</v>
      </c>
      <c r="I57" s="860">
        <f>SUMIF(修正!A57:A68,H57,修正!B57:B68)</f>
        <v>0.6</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0.3</v>
      </c>
      <c r="D58" s="914">
        <v>0.25</v>
      </c>
      <c r="E58" s="645"/>
      <c r="F58" s="855" t="e">
        <f t="shared" si="15"/>
        <v>#DIV/0!</v>
      </c>
      <c r="G58" s="3620"/>
      <c r="H58" s="856" t="str">
        <f>项目基本情况!B37</f>
        <v>六级</v>
      </c>
      <c r="I58" s="860">
        <f>SUMIF(修正!A57:A68,H58,修正!C57:C68)</f>
        <v>0.3</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0.25</v>
      </c>
      <c r="D59" s="914">
        <v>0.25</v>
      </c>
      <c r="E59" s="645"/>
      <c r="F59" s="855" t="e">
        <f t="shared" si="15"/>
        <v>#DIV/0!</v>
      </c>
      <c r="G59" s="3620"/>
      <c r="H59" s="856" t="str">
        <f>项目基本情况!B37</f>
        <v>六级</v>
      </c>
      <c r="I59" s="860">
        <f>SUMIF(修正!A57:A68,H59,修正!D57:D68)</f>
        <v>0.25</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t="str">
        <f>项目基本情况!B37</f>
        <v>六级</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0.15</v>
      </c>
      <c r="D64" s="914">
        <v>0.25</v>
      </c>
      <c r="E64" s="218">
        <f>'数据-汇总表'!E14</f>
        <v>0</v>
      </c>
      <c r="F64" s="855" t="e">
        <f t="shared" si="15"/>
        <v>#DIV/0!</v>
      </c>
      <c r="G64" s="1927" t="s">
        <v>2153</v>
      </c>
      <c r="H64" s="856" t="str">
        <f>项目基本情况!B37</f>
        <v>六级</v>
      </c>
      <c r="I64" s="860">
        <f>SUMIF(修正!A57:A68,H64,修正!G57:G68)</f>
        <v>0.15</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44733</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57"/>
      <c r="Q10" s="1284" t="str">
        <f t="shared" si="6"/>
        <v>土地使用年限（年）</v>
      </c>
      <c r="R10" s="704" t="s">
        <v>17</v>
      </c>
      <c r="S10" s="705" t="e">
        <f t="shared" si="0"/>
        <v>#DIV/0!</v>
      </c>
      <c r="T10" s="704" t="s">
        <v>17</v>
      </c>
      <c r="U10" s="705" t="e">
        <f t="shared" si="1"/>
        <v>#DIV/0!</v>
      </c>
      <c r="V10" s="704" t="s">
        <v>17</v>
      </c>
      <c r="W10" s="705" t="e">
        <f t="shared" si="2"/>
        <v>#DIV/0!</v>
      </c>
      <c r="X10" s="706"/>
      <c r="Y10" s="3429"/>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59" t="s">
        <v>1944</v>
      </c>
      <c r="Q15" s="1291" t="str">
        <f t="shared" si="6"/>
        <v>产业集聚程度</v>
      </c>
      <c r="R15" s="708" t="s">
        <v>17</v>
      </c>
      <c r="S15" s="709">
        <f t="shared" si="0"/>
        <v>100</v>
      </c>
      <c r="T15" s="708" t="s">
        <v>17</v>
      </c>
      <c r="U15" s="709">
        <f t="shared" si="1"/>
        <v>100</v>
      </c>
      <c r="V15" s="708" t="s">
        <v>17</v>
      </c>
      <c r="W15" s="709">
        <f t="shared" si="2"/>
        <v>100</v>
      </c>
      <c r="X15" s="1294"/>
      <c r="Y15" s="3559"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60"/>
      <c r="Q16" s="1291"/>
      <c r="R16" s="708"/>
      <c r="S16" s="709"/>
      <c r="T16" s="708"/>
      <c r="U16" s="709"/>
      <c r="V16" s="708"/>
      <c r="W16" s="709"/>
      <c r="X16" s="1294"/>
      <c r="Y16" s="3560"/>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60"/>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60"/>
      <c r="Q18" s="1291"/>
      <c r="R18" s="708"/>
      <c r="S18" s="709"/>
      <c r="T18" s="708"/>
      <c r="U18" s="709"/>
      <c r="V18" s="708"/>
      <c r="W18" s="709"/>
      <c r="X18" s="1294"/>
      <c r="Y18" s="3560"/>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60"/>
      <c r="Q19" s="1291" t="str">
        <f t="shared" ref="Q19:Q33" si="8">B19</f>
        <v>区域土地利用方向</v>
      </c>
      <c r="R19" s="708" t="s">
        <v>17</v>
      </c>
      <c r="S19" s="709">
        <f>F19</f>
        <v>100</v>
      </c>
      <c r="T19" s="708" t="s">
        <v>17</v>
      </c>
      <c r="U19" s="709">
        <f>H19</f>
        <v>100</v>
      </c>
      <c r="V19" s="708" t="s">
        <v>17</v>
      </c>
      <c r="W19" s="709">
        <f>J19</f>
        <v>100</v>
      </c>
      <c r="X19" s="1294"/>
      <c r="Y19" s="3560"/>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60"/>
      <c r="Q20" s="1291"/>
      <c r="R20" s="708"/>
      <c r="S20" s="709"/>
      <c r="T20" s="708"/>
      <c r="U20" s="709"/>
      <c r="V20" s="708"/>
      <c r="W20" s="709"/>
      <c r="X20" s="1294"/>
      <c r="Y20" s="3560"/>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60"/>
      <c r="Q21" s="1291" t="str">
        <f t="shared" si="8"/>
        <v>环境状况</v>
      </c>
      <c r="R21" s="708" t="s">
        <v>17</v>
      </c>
      <c r="S21" s="709">
        <f>F21</f>
        <v>100</v>
      </c>
      <c r="T21" s="708" t="s">
        <v>17</v>
      </c>
      <c r="U21" s="709">
        <f>H21</f>
        <v>100</v>
      </c>
      <c r="V21" s="708" t="s">
        <v>17</v>
      </c>
      <c r="W21" s="709">
        <f>J21</f>
        <v>100</v>
      </c>
      <c r="X21" s="1294"/>
      <c r="Y21" s="3560"/>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60"/>
      <c r="Q22" s="1291"/>
      <c r="R22" s="708"/>
      <c r="S22" s="709"/>
      <c r="T22" s="708"/>
      <c r="U22" s="709"/>
      <c r="V22" s="708"/>
      <c r="W22" s="709"/>
      <c r="X22" s="1294"/>
      <c r="Y22" s="3560"/>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60"/>
      <c r="Q23" s="1284" t="str">
        <f t="shared" si="8"/>
        <v>公共配套设施</v>
      </c>
      <c r="R23" s="704" t="s">
        <v>17</v>
      </c>
      <c r="S23" s="705">
        <f>F23</f>
        <v>100</v>
      </c>
      <c r="T23" s="704" t="s">
        <v>17</v>
      </c>
      <c r="U23" s="705">
        <f>H23</f>
        <v>100</v>
      </c>
      <c r="V23" s="704" t="s">
        <v>17</v>
      </c>
      <c r="W23" s="705">
        <f>J23</f>
        <v>100</v>
      </c>
      <c r="X23" s="706"/>
      <c r="Y23" s="3560"/>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60"/>
      <c r="Q24" s="1284"/>
      <c r="R24" s="704"/>
      <c r="S24" s="705"/>
      <c r="T24" s="704"/>
      <c r="U24" s="705"/>
      <c r="V24" s="704"/>
      <c r="W24" s="705"/>
      <c r="X24" s="706"/>
      <c r="Y24" s="3560"/>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60"/>
      <c r="Q25" s="1284" t="str">
        <f t="shared" ref="Q25" si="9">B25</f>
        <v>基础设施水平</v>
      </c>
      <c r="R25" s="704" t="s">
        <v>17</v>
      </c>
      <c r="S25" s="705">
        <f>F25</f>
        <v>100</v>
      </c>
      <c r="T25" s="704" t="s">
        <v>17</v>
      </c>
      <c r="U25" s="705">
        <f>H25</f>
        <v>100</v>
      </c>
      <c r="V25" s="704" t="s">
        <v>17</v>
      </c>
      <c r="W25" s="705">
        <f>J25</f>
        <v>100</v>
      </c>
      <c r="X25" s="706"/>
      <c r="Y25" s="3560"/>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60"/>
      <c r="Q26" s="1284"/>
      <c r="R26" s="704"/>
      <c r="S26" s="705"/>
      <c r="T26" s="704"/>
      <c r="U26" s="705"/>
      <c r="V26" s="704"/>
      <c r="W26" s="705"/>
      <c r="X26" s="706"/>
      <c r="Y26" s="3560"/>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60"/>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0"/>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60"/>
      <c r="Q28" s="1291" t="str">
        <f t="shared" si="8"/>
        <v>毗邻道路的类型与等级</v>
      </c>
      <c r="R28" s="708" t="s">
        <v>17</v>
      </c>
      <c r="S28" s="709">
        <f t="shared" si="10"/>
        <v>100</v>
      </c>
      <c r="T28" s="708" t="s">
        <v>17</v>
      </c>
      <c r="U28" s="709">
        <f t="shared" si="11"/>
        <v>100</v>
      </c>
      <c r="V28" s="708" t="s">
        <v>17</v>
      </c>
      <c r="W28" s="709">
        <f t="shared" si="12"/>
        <v>100</v>
      </c>
      <c r="X28" s="1294"/>
      <c r="Y28" s="3560"/>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60"/>
      <c r="Q29" s="1291"/>
      <c r="R29" s="708"/>
      <c r="S29" s="709"/>
      <c r="T29" s="708"/>
      <c r="U29" s="709"/>
      <c r="V29" s="708"/>
      <c r="W29" s="709"/>
      <c r="X29" s="1294"/>
      <c r="Y29" s="3560"/>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60"/>
      <c r="Q30" s="1291" t="str">
        <f t="shared" si="8"/>
        <v>土地级别</v>
      </c>
      <c r="R30" s="708" t="s">
        <v>17</v>
      </c>
      <c r="S30" s="709">
        <f t="shared" si="10"/>
        <v>100</v>
      </c>
      <c r="T30" s="708" t="s">
        <v>17</v>
      </c>
      <c r="U30" s="709">
        <f t="shared" si="11"/>
        <v>100</v>
      </c>
      <c r="V30" s="708" t="s">
        <v>17</v>
      </c>
      <c r="W30" s="709">
        <f t="shared" si="12"/>
        <v>100</v>
      </c>
      <c r="X30" s="1294"/>
      <c r="Y30" s="3560"/>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60"/>
      <c r="Q31" s="1291">
        <f t="shared" si="8"/>
        <v>111</v>
      </c>
      <c r="R31" s="708" t="s">
        <v>17</v>
      </c>
      <c r="S31" s="709">
        <f t="shared" si="10"/>
        <v>100</v>
      </c>
      <c r="T31" s="708" t="s">
        <v>17</v>
      </c>
      <c r="U31" s="709">
        <f t="shared" si="11"/>
        <v>100</v>
      </c>
      <c r="V31" s="708" t="s">
        <v>17</v>
      </c>
      <c r="W31" s="709">
        <f t="shared" si="12"/>
        <v>100</v>
      </c>
      <c r="X31" s="1294"/>
      <c r="Y31" s="3560"/>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64"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64"/>
      <c r="Q33" s="1291">
        <f t="shared" si="8"/>
        <v>111</v>
      </c>
      <c r="R33" s="711" t="s">
        <v>17</v>
      </c>
      <c r="S33" s="712">
        <f t="shared" si="10"/>
        <v>100</v>
      </c>
      <c r="T33" s="711" t="s">
        <v>17</v>
      </c>
      <c r="U33" s="712">
        <f t="shared" si="11"/>
        <v>100</v>
      </c>
      <c r="V33" s="711" t="s">
        <v>17</v>
      </c>
      <c r="W33" s="712">
        <f t="shared" si="12"/>
        <v>100</v>
      </c>
      <c r="X33" s="713"/>
      <c r="Y33" s="3564"/>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64"/>
      <c r="Q34" s="1291" t="str">
        <f>B34</f>
        <v>宗地面积</v>
      </c>
      <c r="R34" s="708" t="s">
        <v>17</v>
      </c>
      <c r="S34" s="709" t="e">
        <f t="shared" si="10"/>
        <v>#N/A</v>
      </c>
      <c r="T34" s="708" t="s">
        <v>17</v>
      </c>
      <c r="U34" s="709" t="e">
        <f t="shared" si="11"/>
        <v>#N/A</v>
      </c>
      <c r="V34" s="708" t="s">
        <v>17</v>
      </c>
      <c r="W34" s="709" t="e">
        <f t="shared" si="12"/>
        <v>#N/A</v>
      </c>
      <c r="X34" s="1294"/>
      <c r="Y34" s="3564"/>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64"/>
      <c r="Q35" s="1291" t="str">
        <f t="shared" ref="Q35:Q40" si="14">B35</f>
        <v>宗地形状</v>
      </c>
      <c r="R35" s="708" t="s">
        <v>17</v>
      </c>
      <c r="S35" s="709">
        <f t="shared" si="10"/>
        <v>100</v>
      </c>
      <c r="T35" s="708" t="s">
        <v>17</v>
      </c>
      <c r="U35" s="709">
        <f t="shared" si="11"/>
        <v>100</v>
      </c>
      <c r="V35" s="708" t="s">
        <v>17</v>
      </c>
      <c r="W35" s="709">
        <f t="shared" si="12"/>
        <v>100</v>
      </c>
      <c r="X35" s="1294"/>
      <c r="Y35" s="3564"/>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64"/>
      <c r="Q36" s="1291" t="str">
        <f t="shared" si="14"/>
        <v>宗地开发程度</v>
      </c>
      <c r="R36" s="704" t="s">
        <v>17</v>
      </c>
      <c r="S36" s="705">
        <f t="shared" si="10"/>
        <v>100</v>
      </c>
      <c r="T36" s="704" t="s">
        <v>17</v>
      </c>
      <c r="U36" s="705">
        <f t="shared" si="11"/>
        <v>100</v>
      </c>
      <c r="V36" s="704" t="s">
        <v>17</v>
      </c>
      <c r="W36" s="705">
        <f t="shared" si="12"/>
        <v>100</v>
      </c>
      <c r="X36" s="706"/>
      <c r="Y36" s="3564"/>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64" t="s">
        <v>1949</v>
      </c>
      <c r="Q37" s="1291" t="str">
        <f t="shared" si="14"/>
        <v>工程地质条件</v>
      </c>
      <c r="R37" s="708" t="s">
        <v>17</v>
      </c>
      <c r="S37" s="709">
        <f t="shared" si="10"/>
        <v>100</v>
      </c>
      <c r="T37" s="708" t="s">
        <v>17</v>
      </c>
      <c r="U37" s="709">
        <f t="shared" si="11"/>
        <v>100</v>
      </c>
      <c r="V37" s="708" t="s">
        <v>17</v>
      </c>
      <c r="W37" s="709">
        <f t="shared" si="12"/>
        <v>100</v>
      </c>
      <c r="X37" s="1294"/>
      <c r="Y37" s="3564"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64"/>
      <c r="Q38" s="1291">
        <f t="shared" si="14"/>
        <v>111</v>
      </c>
      <c r="R38" s="708" t="s">
        <v>17</v>
      </c>
      <c r="S38" s="709">
        <f t="shared" si="10"/>
        <v>100</v>
      </c>
      <c r="T38" s="708" t="s">
        <v>17</v>
      </c>
      <c r="U38" s="709">
        <f t="shared" si="11"/>
        <v>100</v>
      </c>
      <c r="V38" s="708" t="s">
        <v>17</v>
      </c>
      <c r="W38" s="709">
        <f t="shared" si="12"/>
        <v>100</v>
      </c>
      <c r="X38" s="1294"/>
      <c r="Y38" s="3564"/>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64"/>
      <c r="Q39" s="1291">
        <f t="shared" si="14"/>
        <v>111</v>
      </c>
      <c r="R39" s="708" t="s">
        <v>17</v>
      </c>
      <c r="S39" s="709">
        <f t="shared" si="10"/>
        <v>100</v>
      </c>
      <c r="T39" s="708" t="s">
        <v>17</v>
      </c>
      <c r="U39" s="709">
        <f t="shared" si="11"/>
        <v>100</v>
      </c>
      <c r="V39" s="708" t="s">
        <v>17</v>
      </c>
      <c r="W39" s="709">
        <f t="shared" si="12"/>
        <v>100</v>
      </c>
      <c r="X39" s="1294"/>
      <c r="Y39" s="3564"/>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64"/>
      <c r="Q40" s="1291">
        <f t="shared" si="14"/>
        <v>111</v>
      </c>
      <c r="R40" s="711" t="s">
        <v>17</v>
      </c>
      <c r="S40" s="712">
        <f t="shared" si="10"/>
        <v>100</v>
      </c>
      <c r="T40" s="711" t="s">
        <v>17</v>
      </c>
      <c r="U40" s="712">
        <f t="shared" si="11"/>
        <v>100</v>
      </c>
      <c r="V40" s="711" t="s">
        <v>17</v>
      </c>
      <c r="W40" s="712">
        <f t="shared" si="12"/>
        <v>100</v>
      </c>
      <c r="X40" s="713"/>
      <c r="Y40" s="3564"/>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57" t="str">
        <f>A41</f>
        <v>成交单价</v>
      </c>
      <c r="Q41" s="3557"/>
      <c r="R41" s="3588">
        <f>E41</f>
        <v>0</v>
      </c>
      <c r="S41" s="3588"/>
      <c r="T41" s="3588">
        <f>G41</f>
        <v>0</v>
      </c>
      <c r="U41" s="3588"/>
      <c r="V41" s="3588">
        <f>I41</f>
        <v>0</v>
      </c>
      <c r="W41" s="3588"/>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57" t="str">
        <f>A42</f>
        <v>比较价值（元/平方米）</v>
      </c>
      <c r="Q42" s="3557"/>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54" t="str">
        <f>A43</f>
        <v>估价对象XX用房的比较价值（楼面单价，元/平方米）</v>
      </c>
      <c r="Q43" s="3555"/>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68"/>
      <c r="H51" s="3557"/>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0.6</v>
      </c>
      <c r="D52" s="914">
        <v>0.25</v>
      </c>
      <c r="E52" s="645"/>
      <c r="F52" s="642" t="e">
        <f t="shared" si="15"/>
        <v>#DIV/0!</v>
      </c>
      <c r="G52" s="3620" t="s">
        <v>2153</v>
      </c>
      <c r="H52" s="856" t="str">
        <f>项目基本情况!B37</f>
        <v>六级</v>
      </c>
      <c r="I52" s="748">
        <f>SUMIF(修正!A57:A68,H52,修正!B57:B68)</f>
        <v>0.6</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0.3</v>
      </c>
      <c r="D53" s="914">
        <v>0.25</v>
      </c>
      <c r="E53" s="645"/>
      <c r="F53" s="642" t="e">
        <f t="shared" si="15"/>
        <v>#DIV/0!</v>
      </c>
      <c r="G53" s="3620"/>
      <c r="H53" s="856" t="str">
        <f>项目基本情况!B37</f>
        <v>六级</v>
      </c>
      <c r="I53" s="748">
        <f>SUMIF(修正!A57:A68,H53,修正!C57:C68)</f>
        <v>0.3</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0.25</v>
      </c>
      <c r="D54" s="914">
        <v>0.25</v>
      </c>
      <c r="E54" s="645"/>
      <c r="F54" s="642" t="e">
        <f t="shared" si="15"/>
        <v>#DIV/0!</v>
      </c>
      <c r="G54" s="3620"/>
      <c r="H54" s="856" t="str">
        <f>项目基本情况!B37</f>
        <v>六级</v>
      </c>
      <c r="I54" s="748">
        <f>SUMIF(修正!A57:A68,H54,修正!D57:D68)</f>
        <v>0.25</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t="str">
        <f>项目基本情况!B37</f>
        <v>六级</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0.15</v>
      </c>
      <c r="D59" s="914">
        <v>0.25</v>
      </c>
      <c r="E59" s="218">
        <f>'数据-汇总表'!E14</f>
        <v>0</v>
      </c>
      <c r="F59" s="642" t="e">
        <f t="shared" si="15"/>
        <v>#DIV/0!</v>
      </c>
      <c r="G59" s="1927" t="s">
        <v>2153</v>
      </c>
      <c r="H59" s="856" t="str">
        <f>项目基本情况!B37</f>
        <v>六级</v>
      </c>
      <c r="I59" s="748">
        <f>SUMIF(修正!A57:A68,H59,修正!G57:G68)</f>
        <v>0.15</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M1" zoomScale="90" zoomScaleNormal="80" zoomScaleSheetLayoutView="90" workbookViewId="0">
      <selection activeCell="F56" sqref="F56"/>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0" width="12" style="2674"/>
    <col min="21" max="21" width="13.875" style="2674" bestFit="1" customWidth="1"/>
    <col min="22"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155.58000000000001</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456</v>
      </c>
      <c r="C2" s="3138" t="s">
        <v>2197</v>
      </c>
      <c r="D2" s="2695" t="s">
        <v>2198</v>
      </c>
      <c r="E2" s="3139" t="s">
        <v>910</v>
      </c>
      <c r="F2" s="2695" t="s">
        <v>2199</v>
      </c>
      <c r="G2" s="2695" t="str">
        <f>IF(E2="商业",项目基本情况!B37,IF(E2="办公",项目基本情况!C37,IF(E2="住宅",项目基本情况!D37,IF(E2="工业",项目基本情况!E37,项目基本情况!F37))))</f>
        <v>六级</v>
      </c>
      <c r="H2" s="2695" t="s">
        <v>2200</v>
      </c>
      <c r="I2" s="2695" t="str">
        <f>IF(E2="商业",项目基本情况!B38,IF(E2="办公",项目基本情况!C38,IF(E2="住宅",项目基本情况!D38,IF(E2="工业",项目基本情况!E38,项目基本情况!F38))))</f>
        <v>Ⅵ-昌3</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10276</v>
      </c>
      <c r="U2" s="3143">
        <f>ROUND(466.76/3,2)</f>
        <v>155.59</v>
      </c>
      <c r="V2" s="3133">
        <f>ROUND(T2*U2/10000,0)</f>
        <v>160</v>
      </c>
      <c r="W2" s="3134"/>
      <c r="X2" s="3134"/>
      <c r="Y2" s="3134"/>
      <c r="Z2" s="3134"/>
      <c r="AA2" s="3134"/>
      <c r="AB2" s="3134"/>
      <c r="AC2" s="3134"/>
      <c r="AD2" s="3135"/>
      <c r="AE2" s="3135"/>
      <c r="AF2" s="3135"/>
      <c r="AG2" s="3135"/>
      <c r="AH2" s="3135"/>
      <c r="AI2" s="3135"/>
      <c r="AJ2" s="3136"/>
    </row>
    <row r="3" spans="1:36" ht="15.75">
      <c r="A3" s="3137" t="s">
        <v>2202</v>
      </c>
      <c r="B3" s="3137">
        <f>ROUND(B2*10000/D1,0)</f>
        <v>29310</v>
      </c>
      <c r="C3" s="3138" t="s">
        <v>2203</v>
      </c>
      <c r="D3" s="2695" t="s">
        <v>2204</v>
      </c>
      <c r="E3" s="3139" t="s">
        <v>2848</v>
      </c>
      <c r="F3" s="1935" t="s">
        <v>3114</v>
      </c>
      <c r="G3" s="3144">
        <v>2.5</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8099</v>
      </c>
      <c r="U3" s="3143">
        <f>U2</f>
        <v>155.59</v>
      </c>
      <c r="V3" s="3133">
        <f t="shared" ref="V3:V16" si="1">ROUND(T3*U3/10000,0)</f>
        <v>126</v>
      </c>
      <c r="W3" s="3134"/>
      <c r="X3" s="3134"/>
      <c r="Y3" s="3134"/>
      <c r="Z3" s="3134"/>
      <c r="AA3" s="3134"/>
      <c r="AB3" s="3134"/>
      <c r="AC3" s="3134"/>
      <c r="AD3" s="3135"/>
      <c r="AE3" s="3135"/>
      <c r="AF3" s="3135"/>
      <c r="AG3" s="3135"/>
      <c r="AH3" s="3135"/>
      <c r="AI3" s="3135"/>
      <c r="AJ3" s="3136"/>
    </row>
    <row r="4" spans="1:36" ht="15.75">
      <c r="A4" s="3627"/>
      <c r="B4" s="3628"/>
      <c r="C4" s="3628"/>
      <c r="D4" s="3629"/>
      <c r="E4" s="3629"/>
      <c r="F4" s="3629"/>
      <c r="G4" s="3629"/>
      <c r="H4" s="3629"/>
      <c r="I4" s="3629"/>
      <c r="J4" s="3630"/>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1.0004999999999999</v>
      </c>
      <c r="T4" s="3133">
        <f t="shared" si="0"/>
        <v>6845</v>
      </c>
      <c r="U4" s="3143">
        <f>466.76-U2-U3</f>
        <v>155.57999999999996</v>
      </c>
      <c r="V4" s="3133">
        <f t="shared" si="1"/>
        <v>106</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9570</v>
      </c>
      <c r="D5" s="3147">
        <f>ROUND(C6+C20,0)</f>
        <v>9570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6037</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9590</v>
      </c>
      <c r="D6" s="3158" t="s">
        <v>2213</v>
      </c>
      <c r="E6" s="2699"/>
      <c r="F6" s="2699"/>
      <c r="G6" s="3159"/>
      <c r="H6" s="3159"/>
      <c r="I6" s="3159"/>
      <c r="J6" s="3160"/>
      <c r="K6" s="1340"/>
      <c r="L6" s="3141" t="s">
        <v>2214</v>
      </c>
      <c r="M6" s="3142">
        <f>SUMPRODUCT((区片价!B127:B189=I2)*(区片价!C3:G3=E2)*(区片价!C127:G189))</f>
        <v>9590</v>
      </c>
      <c r="N6" s="2254">
        <f>SUMPRODUCT((因素修正幅度!B127:B189=I2)*(因素修正幅度!C3:G3=E2)*(因素修正幅度!C127:G189))</f>
        <v>0.124</v>
      </c>
      <c r="O6" s="1939"/>
      <c r="P6" s="1939"/>
      <c r="Q6" s="1939"/>
      <c r="R6" s="3133">
        <v>5</v>
      </c>
      <c r="S6" s="3133">
        <f>ROUND(SUMPRODUCT((B107:B111=R6)*(C106:N106=G2)*(C107:N111)),4)</f>
        <v>0.84799999999999998</v>
      </c>
      <c r="T6" s="3133">
        <f t="shared" si="0"/>
        <v>5802</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六级</v>
      </c>
      <c r="Y7" s="3167" t="s">
        <v>2219</v>
      </c>
      <c r="Z7" s="3168">
        <f>G3</f>
        <v>2.5</v>
      </c>
      <c r="AA7" s="3134"/>
      <c r="AB7" s="3134"/>
      <c r="AC7" s="3134"/>
      <c r="AD7" s="3135"/>
      <c r="AE7" s="3135"/>
      <c r="AF7" s="3135"/>
      <c r="AG7" s="3135"/>
      <c r="AH7" s="3135"/>
      <c r="AI7" s="3135"/>
      <c r="AJ7" s="3136"/>
    </row>
    <row r="8" spans="1:36" ht="25.5">
      <c r="A8" s="3169"/>
      <c r="B8" s="174" t="s">
        <v>2220</v>
      </c>
      <c r="C8" s="3170" t="s">
        <v>3115</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25" t="s">
        <v>2223</v>
      </c>
      <c r="X8" s="3626"/>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26"/>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26"/>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-20</v>
      </c>
      <c r="D20" s="3631" t="s">
        <v>2262</v>
      </c>
      <c r="E20" s="3632"/>
      <c r="F20" s="3631" t="s">
        <v>2259</v>
      </c>
      <c r="G20" s="3632"/>
      <c r="H20" s="3227" t="s">
        <v>3116</v>
      </c>
      <c r="I20" s="3227" t="s">
        <v>3117</v>
      </c>
      <c r="J20" s="3228" t="s">
        <v>3118</v>
      </c>
      <c r="K20" s="3229" t="s">
        <v>3119</v>
      </c>
      <c r="L20" s="3229" t="s">
        <v>3120</v>
      </c>
      <c r="M20" s="3229" t="s">
        <v>3121</v>
      </c>
      <c r="N20" s="3229"/>
      <c r="O20" s="3230" t="s">
        <v>3122</v>
      </c>
      <c r="P20" s="2674"/>
      <c r="Q20" s="1939"/>
      <c r="R20" s="3225"/>
      <c r="S20" s="3225"/>
      <c r="T20" s="1939"/>
      <c r="U20" s="1939"/>
      <c r="V20" s="1939"/>
      <c r="W20" s="1939"/>
      <c r="X20" s="1939"/>
      <c r="Y20" s="1939"/>
      <c r="Z20" s="3218"/>
      <c r="AA20" s="3218"/>
      <c r="AB20" s="3218"/>
      <c r="AC20" s="3218"/>
      <c r="AD20" s="3218"/>
      <c r="AE20" s="3218"/>
      <c r="AF20" s="3218"/>
    </row>
    <row r="21" spans="1:35" s="3156" customFormat="1" ht="15" thickBot="1">
      <c r="A21" s="3125"/>
      <c r="B21" s="2705" t="s">
        <v>2261</v>
      </c>
      <c r="C21" s="3231">
        <f>SUMPRODUCT((修正!A2:A7=E2)*(修正!B1:M1=G2)*(修正!B2:M7))</f>
        <v>2.5</v>
      </c>
      <c r="D21" s="2259" t="str">
        <f>IF(OR(G2="八级",G2="九级",G2="十级",G2="十一级",G2="十二级"),"五通一平","七通一平")</f>
        <v>七通一平</v>
      </c>
      <c r="E21" s="3232">
        <f>SUMPRODUCT((修正!B1:M1=G2)*(修正!B17:M17))</f>
        <v>315</v>
      </c>
      <c r="F21" s="3233"/>
      <c r="G21" s="2717">
        <f>SUM(H21:O21)</f>
        <v>265</v>
      </c>
      <c r="H21" s="3231">
        <f>SUMPRODUCT((七通一平=H20)*(修正!B1:M1=G2)*(修正!B8:M16))</f>
        <v>70</v>
      </c>
      <c r="I21" s="3231">
        <f>SUMPRODUCT((七通一平=I20)*(修正!B1:M1=G2)*(修正!B8:M16))</f>
        <v>60</v>
      </c>
      <c r="J21" s="3234">
        <f>SUMPRODUCT((七通一平=J20)*(修正!B1:M1=G2)*(修正!B8:M16))</f>
        <v>15</v>
      </c>
      <c r="K21" s="3231">
        <f>SUMPRODUCT((七通一平=K20)*(修正!B1:M1=G2)*(修正!B8:M16))</f>
        <v>25</v>
      </c>
      <c r="L21" s="3231">
        <f>SUMPRODUCT((七通一平=L20)*(修正!B1:M1=G2)*(修正!B8:M16))</f>
        <v>40</v>
      </c>
      <c r="M21" s="3231">
        <f>SUMPRODUCT((七通一平=M20)*(修正!B1:M1=G2)*(修正!B8:M16))</f>
        <v>40</v>
      </c>
      <c r="N21" s="3231">
        <f>SUMPRODUCT((七通一平=N20)*(修正!B1:M1=G2)*(修正!B8:M16))</f>
        <v>0</v>
      </c>
      <c r="O21" s="3235">
        <f>SUMPRODUCT((七通一平=O20)*(修正!B1:M1=G2)*(修正!B8:M16))</f>
        <v>15</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1.0182</v>
      </c>
      <c r="D23" s="3242" t="s">
        <v>2266</v>
      </c>
      <c r="E23" s="3243">
        <v>44197</v>
      </c>
      <c r="F23" s="3242" t="s">
        <v>2267</v>
      </c>
      <c r="G23" s="3244">
        <f>项目基本情况!D3</f>
        <v>44733</v>
      </c>
      <c r="H23" s="3245" t="s">
        <v>3101</v>
      </c>
      <c r="I23" s="3246" t="str">
        <f>IF(H23="季度增幅（自定义）",SUMIF(N25:N28,E2,O25:O28),"")</f>
        <v/>
      </c>
      <c r="J23" s="3247"/>
      <c r="K23" s="3218"/>
      <c r="L23" s="3248" t="s">
        <v>2268</v>
      </c>
      <c r="M23" s="3249">
        <f>ROUND(SUMIF(地价!B2:G2,E2,地价!B13:G13),0)</f>
        <v>348</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0.67710000000000004</v>
      </c>
      <c r="D24" s="3252" t="s">
        <v>2271</v>
      </c>
      <c r="E24" s="3253">
        <f>存贷款利率!E20/100</f>
        <v>4.3499999999999997E-2</v>
      </c>
      <c r="F24" s="3252" t="s">
        <v>2263</v>
      </c>
      <c r="G24" s="3254">
        <f>SUMIF(M30:Q30,E2,M33:Q33)</f>
        <v>5.5E-2</v>
      </c>
      <c r="H24" s="3252" t="s">
        <v>2272</v>
      </c>
      <c r="I24" s="3255">
        <f>项目基本情况!E15</f>
        <v>17</v>
      </c>
      <c r="J24" s="3256">
        <f>IF(E2="住宅",70,IF(E2="商业",40,50))</f>
        <v>40</v>
      </c>
      <c r="K24" s="3218"/>
      <c r="L24" s="3257" t="s">
        <v>2273</v>
      </c>
      <c r="M24" s="3258">
        <f>ROUND(SUMPRODUCT((地价!A4:A13=YEAR(G23)&amp;"-"&amp;ROUNDUP(MONTH(G23)/3,0))*(地价!B2:G2=E2)*(地价!B4:G13)),0)</f>
        <v>354</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3123</v>
      </c>
      <c r="C25" s="3262">
        <f>IF(B25="容积率修正",IF(G3&lt;10,D26,J26),C27)</f>
        <v>0</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1</v>
      </c>
      <c r="E26" s="3269">
        <f>ROUNDDOWN(G3,1)</f>
        <v>2.5</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69">
        <f>ROUNDUP(G3,1)</f>
        <v>2.5</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1.0369999999999999</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456</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114</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0</v>
      </c>
      <c r="D33" s="3309"/>
      <c r="E33" s="3047">
        <f>ROUND(C33*D33/10000,0)</f>
        <v>0</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t="e">
        <f>ROUND(IF(E2="工业",C33*M42,IF(B25="楼层修正",SUM(V2:V16)*M41*10000/D34,C33*M41)),0)</f>
        <v>#DIV/0!</v>
      </c>
      <c r="D34" s="3315"/>
      <c r="E34" s="3047">
        <f>ROUND(IF(B25="楼层修正",SUM(V2:V16)*M41,C34*D34/10000),0)</f>
        <v>98</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36"/>
      <c r="B37" s="2959" t="s">
        <v>2300</v>
      </c>
      <c r="C37" s="178">
        <f>ROUND(C5*C22*C23*C24*C28*F37,0)</f>
        <v>4105</v>
      </c>
      <c r="D37" s="3309">
        <v>155.58000000000001</v>
      </c>
      <c r="E37" s="174">
        <f>ROUND(C37*D37/10000,0)</f>
        <v>64</v>
      </c>
      <c r="F37" s="174">
        <f>SUMIF(修正!A57:A68,G2,修正!B57:B68)</f>
        <v>0.6</v>
      </c>
      <c r="G37" s="174">
        <f>ROUND(IF(E2="工业",C37*$M$42,C37*$M$41),0)</f>
        <v>1026</v>
      </c>
      <c r="H37" s="174">
        <f>D37</f>
        <v>155.58000000000001</v>
      </c>
      <c r="I37" s="174">
        <f>ROUND(G37*H37/10000,0)</f>
        <v>16</v>
      </c>
      <c r="J37" s="3638"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37"/>
      <c r="B38" s="2960" t="s">
        <v>2301</v>
      </c>
      <c r="C38" s="178">
        <f>ROUND(C5*C22*C23*C24*C28*F38,0)</f>
        <v>2053</v>
      </c>
      <c r="D38" s="3309"/>
      <c r="E38" s="174">
        <f t="shared" ref="E38:E42" si="4">ROUND(C38*D38/10000,0)</f>
        <v>0</v>
      </c>
      <c r="F38" s="174">
        <f>SUMIF(修正!A57:A68,G2,修正!C57:C68)</f>
        <v>0.3</v>
      </c>
      <c r="G38" s="174">
        <f>ROUND(IF(E2="工业",C38*$M$42,C38*$M$41),0)</f>
        <v>513</v>
      </c>
      <c r="H38" s="174">
        <f t="shared" ref="H38:H42" si="5">D38</f>
        <v>0</v>
      </c>
      <c r="I38" s="174">
        <f t="shared" ref="I38:I42" si="6">ROUND(G38*H38/10000,0)</f>
        <v>0</v>
      </c>
      <c r="J38" s="3637"/>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37"/>
      <c r="B39" s="2960" t="s">
        <v>2965</v>
      </c>
      <c r="C39" s="178">
        <f>ROUND(C5*C22*C23*C24*C28*F39,0)</f>
        <v>1710</v>
      </c>
      <c r="D39" s="3309"/>
      <c r="E39" s="174">
        <f t="shared" si="4"/>
        <v>0</v>
      </c>
      <c r="F39" s="174">
        <f>SUMIF(修正!A57:A68,G2,修正!D57:D68)</f>
        <v>0.25</v>
      </c>
      <c r="G39" s="174">
        <f>ROUND(IF(E2="工业",C39*$M$42,C39*$M$41),0)</f>
        <v>428</v>
      </c>
      <c r="H39" s="174">
        <f t="shared" si="5"/>
        <v>0</v>
      </c>
      <c r="I39" s="174">
        <f t="shared" si="6"/>
        <v>0</v>
      </c>
      <c r="J39" s="3637"/>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1710</v>
      </c>
      <c r="D40" s="3309"/>
      <c r="E40" s="174">
        <f t="shared" si="4"/>
        <v>0</v>
      </c>
      <c r="F40" s="178">
        <f>SUMIF(修正!A57:A68,G2,修正!E57:E68)</f>
        <v>0.25</v>
      </c>
      <c r="G40" s="174">
        <f>ROUND(IF(E2="工业",C40*$M$42,C40*$M$41),0)</f>
        <v>428</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0.25</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0.15</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5.5E-2</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1.0369999999999999</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t="s">
        <v>3124</v>
      </c>
      <c r="D51" s="2978">
        <f t="shared" ref="D51:D59" si="7">SUMIF($J$50:$N$50,C51,J51:N51)</f>
        <v>0</v>
      </c>
      <c r="E51" s="2979">
        <f>ROUND(SUM(D51:D59),4)</f>
        <v>3.6999999999999998E-2</v>
      </c>
      <c r="F51" s="2980">
        <f>IF(E2="商业",SUMIF(L1:L12,G2,N1:N12),"——")</f>
        <v>0.124</v>
      </c>
      <c r="G51" s="2981">
        <f>H51</f>
        <v>1.8599999999999998E-2</v>
      </c>
      <c r="H51" s="2982">
        <f t="shared" ref="H51:H59" si="8">IFERROR(ROUNDDOWN($F$51*I51/2,4),"——")</f>
        <v>1.8599999999999998E-2</v>
      </c>
      <c r="I51" s="2983">
        <v>0.3</v>
      </c>
      <c r="J51" s="2984">
        <f t="shared" ref="J51:J59" si="9">K51+$G51</f>
        <v>3.7199999999999997E-2</v>
      </c>
      <c r="K51" s="2984">
        <f t="shared" ref="K51:K59" si="10">$L51+$G51</f>
        <v>1.8599999999999998E-2</v>
      </c>
      <c r="L51" s="2984">
        <v>0</v>
      </c>
      <c r="M51" s="2984">
        <f t="shared" ref="M51:N59" si="11">L51-$G51</f>
        <v>-1.8599999999999998E-2</v>
      </c>
      <c r="N51" s="2984">
        <f t="shared" si="11"/>
        <v>-3.7199999999999997E-2</v>
      </c>
    </row>
    <row r="52" spans="1:14" s="1939" customFormat="1" ht="38.25">
      <c r="A52" s="2971" t="s">
        <v>2317</v>
      </c>
      <c r="B52" s="2985" t="str">
        <f>估价对象房地状况!C18</f>
        <v>估价对象周边道路状况、公共交通通达情况、停车便捷程度，综合评价交通便捷度较好</v>
      </c>
      <c r="C52" s="2977" t="s">
        <v>3125</v>
      </c>
      <c r="D52" s="2978">
        <f t="shared" si="7"/>
        <v>1.3599999999999999E-2</v>
      </c>
      <c r="E52" s="2986"/>
      <c r="F52" s="2987"/>
      <c r="G52" s="2981">
        <f t="shared" ref="G52:G59" si="12">H52</f>
        <v>1.3599999999999999E-2</v>
      </c>
      <c r="H52" s="2982">
        <f t="shared" si="8"/>
        <v>1.3599999999999999E-2</v>
      </c>
      <c r="I52" s="2983">
        <v>0.22</v>
      </c>
      <c r="J52" s="2984">
        <f t="shared" si="9"/>
        <v>2.7199999999999998E-2</v>
      </c>
      <c r="K52" s="2984">
        <f t="shared" si="10"/>
        <v>1.3599999999999999E-2</v>
      </c>
      <c r="L52" s="2984">
        <v>0</v>
      </c>
      <c r="M52" s="2984">
        <f t="shared" si="11"/>
        <v>-1.3599999999999999E-2</v>
      </c>
      <c r="N52" s="2984">
        <f t="shared" si="11"/>
        <v>-2.7199999999999998E-2</v>
      </c>
    </row>
    <row r="53" spans="1:14" s="1939" customFormat="1" ht="36">
      <c r="A53" s="2988" t="s">
        <v>2839</v>
      </c>
      <c r="B53" s="2985">
        <f>估价对象房地状况!C19</f>
        <v>0</v>
      </c>
      <c r="C53" s="2977" t="s">
        <v>3125</v>
      </c>
      <c r="D53" s="2978">
        <f t="shared" si="7"/>
        <v>7.4000000000000003E-3</v>
      </c>
      <c r="E53" s="2986"/>
      <c r="F53" s="2987"/>
      <c r="G53" s="2981">
        <f t="shared" si="12"/>
        <v>7.4000000000000003E-3</v>
      </c>
      <c r="H53" s="2982">
        <f t="shared" si="8"/>
        <v>7.4000000000000003E-3</v>
      </c>
      <c r="I53" s="2983">
        <v>0.12</v>
      </c>
      <c r="J53" s="2984">
        <f t="shared" si="9"/>
        <v>1.4800000000000001E-2</v>
      </c>
      <c r="K53" s="2984">
        <f t="shared" si="10"/>
        <v>7.4000000000000003E-3</v>
      </c>
      <c r="L53" s="2984">
        <v>0</v>
      </c>
      <c r="M53" s="2984">
        <f t="shared" si="11"/>
        <v>-7.4000000000000003E-3</v>
      </c>
      <c r="N53" s="2984">
        <f t="shared" si="11"/>
        <v>-1.4800000000000001E-2</v>
      </c>
    </row>
    <row r="54" spans="1:14" s="1939" customFormat="1" ht="36.75">
      <c r="A54" s="2971" t="s">
        <v>2318</v>
      </c>
      <c r="B54" s="2989" t="s">
        <v>2319</v>
      </c>
      <c r="C54" s="2977" t="s">
        <v>3125</v>
      </c>
      <c r="D54" s="2978">
        <f t="shared" si="7"/>
        <v>3.0999999999999999E-3</v>
      </c>
      <c r="E54" s="2986"/>
      <c r="F54" s="2987"/>
      <c r="G54" s="2981">
        <f t="shared" si="12"/>
        <v>3.0999999999999999E-3</v>
      </c>
      <c r="H54" s="2982">
        <f t="shared" si="8"/>
        <v>3.0999999999999999E-3</v>
      </c>
      <c r="I54" s="2983">
        <v>0.05</v>
      </c>
      <c r="J54" s="2984">
        <f t="shared" si="9"/>
        <v>6.1999999999999998E-3</v>
      </c>
      <c r="K54" s="2984">
        <f t="shared" si="10"/>
        <v>3.0999999999999999E-3</v>
      </c>
      <c r="L54" s="2984">
        <v>0</v>
      </c>
      <c r="M54" s="2984">
        <f t="shared" si="11"/>
        <v>-3.0999999999999999E-3</v>
      </c>
      <c r="N54" s="2984">
        <f t="shared" si="11"/>
        <v>-6.1999999999999998E-3</v>
      </c>
    </row>
    <row r="55" spans="1:14" s="1939" customFormat="1" ht="24">
      <c r="A55" s="2971" t="s">
        <v>2320</v>
      </c>
      <c r="B55" s="2985">
        <f>估价对象房地状况!C24</f>
        <v>0</v>
      </c>
      <c r="C55" s="2977" t="s">
        <v>3124</v>
      </c>
      <c r="D55" s="2978">
        <f t="shared" si="7"/>
        <v>0</v>
      </c>
      <c r="E55" s="2986"/>
      <c r="F55" s="2987"/>
      <c r="G55" s="2981">
        <f t="shared" si="12"/>
        <v>4.8999999999999998E-3</v>
      </c>
      <c r="H55" s="2982">
        <f t="shared" si="8"/>
        <v>4.8999999999999998E-3</v>
      </c>
      <c r="I55" s="2983">
        <v>0.08</v>
      </c>
      <c r="J55" s="2984">
        <f t="shared" si="9"/>
        <v>9.7999999999999997E-3</v>
      </c>
      <c r="K55" s="2984">
        <f t="shared" si="10"/>
        <v>4.8999999999999998E-3</v>
      </c>
      <c r="L55" s="2984">
        <v>0</v>
      </c>
      <c r="M55" s="2984">
        <f t="shared" si="11"/>
        <v>-4.8999999999999998E-3</v>
      </c>
      <c r="N55" s="2984">
        <f t="shared" si="11"/>
        <v>-9.7999999999999997E-3</v>
      </c>
    </row>
    <row r="56" spans="1:14" s="1939" customFormat="1" ht="24">
      <c r="A56" s="2971" t="s">
        <v>2321</v>
      </c>
      <c r="B56" s="2990" t="s">
        <v>2322</v>
      </c>
      <c r="C56" s="2977" t="s">
        <v>3125</v>
      </c>
      <c r="D56" s="2978">
        <f t="shared" si="7"/>
        <v>3.0999999999999999E-3</v>
      </c>
      <c r="E56" s="2986"/>
      <c r="F56" s="2987"/>
      <c r="G56" s="2981">
        <f t="shared" si="12"/>
        <v>3.0999999999999999E-3</v>
      </c>
      <c r="H56" s="2982">
        <f t="shared" si="8"/>
        <v>3.0999999999999999E-3</v>
      </c>
      <c r="I56" s="2983">
        <v>0.05</v>
      </c>
      <c r="J56" s="2984">
        <f t="shared" si="9"/>
        <v>6.1999999999999998E-3</v>
      </c>
      <c r="K56" s="2984">
        <f t="shared" si="10"/>
        <v>3.0999999999999999E-3</v>
      </c>
      <c r="L56" s="2984">
        <v>0</v>
      </c>
      <c r="M56" s="2984">
        <f t="shared" si="11"/>
        <v>-3.0999999999999999E-3</v>
      </c>
      <c r="N56" s="2984">
        <f t="shared" si="11"/>
        <v>-6.1999999999999998E-3</v>
      </c>
    </row>
    <row r="57" spans="1:14" s="1939" customFormat="1" ht="25.5">
      <c r="A57" s="2991" t="s">
        <v>2323</v>
      </c>
      <c r="B57" s="2992" t="str">
        <f>估价对象房地状况!C21</f>
        <v>估价对象所在区域公共配套设施齐备情况</v>
      </c>
      <c r="C57" s="2977" t="s">
        <v>3124</v>
      </c>
      <c r="D57" s="2978">
        <f t="shared" si="7"/>
        <v>0</v>
      </c>
      <c r="E57" s="2986"/>
      <c r="F57" s="2987"/>
      <c r="G57" s="2981">
        <f t="shared" si="12"/>
        <v>3.0999999999999999E-3</v>
      </c>
      <c r="H57" s="2982">
        <f t="shared" si="8"/>
        <v>3.0999999999999999E-3</v>
      </c>
      <c r="I57" s="2983">
        <v>0.05</v>
      </c>
      <c r="J57" s="2984">
        <f t="shared" si="9"/>
        <v>6.1999999999999998E-3</v>
      </c>
      <c r="K57" s="2984">
        <f t="shared" si="10"/>
        <v>3.0999999999999999E-3</v>
      </c>
      <c r="L57" s="2984">
        <v>0</v>
      </c>
      <c r="M57" s="2984">
        <f t="shared" si="11"/>
        <v>-3.0999999999999999E-3</v>
      </c>
      <c r="N57" s="2984">
        <f t="shared" si="11"/>
        <v>-6.1999999999999998E-3</v>
      </c>
    </row>
    <row r="58" spans="1:14" s="1939" customFormat="1" ht="24">
      <c r="A58" s="2991" t="s">
        <v>2324</v>
      </c>
      <c r="B58" s="2985" t="str">
        <f>估价对象房地状况!C22</f>
        <v>估价对象所在区域基础设施水平</v>
      </c>
      <c r="C58" s="2977" t="s">
        <v>3126</v>
      </c>
      <c r="D58" s="2978">
        <f t="shared" si="7"/>
        <v>9.7999999999999997E-3</v>
      </c>
      <c r="E58" s="2986"/>
      <c r="F58" s="2987"/>
      <c r="G58" s="2981">
        <f t="shared" si="12"/>
        <v>4.8999999999999998E-3</v>
      </c>
      <c r="H58" s="2982">
        <f t="shared" si="8"/>
        <v>4.8999999999999998E-3</v>
      </c>
      <c r="I58" s="2983">
        <v>0.08</v>
      </c>
      <c r="J58" s="2984">
        <f t="shared" si="9"/>
        <v>9.7999999999999997E-3</v>
      </c>
      <c r="K58" s="2984">
        <f t="shared" si="10"/>
        <v>4.8999999999999998E-3</v>
      </c>
      <c r="L58" s="2984">
        <v>0</v>
      </c>
      <c r="M58" s="2984">
        <f t="shared" si="11"/>
        <v>-4.8999999999999998E-3</v>
      </c>
      <c r="N58" s="2984">
        <f t="shared" si="11"/>
        <v>-9.7999999999999997E-3</v>
      </c>
    </row>
    <row r="59" spans="1:14" s="1939" customFormat="1" ht="26.25" thickBot="1">
      <c r="A59" s="2993" t="s">
        <v>2325</v>
      </c>
      <c r="B59" s="2994" t="str">
        <f>估价对象房地状况!C20</f>
        <v>区域自然环境：；人文环境；综合评价环境状况一般</v>
      </c>
      <c r="C59" s="2977" t="s">
        <v>3124</v>
      </c>
      <c r="D59" s="2978">
        <f t="shared" si="7"/>
        <v>0</v>
      </c>
      <c r="E59" s="2995"/>
      <c r="F59" s="2987"/>
      <c r="G59" s="2981">
        <f t="shared" si="12"/>
        <v>3.0999999999999999E-3</v>
      </c>
      <c r="H59" s="2982">
        <f t="shared" si="8"/>
        <v>3.0999999999999999E-3</v>
      </c>
      <c r="I59" s="2996">
        <v>0.05</v>
      </c>
      <c r="J59" s="2984">
        <f t="shared" si="9"/>
        <v>6.1999999999999998E-3</v>
      </c>
      <c r="K59" s="2984">
        <f t="shared" si="10"/>
        <v>3.0999999999999999E-3</v>
      </c>
      <c r="L59" s="2984">
        <v>0</v>
      </c>
      <c r="M59" s="2984">
        <f t="shared" si="11"/>
        <v>-3.0999999999999999E-3</v>
      </c>
      <c r="N59" s="2984">
        <f t="shared" si="11"/>
        <v>-6.1999999999999998E-3</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3">IFERROR(ROUNDDOWN($F$62*I62/2,4),"——")</f>
        <v>——</v>
      </c>
      <c r="I62" s="2983">
        <v>0.25</v>
      </c>
      <c r="J62" s="2984">
        <f t="shared" ref="J62:J70" si="14">K62+$G62</f>
        <v>0</v>
      </c>
      <c r="K62" s="2984">
        <f t="shared" ref="K62:K70" si="15">$L62+$G62</f>
        <v>0</v>
      </c>
      <c r="L62" s="2984">
        <v>0</v>
      </c>
      <c r="M62" s="2984">
        <f t="shared" ref="M62:N70" si="16">L62-$G62</f>
        <v>0</v>
      </c>
      <c r="N62" s="2984">
        <f t="shared" si="16"/>
        <v>0</v>
      </c>
    </row>
    <row r="63" spans="1:14" s="1939" customFormat="1" ht="38.25">
      <c r="A63" s="2971" t="s">
        <v>2317</v>
      </c>
      <c r="B63" s="2985" t="str">
        <f>估价对象房地状况!C18</f>
        <v>估价对象周边道路状况、公共交通通达情况、停车便捷程度，综合评价交通便捷度较好</v>
      </c>
      <c r="C63" s="2977"/>
      <c r="D63" s="2978">
        <f t="shared" ref="D63:D70" si="17">SUMIF($J$61:$N$61,C63,J63:N63)</f>
        <v>0</v>
      </c>
      <c r="E63" s="2986"/>
      <c r="F63" s="2987"/>
      <c r="G63" s="2981"/>
      <c r="H63" s="2982" t="str">
        <f t="shared" si="13"/>
        <v>——</v>
      </c>
      <c r="I63" s="2983">
        <v>0.26</v>
      </c>
      <c r="J63" s="2984">
        <f t="shared" si="14"/>
        <v>0</v>
      </c>
      <c r="K63" s="2984">
        <f t="shared" si="15"/>
        <v>0</v>
      </c>
      <c r="L63" s="2984">
        <v>0</v>
      </c>
      <c r="M63" s="2984">
        <f t="shared" si="16"/>
        <v>0</v>
      </c>
      <c r="N63" s="2984">
        <f t="shared" si="16"/>
        <v>0</v>
      </c>
    </row>
    <row r="64" spans="1:14" s="1939" customFormat="1" ht="36">
      <c r="A64" s="2988" t="s">
        <v>2839</v>
      </c>
      <c r="B64" s="2985">
        <f>估价对象房地状况!C19</f>
        <v>0</v>
      </c>
      <c r="C64" s="2977"/>
      <c r="D64" s="2978">
        <f t="shared" si="17"/>
        <v>0</v>
      </c>
      <c r="E64" s="2986"/>
      <c r="F64" s="2987"/>
      <c r="G64" s="2981"/>
      <c r="H64" s="2982" t="str">
        <f t="shared" si="13"/>
        <v>——</v>
      </c>
      <c r="I64" s="2983">
        <v>0.11</v>
      </c>
      <c r="J64" s="2984">
        <f t="shared" si="14"/>
        <v>0</v>
      </c>
      <c r="K64" s="2984">
        <f t="shared" si="15"/>
        <v>0</v>
      </c>
      <c r="L64" s="2984">
        <v>0</v>
      </c>
      <c r="M64" s="2984">
        <f t="shared" si="16"/>
        <v>0</v>
      </c>
      <c r="N64" s="2984">
        <f t="shared" si="16"/>
        <v>0</v>
      </c>
    </row>
    <row r="65" spans="1:33" s="1939" customFormat="1" ht="36.75">
      <c r="A65" s="2971" t="s">
        <v>2318</v>
      </c>
      <c r="B65" s="2989" t="s">
        <v>2319</v>
      </c>
      <c r="C65" s="2977"/>
      <c r="D65" s="2978">
        <f t="shared" si="17"/>
        <v>0</v>
      </c>
      <c r="E65" s="2986"/>
      <c r="F65" s="2987"/>
      <c r="G65" s="2981"/>
      <c r="H65" s="2982" t="str">
        <f t="shared" si="13"/>
        <v>——</v>
      </c>
      <c r="I65" s="2983">
        <v>0.05</v>
      </c>
      <c r="J65" s="2984">
        <f t="shared" si="14"/>
        <v>0</v>
      </c>
      <c r="K65" s="2984">
        <f t="shared" si="15"/>
        <v>0</v>
      </c>
      <c r="L65" s="2984">
        <v>0</v>
      </c>
      <c r="M65" s="2984">
        <f t="shared" si="16"/>
        <v>0</v>
      </c>
      <c r="N65" s="2984">
        <f t="shared" si="16"/>
        <v>0</v>
      </c>
    </row>
    <row r="66" spans="1:33" s="1939" customFormat="1" ht="24">
      <c r="A66" s="2971" t="s">
        <v>2320</v>
      </c>
      <c r="B66" s="2985">
        <f>估价对象房地状况!C24</f>
        <v>0</v>
      </c>
      <c r="C66" s="2977"/>
      <c r="D66" s="2978">
        <f t="shared" si="17"/>
        <v>0</v>
      </c>
      <c r="E66" s="2986"/>
      <c r="F66" s="2987"/>
      <c r="G66" s="2981"/>
      <c r="H66" s="2982" t="str">
        <f t="shared" si="13"/>
        <v>——</v>
      </c>
      <c r="I66" s="2983">
        <v>0.05</v>
      </c>
      <c r="J66" s="2984">
        <f t="shared" si="14"/>
        <v>0</v>
      </c>
      <c r="K66" s="2984">
        <f t="shared" si="15"/>
        <v>0</v>
      </c>
      <c r="L66" s="2984">
        <v>0</v>
      </c>
      <c r="M66" s="2984">
        <f t="shared" si="16"/>
        <v>0</v>
      </c>
      <c r="N66" s="2984">
        <f t="shared" si="16"/>
        <v>0</v>
      </c>
    </row>
    <row r="67" spans="1:33" s="1939" customFormat="1" ht="24">
      <c r="A67" s="2971" t="s">
        <v>2321</v>
      </c>
      <c r="B67" s="2990" t="s">
        <v>2322</v>
      </c>
      <c r="C67" s="2977"/>
      <c r="D67" s="2978">
        <f t="shared" si="17"/>
        <v>0</v>
      </c>
      <c r="E67" s="2986"/>
      <c r="F67" s="2987"/>
      <c r="G67" s="2981"/>
      <c r="H67" s="2982" t="str">
        <f t="shared" si="13"/>
        <v>——</v>
      </c>
      <c r="I67" s="2983">
        <v>0.06</v>
      </c>
      <c r="J67" s="2984">
        <f t="shared" si="14"/>
        <v>0</v>
      </c>
      <c r="K67" s="2984">
        <f t="shared" si="15"/>
        <v>0</v>
      </c>
      <c r="L67" s="2984">
        <v>0</v>
      </c>
      <c r="M67" s="2984">
        <f t="shared" si="16"/>
        <v>0</v>
      </c>
      <c r="N67" s="2984">
        <f t="shared" si="16"/>
        <v>0</v>
      </c>
    </row>
    <row r="68" spans="1:33" s="1939" customFormat="1" ht="25.5">
      <c r="A68" s="2971" t="s">
        <v>2323</v>
      </c>
      <c r="B68" s="2992" t="str">
        <f>估价对象房地状况!C21</f>
        <v>估价对象所在区域公共配套设施齐备情况</v>
      </c>
      <c r="C68" s="2977"/>
      <c r="D68" s="2978">
        <f t="shared" si="17"/>
        <v>0</v>
      </c>
      <c r="E68" s="2986"/>
      <c r="F68" s="2987"/>
      <c r="G68" s="2981"/>
      <c r="H68" s="2982" t="str">
        <f t="shared" si="13"/>
        <v>——</v>
      </c>
      <c r="I68" s="2983">
        <v>0.06</v>
      </c>
      <c r="J68" s="2984">
        <f t="shared" si="14"/>
        <v>0</v>
      </c>
      <c r="K68" s="2984">
        <f t="shared" si="15"/>
        <v>0</v>
      </c>
      <c r="L68" s="2984">
        <v>0</v>
      </c>
      <c r="M68" s="2984">
        <f t="shared" si="16"/>
        <v>0</v>
      </c>
      <c r="N68" s="2984">
        <f t="shared" si="16"/>
        <v>0</v>
      </c>
    </row>
    <row r="69" spans="1:33" s="1939" customFormat="1" ht="24">
      <c r="A69" s="2971" t="s">
        <v>2324</v>
      </c>
      <c r="B69" s="2992" t="str">
        <f>估价对象房地状况!C22</f>
        <v>估价对象所在区域基础设施水平</v>
      </c>
      <c r="C69" s="2977"/>
      <c r="D69" s="2978">
        <f t="shared" si="17"/>
        <v>0</v>
      </c>
      <c r="E69" s="2986"/>
      <c r="F69" s="2987"/>
      <c r="G69" s="2981"/>
      <c r="H69" s="2982" t="str">
        <f t="shared" si="13"/>
        <v>——</v>
      </c>
      <c r="I69" s="2983">
        <v>0.09</v>
      </c>
      <c r="J69" s="2984">
        <f t="shared" si="14"/>
        <v>0</v>
      </c>
      <c r="K69" s="2984">
        <f t="shared" si="15"/>
        <v>0</v>
      </c>
      <c r="L69" s="2984">
        <v>0</v>
      </c>
      <c r="M69" s="2984">
        <f t="shared" si="16"/>
        <v>0</v>
      </c>
      <c r="N69" s="2984">
        <f t="shared" si="16"/>
        <v>0</v>
      </c>
    </row>
    <row r="70" spans="1:33" s="1939" customFormat="1" ht="26.25" thickBot="1">
      <c r="A70" s="2993" t="s">
        <v>2325</v>
      </c>
      <c r="B70" s="2999" t="str">
        <f>估价对象房地状况!C20</f>
        <v>区域自然环境：；人文环境；综合评价环境状况一般</v>
      </c>
      <c r="C70" s="2977"/>
      <c r="D70" s="2978">
        <f t="shared" si="17"/>
        <v>0</v>
      </c>
      <c r="E70" s="2995"/>
      <c r="F70" s="2987"/>
      <c r="G70" s="2981"/>
      <c r="H70" s="2982" t="str">
        <f t="shared" si="13"/>
        <v>——</v>
      </c>
      <c r="I70" s="2996">
        <v>7.0000000000000007E-2</v>
      </c>
      <c r="J70" s="2984">
        <f t="shared" si="14"/>
        <v>0</v>
      </c>
      <c r="K70" s="2984">
        <f t="shared" si="15"/>
        <v>0</v>
      </c>
      <c r="L70" s="2984">
        <v>0</v>
      </c>
      <c r="M70" s="2984">
        <f t="shared" si="16"/>
        <v>0</v>
      </c>
      <c r="N70" s="2984">
        <f t="shared" si="16"/>
        <v>0</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8">SUMIF($J$72:$N$72,C73,J73:N73)</f>
        <v>0</v>
      </c>
      <c r="E73" s="2979">
        <f>ROUND(SUM(D73:D81),4)</f>
        <v>0</v>
      </c>
      <c r="F73" s="2980" t="str">
        <f>IF(E2="住宅",SUMIF(L1:L12,G2,N1:N12),"——")</f>
        <v>——</v>
      </c>
      <c r="G73" s="2981"/>
      <c r="H73" s="2982" t="str">
        <f t="shared" ref="H73:H81" si="19">IFERROR(ROUNDDOWN($F$73*I73/2,4),"——")</f>
        <v>——</v>
      </c>
      <c r="I73" s="2983">
        <v>0.2</v>
      </c>
      <c r="J73" s="2984">
        <f t="shared" ref="J73:J81" si="20">K73+$G73</f>
        <v>0</v>
      </c>
      <c r="K73" s="2984">
        <f t="shared" ref="K73:K81" si="21">$L73+$G73</f>
        <v>0</v>
      </c>
      <c r="L73" s="2984">
        <v>0</v>
      </c>
      <c r="M73" s="2984">
        <f t="shared" ref="M73:N81" si="22">L73-$G73</f>
        <v>0</v>
      </c>
      <c r="N73" s="2984">
        <f t="shared" si="22"/>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8"/>
        <v>0</v>
      </c>
      <c r="E74" s="2986"/>
      <c r="F74" s="2980"/>
      <c r="G74" s="2981"/>
      <c r="H74" s="2982" t="str">
        <f t="shared" si="19"/>
        <v>——</v>
      </c>
      <c r="I74" s="2983">
        <v>0.26</v>
      </c>
      <c r="J74" s="2984">
        <f t="shared" si="20"/>
        <v>0</v>
      </c>
      <c r="K74" s="2984">
        <f t="shared" si="21"/>
        <v>0</v>
      </c>
      <c r="L74" s="2984">
        <v>0</v>
      </c>
      <c r="M74" s="2984">
        <f t="shared" si="22"/>
        <v>0</v>
      </c>
      <c r="N74" s="2984">
        <f t="shared" si="22"/>
        <v>0</v>
      </c>
      <c r="S74" s="2674"/>
      <c r="T74" s="2674"/>
      <c r="U74" s="2674"/>
      <c r="V74" s="2674"/>
      <c r="W74" s="2674"/>
      <c r="X74" s="2674"/>
      <c r="Y74" s="2674"/>
    </row>
    <row r="75" spans="1:33" ht="36">
      <c r="A75" s="2988" t="s">
        <v>2839</v>
      </c>
      <c r="B75" s="2985">
        <f>估价对象房地状况!C19</f>
        <v>0</v>
      </c>
      <c r="C75" s="2977"/>
      <c r="D75" s="2978">
        <f t="shared" si="18"/>
        <v>0</v>
      </c>
      <c r="E75" s="2986"/>
      <c r="F75" s="2980"/>
      <c r="G75" s="2981"/>
      <c r="H75" s="2982" t="str">
        <f t="shared" si="19"/>
        <v>——</v>
      </c>
      <c r="I75" s="2983">
        <v>0.1</v>
      </c>
      <c r="J75" s="2984">
        <f t="shared" si="20"/>
        <v>0</v>
      </c>
      <c r="K75" s="2984">
        <f t="shared" si="21"/>
        <v>0</v>
      </c>
      <c r="L75" s="2984">
        <v>0</v>
      </c>
      <c r="M75" s="2984">
        <f t="shared" si="22"/>
        <v>0</v>
      </c>
      <c r="N75" s="2984">
        <f t="shared" si="22"/>
        <v>0</v>
      </c>
      <c r="O75" s="1939"/>
      <c r="P75" s="1939"/>
      <c r="Q75" s="1939"/>
      <c r="AA75" s="2674"/>
      <c r="AG75" s="1939"/>
    </row>
    <row r="76" spans="1:33" ht="14.25">
      <c r="A76" s="2971" t="s">
        <v>2330</v>
      </c>
      <c r="B76" s="2985">
        <f>估价对象房地状况!C24</f>
        <v>0</v>
      </c>
      <c r="C76" s="2977"/>
      <c r="D76" s="2978">
        <f t="shared" si="18"/>
        <v>0</v>
      </c>
      <c r="E76" s="2986"/>
      <c r="F76" s="2980"/>
      <c r="G76" s="2981"/>
      <c r="H76" s="2982" t="str">
        <f t="shared" si="19"/>
        <v>——</v>
      </c>
      <c r="I76" s="2983">
        <v>0.05</v>
      </c>
      <c r="J76" s="2984">
        <f t="shared" si="20"/>
        <v>0</v>
      </c>
      <c r="K76" s="2984">
        <f t="shared" si="21"/>
        <v>0</v>
      </c>
      <c r="L76" s="2984">
        <v>0</v>
      </c>
      <c r="M76" s="2984">
        <f t="shared" si="22"/>
        <v>0</v>
      </c>
      <c r="N76" s="2984">
        <f t="shared" si="22"/>
        <v>0</v>
      </c>
      <c r="O76" s="1939"/>
      <c r="P76" s="1939"/>
      <c r="Q76" s="1939"/>
      <c r="AA76" s="2674"/>
      <c r="AG76" s="1939"/>
    </row>
    <row r="77" spans="1:33" ht="25.5">
      <c r="A77" s="2971" t="s">
        <v>2323</v>
      </c>
      <c r="B77" s="2992" t="str">
        <f>估价对象房地状况!C21</f>
        <v>估价对象所在区域公共配套设施齐备情况</v>
      </c>
      <c r="C77" s="2977"/>
      <c r="D77" s="2978">
        <f t="shared" si="18"/>
        <v>0</v>
      </c>
      <c r="E77" s="2986"/>
      <c r="F77" s="2980"/>
      <c r="G77" s="2981"/>
      <c r="H77" s="2982" t="str">
        <f t="shared" si="19"/>
        <v>——</v>
      </c>
      <c r="I77" s="2983">
        <v>0.08</v>
      </c>
      <c r="J77" s="2984">
        <f t="shared" si="20"/>
        <v>0</v>
      </c>
      <c r="K77" s="2984">
        <f t="shared" si="21"/>
        <v>0</v>
      </c>
      <c r="L77" s="2984">
        <v>0</v>
      </c>
      <c r="M77" s="2984">
        <f t="shared" si="22"/>
        <v>0</v>
      </c>
      <c r="N77" s="2984">
        <f t="shared" si="22"/>
        <v>0</v>
      </c>
      <c r="O77" s="1939"/>
      <c r="P77" s="1939"/>
      <c r="Q77" s="1939"/>
      <c r="AA77" s="2674"/>
      <c r="AG77" s="1939"/>
    </row>
    <row r="78" spans="1:33" ht="24">
      <c r="A78" s="2971" t="s">
        <v>2324</v>
      </c>
      <c r="B78" s="2992" t="str">
        <f>估价对象房地状况!C22</f>
        <v>估价对象所在区域基础设施水平</v>
      </c>
      <c r="C78" s="2977"/>
      <c r="D78" s="2978">
        <f t="shared" si="18"/>
        <v>0</v>
      </c>
      <c r="E78" s="2986"/>
      <c r="F78" s="2980"/>
      <c r="G78" s="2981"/>
      <c r="H78" s="2982" t="str">
        <f t="shared" si="19"/>
        <v>——</v>
      </c>
      <c r="I78" s="2983">
        <v>0.09</v>
      </c>
      <c r="J78" s="2984">
        <f t="shared" si="20"/>
        <v>0</v>
      </c>
      <c r="K78" s="2984">
        <f t="shared" si="21"/>
        <v>0</v>
      </c>
      <c r="L78" s="2984">
        <v>0</v>
      </c>
      <c r="M78" s="2984">
        <f t="shared" si="22"/>
        <v>0</v>
      </c>
      <c r="N78" s="2984">
        <f t="shared" si="22"/>
        <v>0</v>
      </c>
      <c r="O78" s="1939"/>
      <c r="P78" s="1939"/>
      <c r="Q78" s="1939"/>
      <c r="AA78" s="2674"/>
      <c r="AG78" s="1939"/>
    </row>
    <row r="79" spans="1:33" ht="24">
      <c r="A79" s="2971" t="s">
        <v>2321</v>
      </c>
      <c r="B79" s="2990" t="s">
        <v>2322</v>
      </c>
      <c r="C79" s="2977"/>
      <c r="D79" s="2978">
        <f t="shared" si="18"/>
        <v>0</v>
      </c>
      <c r="E79" s="2986"/>
      <c r="F79" s="2980"/>
      <c r="G79" s="2981"/>
      <c r="H79" s="2982" t="str">
        <f t="shared" si="19"/>
        <v>——</v>
      </c>
      <c r="I79" s="2983">
        <v>0.05</v>
      </c>
      <c r="J79" s="2984">
        <f t="shared" si="20"/>
        <v>0</v>
      </c>
      <c r="K79" s="2984">
        <f t="shared" si="21"/>
        <v>0</v>
      </c>
      <c r="L79" s="2984">
        <v>0</v>
      </c>
      <c r="M79" s="2984">
        <f t="shared" si="22"/>
        <v>0</v>
      </c>
      <c r="N79" s="2984">
        <f t="shared" si="22"/>
        <v>0</v>
      </c>
      <c r="AA79" s="2674"/>
      <c r="AG79" s="1939"/>
    </row>
    <row r="80" spans="1:33" ht="25.5">
      <c r="A80" s="2971" t="s">
        <v>2325</v>
      </c>
      <c r="B80" s="2976" t="str">
        <f>估价对象房地状况!C20</f>
        <v>区域自然环境：；人文环境；综合评价环境状况一般</v>
      </c>
      <c r="C80" s="2977"/>
      <c r="D80" s="2978">
        <f t="shared" si="18"/>
        <v>0</v>
      </c>
      <c r="E80" s="2986"/>
      <c r="F80" s="2980"/>
      <c r="G80" s="2981"/>
      <c r="H80" s="2982" t="str">
        <f t="shared" si="19"/>
        <v>——</v>
      </c>
      <c r="I80" s="2983">
        <v>0.12</v>
      </c>
      <c r="J80" s="2984">
        <f t="shared" si="20"/>
        <v>0</v>
      </c>
      <c r="K80" s="2984">
        <f t="shared" si="21"/>
        <v>0</v>
      </c>
      <c r="L80" s="2984">
        <v>0</v>
      </c>
      <c r="M80" s="2984">
        <f t="shared" si="22"/>
        <v>0</v>
      </c>
      <c r="N80" s="2984">
        <f t="shared" si="22"/>
        <v>0</v>
      </c>
      <c r="AA80" s="2674"/>
      <c r="AG80" s="1939"/>
    </row>
    <row r="81" spans="1:33" ht="24.75" thickBot="1">
      <c r="A81" s="2993" t="s">
        <v>2331</v>
      </c>
      <c r="B81" s="3001"/>
      <c r="C81" s="2977"/>
      <c r="D81" s="2978">
        <f t="shared" si="18"/>
        <v>0</v>
      </c>
      <c r="E81" s="2995"/>
      <c r="F81" s="2980"/>
      <c r="G81" s="2981"/>
      <c r="H81" s="2982" t="str">
        <f t="shared" si="19"/>
        <v>——</v>
      </c>
      <c r="I81" s="2996">
        <v>0.05</v>
      </c>
      <c r="J81" s="2984">
        <f t="shared" si="20"/>
        <v>0</v>
      </c>
      <c r="K81" s="2984">
        <f t="shared" si="21"/>
        <v>0</v>
      </c>
      <c r="L81" s="2984">
        <v>0</v>
      </c>
      <c r="M81" s="2984">
        <f t="shared" si="22"/>
        <v>0</v>
      </c>
      <c r="N81" s="2984">
        <f t="shared" si="22"/>
        <v>0</v>
      </c>
      <c r="AA81" s="2674"/>
      <c r="AG81" s="1939"/>
    </row>
    <row r="82" spans="1:33" ht="15">
      <c r="A82" s="2965" t="s">
        <v>2332</v>
      </c>
      <c r="B82" s="2966">
        <f>1+E84</f>
        <v>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c r="D84" s="2978">
        <f t="shared" ref="D84:D91" si="23">SUMIF($J$83:$N$83,C84,J84:N84)</f>
        <v>0</v>
      </c>
      <c r="E84" s="2979">
        <f>ROUND(SUM(D84:D91),4)</f>
        <v>0</v>
      </c>
      <c r="F84" s="2980" t="str">
        <f>IF(E2="工业",SUMIF(L1:L12,G2,N1:N12),"——")</f>
        <v>——</v>
      </c>
      <c r="G84" s="2981"/>
      <c r="H84" s="2982" t="str">
        <f t="shared" ref="H84:H91" si="24">IFERROR(ROUNDDOWN($F$84*I84/2,4),"——")</f>
        <v>——</v>
      </c>
      <c r="I84" s="2983">
        <v>0.26</v>
      </c>
      <c r="J84" s="2984">
        <f t="shared" ref="J84:J91" si="25">K84+$G84</f>
        <v>0</v>
      </c>
      <c r="K84" s="2984">
        <f t="shared" ref="K84:K91" si="26">$L84+$G84</f>
        <v>0</v>
      </c>
      <c r="L84" s="2984">
        <v>0</v>
      </c>
      <c r="M84" s="2984">
        <f t="shared" ref="M84:N91" si="27">L84-$G84</f>
        <v>0</v>
      </c>
      <c r="N84" s="2984">
        <f t="shared" si="27"/>
        <v>0</v>
      </c>
      <c r="AA84" s="2674"/>
      <c r="AG84" s="1939"/>
    </row>
    <row r="85" spans="1:33" ht="38.25">
      <c r="A85" s="2971" t="s">
        <v>2317</v>
      </c>
      <c r="B85" s="2985" t="str">
        <f>估价对象房地状况!G16</f>
        <v>估价对象周边道路状况、公共交通通达情况、停车便捷程度，综合评价交通便捷度较好</v>
      </c>
      <c r="C85" s="2977"/>
      <c r="D85" s="2978">
        <f t="shared" si="23"/>
        <v>0</v>
      </c>
      <c r="E85" s="2986"/>
      <c r="F85" s="2980"/>
      <c r="G85" s="2981"/>
      <c r="H85" s="2982" t="str">
        <f t="shared" si="24"/>
        <v>——</v>
      </c>
      <c r="I85" s="2983">
        <v>0.3</v>
      </c>
      <c r="J85" s="2984">
        <f t="shared" si="25"/>
        <v>0</v>
      </c>
      <c r="K85" s="2984">
        <f t="shared" si="26"/>
        <v>0</v>
      </c>
      <c r="L85" s="2984">
        <v>0</v>
      </c>
      <c r="M85" s="2984">
        <f t="shared" si="27"/>
        <v>0</v>
      </c>
      <c r="N85" s="2984">
        <f t="shared" si="27"/>
        <v>0</v>
      </c>
      <c r="AA85" s="2674"/>
      <c r="AG85" s="1939"/>
    </row>
    <row r="86" spans="1:33" ht="36">
      <c r="A86" s="2988" t="s">
        <v>2840</v>
      </c>
      <c r="B86" s="2985">
        <f>估价对象房地状况!G17</f>
        <v>0</v>
      </c>
      <c r="C86" s="2977"/>
      <c r="D86" s="2978">
        <f t="shared" si="23"/>
        <v>0</v>
      </c>
      <c r="E86" s="2986"/>
      <c r="F86" s="2980"/>
      <c r="G86" s="2981"/>
      <c r="H86" s="2982" t="str">
        <f t="shared" si="24"/>
        <v>——</v>
      </c>
      <c r="I86" s="2983">
        <v>0.1</v>
      </c>
      <c r="J86" s="2984">
        <f t="shared" si="25"/>
        <v>0</v>
      </c>
      <c r="K86" s="2984">
        <f t="shared" si="26"/>
        <v>0</v>
      </c>
      <c r="L86" s="2984">
        <v>0</v>
      </c>
      <c r="M86" s="2984">
        <f t="shared" si="27"/>
        <v>0</v>
      </c>
      <c r="N86" s="2984">
        <f t="shared" si="27"/>
        <v>0</v>
      </c>
      <c r="AA86" s="2674"/>
      <c r="AG86" s="1939"/>
    </row>
    <row r="87" spans="1:33" ht="14.25">
      <c r="A87" s="2971" t="s">
        <v>2330</v>
      </c>
      <c r="B87" s="2985">
        <f>估价对象房地状况!G22</f>
        <v>0</v>
      </c>
      <c r="C87" s="2977"/>
      <c r="D87" s="2978">
        <f t="shared" si="23"/>
        <v>0</v>
      </c>
      <c r="E87" s="2986"/>
      <c r="F87" s="2980"/>
      <c r="G87" s="2981"/>
      <c r="H87" s="2982" t="str">
        <f t="shared" si="24"/>
        <v>——</v>
      </c>
      <c r="I87" s="2983">
        <v>0.05</v>
      </c>
      <c r="J87" s="2984">
        <f t="shared" si="25"/>
        <v>0</v>
      </c>
      <c r="K87" s="2984">
        <f t="shared" si="26"/>
        <v>0</v>
      </c>
      <c r="L87" s="2984">
        <v>0</v>
      </c>
      <c r="M87" s="2984">
        <f t="shared" si="27"/>
        <v>0</v>
      </c>
      <c r="N87" s="2984">
        <f t="shared" si="27"/>
        <v>0</v>
      </c>
      <c r="AA87" s="2674"/>
      <c r="AG87" s="1939"/>
    </row>
    <row r="88" spans="1:33" ht="25.5">
      <c r="A88" s="2971" t="s">
        <v>2323</v>
      </c>
      <c r="B88" s="2992" t="str">
        <f>估价对象房地状况!G19</f>
        <v>估价对象所在区域公共配套设施齐备情况</v>
      </c>
      <c r="C88" s="2977"/>
      <c r="D88" s="2978">
        <f t="shared" si="23"/>
        <v>0</v>
      </c>
      <c r="E88" s="2986"/>
      <c r="F88" s="2980"/>
      <c r="G88" s="2981"/>
      <c r="H88" s="2982" t="str">
        <f t="shared" si="24"/>
        <v>——</v>
      </c>
      <c r="I88" s="2983">
        <v>0.06</v>
      </c>
      <c r="J88" s="2984">
        <f t="shared" si="25"/>
        <v>0</v>
      </c>
      <c r="K88" s="2984">
        <f t="shared" si="26"/>
        <v>0</v>
      </c>
      <c r="L88" s="2984">
        <v>0</v>
      </c>
      <c r="M88" s="2984">
        <f t="shared" si="27"/>
        <v>0</v>
      </c>
      <c r="N88" s="2984">
        <f t="shared" si="27"/>
        <v>0</v>
      </c>
    </row>
    <row r="89" spans="1:33" ht="24">
      <c r="A89" s="2971" t="s">
        <v>2324</v>
      </c>
      <c r="B89" s="2992" t="str">
        <f>估价对象房地状况!G20</f>
        <v>估价对象所在区域基础设施水平</v>
      </c>
      <c r="C89" s="2977"/>
      <c r="D89" s="2978">
        <f t="shared" si="23"/>
        <v>0</v>
      </c>
      <c r="E89" s="2986"/>
      <c r="F89" s="2980"/>
      <c r="G89" s="2981"/>
      <c r="H89" s="2982" t="str">
        <f t="shared" si="24"/>
        <v>——</v>
      </c>
      <c r="I89" s="2983">
        <v>0.12</v>
      </c>
      <c r="J89" s="2984">
        <f t="shared" si="25"/>
        <v>0</v>
      </c>
      <c r="K89" s="2984">
        <f t="shared" si="26"/>
        <v>0</v>
      </c>
      <c r="L89" s="2984">
        <v>0</v>
      </c>
      <c r="M89" s="2984">
        <f t="shared" si="27"/>
        <v>0</v>
      </c>
      <c r="N89" s="2984">
        <f t="shared" si="27"/>
        <v>0</v>
      </c>
    </row>
    <row r="90" spans="1:33" ht="24">
      <c r="A90" s="2971" t="s">
        <v>2321</v>
      </c>
      <c r="B90" s="2990" t="s">
        <v>2334</v>
      </c>
      <c r="C90" s="2977"/>
      <c r="D90" s="2978">
        <f t="shared" si="23"/>
        <v>0</v>
      </c>
      <c r="E90" s="2986"/>
      <c r="F90" s="2980"/>
      <c r="G90" s="2981"/>
      <c r="H90" s="2982" t="str">
        <f t="shared" si="24"/>
        <v>——</v>
      </c>
      <c r="I90" s="2983">
        <v>0.06</v>
      </c>
      <c r="J90" s="2984">
        <f t="shared" si="25"/>
        <v>0</v>
      </c>
      <c r="K90" s="2984">
        <f t="shared" si="26"/>
        <v>0</v>
      </c>
      <c r="L90" s="2984">
        <v>0</v>
      </c>
      <c r="M90" s="2984">
        <f t="shared" si="27"/>
        <v>0</v>
      </c>
      <c r="N90" s="2984">
        <f t="shared" si="27"/>
        <v>0</v>
      </c>
    </row>
    <row r="91" spans="1:33" ht="39" thickBot="1">
      <c r="A91" s="2993" t="s">
        <v>2335</v>
      </c>
      <c r="B91" s="3002" t="str">
        <f>估价对象房地状况!G18</f>
        <v>该园区内是否有污染型企业，绿化情况，卫生条件，整体环境状况判断</v>
      </c>
      <c r="C91" s="2977"/>
      <c r="D91" s="2978">
        <f t="shared" si="23"/>
        <v>0</v>
      </c>
      <c r="E91" s="2995"/>
      <c r="F91" s="2980"/>
      <c r="G91" s="2981"/>
      <c r="H91" s="2982" t="str">
        <f t="shared" si="24"/>
        <v>——</v>
      </c>
      <c r="I91" s="2996">
        <v>0.05</v>
      </c>
      <c r="J91" s="2984">
        <f t="shared" si="25"/>
        <v>0</v>
      </c>
      <c r="K91" s="2984">
        <f t="shared" si="26"/>
        <v>0</v>
      </c>
      <c r="L91" s="2984">
        <v>0</v>
      </c>
      <c r="M91" s="2984">
        <f t="shared" si="27"/>
        <v>0</v>
      </c>
      <c r="N91" s="2984">
        <f t="shared" si="27"/>
        <v>0</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8">IFERROR(ROUNDDOWN($F$62*I94/2,4),"——")</f>
        <v>——</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t="str">
        <f t="shared" si="28"/>
        <v>——</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t="str">
        <f t="shared" si="28"/>
        <v>——</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t="str">
        <f t="shared" si="28"/>
        <v>——</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t="str">
        <f t="shared" si="28"/>
        <v>——</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t="str">
        <f t="shared" si="28"/>
        <v>——</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t="str">
        <f t="shared" si="28"/>
        <v>——</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t="str">
        <f t="shared" si="28"/>
        <v>——</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t="str">
        <f t="shared" si="28"/>
        <v>——</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33" t="s">
        <v>2336</v>
      </c>
      <c r="B104" s="3633"/>
      <c r="C104" s="3633"/>
      <c r="D104" s="3633"/>
      <c r="E104" s="3633"/>
      <c r="F104" s="3633"/>
      <c r="G104" s="3633"/>
      <c r="H104" s="3633"/>
      <c r="I104" s="3633"/>
      <c r="J104" s="3633"/>
      <c r="K104" s="3045"/>
      <c r="L104" s="3045"/>
      <c r="M104" s="3045"/>
      <c r="N104" s="3045"/>
    </row>
    <row r="105" spans="1:25">
      <c r="A105" s="3635" t="s">
        <v>2337</v>
      </c>
      <c r="B105" s="3635" t="s">
        <v>2338</v>
      </c>
      <c r="C105" s="3012" t="s">
        <v>2339</v>
      </c>
      <c r="D105" s="3013"/>
      <c r="E105" s="3013"/>
      <c r="F105" s="3013"/>
      <c r="G105" s="3013"/>
      <c r="H105" s="3013"/>
      <c r="I105" s="3013"/>
      <c r="J105" s="3014"/>
      <c r="K105" s="3015"/>
      <c r="L105" s="3015"/>
      <c r="M105" s="3015"/>
      <c r="N105" s="3015"/>
    </row>
    <row r="106" spans="1:25">
      <c r="A106" s="3635"/>
      <c r="B106" s="3635"/>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9"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40"/>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40"/>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40"/>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40"/>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40"/>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41"/>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34" t="s">
        <v>2341</v>
      </c>
      <c r="B114" s="3634"/>
      <c r="C114" s="3634"/>
      <c r="D114" s="3634"/>
      <c r="E114" s="3634"/>
      <c r="F114" s="3634"/>
      <c r="G114" s="3634"/>
      <c r="H114" s="3634"/>
      <c r="I114" s="3634"/>
      <c r="J114" s="3634"/>
      <c r="K114" s="3046"/>
      <c r="L114" s="3046"/>
      <c r="M114" s="3046"/>
      <c r="N114" s="3046"/>
    </row>
    <row r="116" spans="1:14" ht="13.5" thickBot="1"/>
    <row r="117" spans="1:14" ht="25.5" thickBot="1">
      <c r="A117" s="3020" t="s">
        <v>2342</v>
      </c>
      <c r="B117" s="3021">
        <f>G3</f>
        <v>2.5</v>
      </c>
      <c r="C117" s="3022" t="s">
        <v>2343</v>
      </c>
      <c r="D117" s="3023">
        <f>SUMPRODUCT((A119:A123=F117)*(B118:M118=H117)*B119:M123)</f>
        <v>0.91400000000000003</v>
      </c>
      <c r="E117" s="2695" t="s">
        <v>2198</v>
      </c>
      <c r="F117" s="3024" t="str">
        <f>E2</f>
        <v>商业</v>
      </c>
      <c r="G117" s="2695" t="s">
        <v>2199</v>
      </c>
      <c r="H117" s="3024" t="str">
        <f>G2</f>
        <v>六级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0.96930000000000005</v>
      </c>
      <c r="C119" s="3033">
        <f>B119</f>
        <v>0.96930000000000005</v>
      </c>
      <c r="D119" s="3033">
        <f>ROUND(0.949-0.014*B117,4)</f>
        <v>0.91400000000000003</v>
      </c>
      <c r="E119" s="3033">
        <f>D119</f>
        <v>0.91400000000000003</v>
      </c>
      <c r="F119" s="3033">
        <f>E119</f>
        <v>0.91400000000000003</v>
      </c>
      <c r="G119" s="3033">
        <f>F119</f>
        <v>0.91400000000000003</v>
      </c>
      <c r="H119" s="3033">
        <f>G119</f>
        <v>0.91400000000000003</v>
      </c>
      <c r="I119" s="3033">
        <f>ROUND(0.8486-0.018*B117,4)</f>
        <v>0.80359999999999998</v>
      </c>
      <c r="J119" s="3033">
        <f t="shared" ref="J119:M122" si="37">I119</f>
        <v>0.80359999999999998</v>
      </c>
      <c r="K119" s="3033">
        <f t="shared" si="37"/>
        <v>0.80359999999999998</v>
      </c>
      <c r="L119" s="3033">
        <f t="shared" si="37"/>
        <v>0.80359999999999998</v>
      </c>
      <c r="M119" s="3034">
        <f t="shared" si="37"/>
        <v>0.80359999999999998</v>
      </c>
    </row>
    <row r="120" spans="1:14">
      <c r="A120" s="3032" t="s">
        <v>2255</v>
      </c>
      <c r="B120" s="3033">
        <f>ROUND(0.993-0.0112*B117,4)</f>
        <v>0.96499999999999997</v>
      </c>
      <c r="C120" s="3033">
        <f>B120</f>
        <v>0.96499999999999997</v>
      </c>
      <c r="D120" s="3033">
        <f>ROUND(0.9415-0.0142*B117,4)</f>
        <v>0.90600000000000003</v>
      </c>
      <c r="E120" s="3033">
        <f t="shared" ref="E120:H121" si="38">D120</f>
        <v>0.90600000000000003</v>
      </c>
      <c r="F120" s="3033">
        <f t="shared" si="38"/>
        <v>0.90600000000000003</v>
      </c>
      <c r="G120" s="3033">
        <f t="shared" si="38"/>
        <v>0.90600000000000003</v>
      </c>
      <c r="H120" s="3033">
        <f t="shared" si="38"/>
        <v>0.90600000000000003</v>
      </c>
      <c r="I120" s="3033">
        <f>ROUND(0.838-0.0182*B117,4)</f>
        <v>0.79249999999999998</v>
      </c>
      <c r="J120" s="3033">
        <f t="shared" si="37"/>
        <v>0.79249999999999998</v>
      </c>
      <c r="K120" s="3033">
        <f t="shared" si="37"/>
        <v>0.79249999999999998</v>
      </c>
      <c r="L120" s="3033">
        <f t="shared" si="37"/>
        <v>0.79249999999999998</v>
      </c>
      <c r="M120" s="3034">
        <f t="shared" si="37"/>
        <v>0.79249999999999998</v>
      </c>
    </row>
    <row r="121" spans="1:14">
      <c r="A121" s="3032" t="s">
        <v>2256</v>
      </c>
      <c r="B121" s="3033">
        <f>ROUND(0.9448-0.0115*B117,4)</f>
        <v>0.91610000000000003</v>
      </c>
      <c r="C121" s="3033">
        <f>B121</f>
        <v>0.91610000000000003</v>
      </c>
      <c r="D121" s="3033">
        <f>ROUND(0.937-0.0145*B117,4)</f>
        <v>0.90080000000000005</v>
      </c>
      <c r="E121" s="3033">
        <f t="shared" si="38"/>
        <v>0.90080000000000005</v>
      </c>
      <c r="F121" s="3033">
        <f t="shared" si="38"/>
        <v>0.90080000000000005</v>
      </c>
      <c r="G121" s="3033">
        <f t="shared" si="38"/>
        <v>0.90080000000000005</v>
      </c>
      <c r="H121" s="3033">
        <f t="shared" si="38"/>
        <v>0.90080000000000005</v>
      </c>
      <c r="I121" s="3033">
        <f>ROUND(0.7965-0.0185*B117,4)</f>
        <v>0.75029999999999997</v>
      </c>
      <c r="J121" s="3033">
        <f t="shared" si="37"/>
        <v>0.75029999999999997</v>
      </c>
      <c r="K121" s="3033">
        <f t="shared" si="37"/>
        <v>0.75029999999999997</v>
      </c>
      <c r="L121" s="3033">
        <f t="shared" si="37"/>
        <v>0.75029999999999997</v>
      </c>
      <c r="M121" s="3034">
        <f t="shared" si="37"/>
        <v>0.75029999999999997</v>
      </c>
    </row>
    <row r="122" spans="1:14" ht="13.5" thickBot="1">
      <c r="A122" s="3035" t="s">
        <v>2257</v>
      </c>
      <c r="B122" s="3036">
        <f>ROUND(0.7836-0.012*B117,4)</f>
        <v>0.75360000000000005</v>
      </c>
      <c r="C122" s="3036">
        <f>B122</f>
        <v>0.75360000000000005</v>
      </c>
      <c r="D122" s="3036">
        <f>ROUND(0.753-0.015*B117,4)</f>
        <v>0.71550000000000002</v>
      </c>
      <c r="E122" s="3036">
        <f>D122</f>
        <v>0.71550000000000002</v>
      </c>
      <c r="F122" s="3036">
        <f>E122</f>
        <v>0.71550000000000002</v>
      </c>
      <c r="G122" s="3036">
        <f>ROUND(0.6612-0.018*B117,4)</f>
        <v>0.61619999999999997</v>
      </c>
      <c r="H122" s="3036">
        <f>G122</f>
        <v>0.61619999999999997</v>
      </c>
      <c r="I122" s="3036">
        <f>ROUND(0.5905-0.019*B117,4)</f>
        <v>0.54300000000000004</v>
      </c>
      <c r="J122" s="3036">
        <f t="shared" si="37"/>
        <v>0.54300000000000004</v>
      </c>
      <c r="K122" s="3036">
        <f t="shared" si="37"/>
        <v>0.54300000000000004</v>
      </c>
      <c r="L122" s="3036">
        <f t="shared" si="37"/>
        <v>0.54300000000000004</v>
      </c>
      <c r="M122" s="3037">
        <f t="shared" si="37"/>
        <v>0.54300000000000004</v>
      </c>
    </row>
    <row r="123" spans="1:14">
      <c r="A123" s="3038" t="s">
        <v>2926</v>
      </c>
      <c r="B123" s="3033">
        <f>ROUND(0.9404-0.0106*B117,4)</f>
        <v>0.91390000000000005</v>
      </c>
      <c r="C123" s="3033">
        <f>B123</f>
        <v>0.91390000000000005</v>
      </c>
      <c r="D123" s="3033">
        <f>ROUND(0.8955-0.0135*B117,4)</f>
        <v>0.86180000000000001</v>
      </c>
      <c r="E123" s="3033">
        <f t="shared" ref="E123" si="39">D123</f>
        <v>0.86180000000000001</v>
      </c>
      <c r="F123" s="3033">
        <f t="shared" ref="F123" si="40">E123</f>
        <v>0.86180000000000001</v>
      </c>
      <c r="G123" s="3033">
        <f t="shared" ref="G123" si="41">F123</f>
        <v>0.86180000000000001</v>
      </c>
      <c r="H123" s="3033">
        <f t="shared" ref="H123" si="42">G123</f>
        <v>0.86180000000000001</v>
      </c>
      <c r="I123" s="3033">
        <f>ROUND(0.7632-0.0166*B117,4)</f>
        <v>0.72170000000000001</v>
      </c>
      <c r="J123" s="3033">
        <f t="shared" ref="J123" si="43">I123</f>
        <v>0.72170000000000001</v>
      </c>
      <c r="K123" s="3033">
        <f t="shared" ref="K123" si="44">J123</f>
        <v>0.72170000000000001</v>
      </c>
      <c r="L123" s="3033">
        <f t="shared" ref="L123" si="45">K123</f>
        <v>0.72170000000000001</v>
      </c>
      <c r="M123" s="3034">
        <f t="shared" ref="M123" si="46">L123</f>
        <v>0.72170000000000001</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2" t="s">
        <v>180</v>
      </c>
      <c r="B20" s="3652" t="s">
        <v>2918</v>
      </c>
      <c r="C20" s="2771" t="s">
        <v>2848</v>
      </c>
      <c r="D20" s="2772"/>
      <c r="E20" s="3085">
        <v>1</v>
      </c>
      <c r="F20" s="3086" t="s">
        <v>2854</v>
      </c>
      <c r="G20" s="3086"/>
    </row>
    <row r="21" spans="1:13">
      <c r="A21" s="3643"/>
      <c r="B21" s="3647"/>
      <c r="C21" s="746" t="s">
        <v>2849</v>
      </c>
      <c r="D21" s="747"/>
      <c r="E21" s="3087">
        <v>1</v>
      </c>
      <c r="F21" s="3086" t="s">
        <v>2855</v>
      </c>
      <c r="G21" s="3086"/>
    </row>
    <row r="22" spans="1:13">
      <c r="A22" s="3643"/>
      <c r="B22" s="3647"/>
      <c r="C22" s="746" t="s">
        <v>2850</v>
      </c>
      <c r="D22" s="747"/>
      <c r="E22" s="3087">
        <v>0.9</v>
      </c>
      <c r="F22" s="3086" t="s">
        <v>2856</v>
      </c>
      <c r="G22" s="3086"/>
    </row>
    <row r="23" spans="1:13">
      <c r="A23" s="3643"/>
      <c r="B23" s="3647"/>
      <c r="C23" s="746" t="s">
        <v>2851</v>
      </c>
      <c r="D23" s="747"/>
      <c r="E23" s="3087">
        <v>0.9</v>
      </c>
      <c r="F23" s="3086" t="s">
        <v>2857</v>
      </c>
      <c r="G23" s="3086"/>
    </row>
    <row r="24" spans="1:13">
      <c r="A24" s="3643"/>
      <c r="B24" s="3647"/>
      <c r="C24" s="746" t="s">
        <v>2852</v>
      </c>
      <c r="D24" s="747"/>
      <c r="E24" s="3087">
        <v>0.8</v>
      </c>
      <c r="F24" s="3086" t="s">
        <v>2858</v>
      </c>
      <c r="G24" s="3086"/>
    </row>
    <row r="25" spans="1:13" ht="14.25" thickBot="1">
      <c r="A25" s="3644"/>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7"/>
      <c r="C28" s="746" t="s">
        <v>2864</v>
      </c>
      <c r="D28" s="747"/>
      <c r="E28" s="3087">
        <v>1</v>
      </c>
      <c r="F28" s="3086" t="s">
        <v>2877</v>
      </c>
      <c r="G28" s="3086"/>
    </row>
    <row r="29" spans="1:13">
      <c r="A29" s="3650"/>
      <c r="B29" s="3647"/>
      <c r="C29" s="746" t="s">
        <v>2865</v>
      </c>
      <c r="D29" s="747"/>
      <c r="E29" s="3087">
        <v>0.8</v>
      </c>
      <c r="F29" s="3086" t="s">
        <v>2878</v>
      </c>
      <c r="G29" s="3086"/>
    </row>
    <row r="30" spans="1:13">
      <c r="A30" s="3650"/>
      <c r="B30" s="3647"/>
      <c r="C30" s="746" t="s">
        <v>2866</v>
      </c>
      <c r="D30" s="747"/>
      <c r="E30" s="3087">
        <v>0.8</v>
      </c>
      <c r="F30" s="3086" t="s">
        <v>2879</v>
      </c>
      <c r="G30" s="3086"/>
    </row>
    <row r="31" spans="1:13">
      <c r="A31" s="3650"/>
      <c r="B31" s="3647"/>
      <c r="C31" s="746" t="s">
        <v>2867</v>
      </c>
      <c r="D31" s="747"/>
      <c r="E31" s="3087">
        <v>0.8</v>
      </c>
      <c r="F31" s="3086" t="s">
        <v>2880</v>
      </c>
      <c r="G31" s="3086"/>
    </row>
    <row r="32" spans="1:13">
      <c r="A32" s="3650"/>
      <c r="B32" s="3647"/>
      <c r="C32" s="746" t="s">
        <v>2868</v>
      </c>
      <c r="D32" s="747"/>
      <c r="E32" s="3087">
        <v>0.7</v>
      </c>
      <c r="F32" s="3086" t="s">
        <v>2881</v>
      </c>
      <c r="G32" s="3086"/>
    </row>
    <row r="33" spans="1:7">
      <c r="A33" s="3650"/>
      <c r="B33" s="3647"/>
      <c r="C33" s="746" t="s">
        <v>2869</v>
      </c>
      <c r="D33" s="747"/>
      <c r="E33" s="3087">
        <v>0.8</v>
      </c>
      <c r="F33" s="3086" t="s">
        <v>2882</v>
      </c>
      <c r="G33" s="3086"/>
    </row>
    <row r="34" spans="1:7">
      <c r="A34" s="3650"/>
      <c r="B34" s="3647"/>
      <c r="C34" s="746" t="s">
        <v>2870</v>
      </c>
      <c r="D34" s="747"/>
      <c r="E34" s="3087">
        <v>0.6</v>
      </c>
      <c r="F34" s="3086" t="s">
        <v>2883</v>
      </c>
      <c r="G34" s="3086"/>
    </row>
    <row r="35" spans="1:7">
      <c r="A35" s="3650"/>
      <c r="B35" s="3647"/>
      <c r="C35" s="746" t="s">
        <v>2871</v>
      </c>
      <c r="D35" s="747"/>
      <c r="E35" s="3087">
        <v>0.2</v>
      </c>
      <c r="F35" s="3086" t="s">
        <v>2884</v>
      </c>
      <c r="G35" s="3086"/>
    </row>
    <row r="36" spans="1:7">
      <c r="A36" s="3650"/>
      <c r="B36" s="3647"/>
      <c r="C36" s="746" t="s">
        <v>2872</v>
      </c>
      <c r="D36" s="747"/>
      <c r="E36" s="3087">
        <v>0.2</v>
      </c>
      <c r="F36" s="3086" t="s">
        <v>2885</v>
      </c>
      <c r="G36" s="3086"/>
    </row>
    <row r="37" spans="1:7">
      <c r="A37" s="3650"/>
      <c r="B37" s="3646" t="s">
        <v>2919</v>
      </c>
      <c r="C37" s="746" t="s">
        <v>2873</v>
      </c>
      <c r="D37" s="747"/>
      <c r="E37" s="3087">
        <v>0.6</v>
      </c>
      <c r="F37" s="3086" t="s">
        <v>2886</v>
      </c>
      <c r="G37" s="3086"/>
    </row>
    <row r="38" spans="1:7">
      <c r="A38" s="3650"/>
      <c r="B38" s="3647"/>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2" t="s">
        <v>182</v>
      </c>
      <c r="B41" s="3652" t="s">
        <v>2915</v>
      </c>
      <c r="C41" s="2771" t="s">
        <v>2891</v>
      </c>
      <c r="D41" s="2772"/>
      <c r="E41" s="3085">
        <v>1</v>
      </c>
      <c r="F41" s="3086" t="s">
        <v>2903</v>
      </c>
      <c r="G41" s="3086"/>
    </row>
    <row r="42" spans="1:7">
      <c r="A42" s="3643"/>
      <c r="B42" s="3647"/>
      <c r="C42" s="746" t="s">
        <v>2892</v>
      </c>
      <c r="D42" s="747"/>
      <c r="E42" s="3087">
        <v>1</v>
      </c>
      <c r="F42" s="3086" t="s">
        <v>2904</v>
      </c>
      <c r="G42" s="3086"/>
    </row>
    <row r="43" spans="1:7">
      <c r="A43" s="3643"/>
      <c r="B43" s="3648"/>
      <c r="C43" s="746" t="s">
        <v>2893</v>
      </c>
      <c r="D43" s="747"/>
      <c r="E43" s="3087">
        <v>1.5</v>
      </c>
      <c r="F43" s="3086" t="s">
        <v>2905</v>
      </c>
      <c r="G43" s="3086"/>
    </row>
    <row r="44" spans="1:7">
      <c r="A44" s="3643"/>
      <c r="B44" s="3092" t="s">
        <v>2916</v>
      </c>
      <c r="C44" s="746" t="s">
        <v>2914</v>
      </c>
      <c r="D44" s="747"/>
      <c r="E44" s="3087">
        <v>2</v>
      </c>
      <c r="F44" s="3086" t="s">
        <v>2906</v>
      </c>
      <c r="G44" s="3086"/>
    </row>
    <row r="45" spans="1:7">
      <c r="A45" s="3643"/>
      <c r="B45" s="3646" t="s">
        <v>2917</v>
      </c>
      <c r="C45" s="746" t="s">
        <v>2894</v>
      </c>
      <c r="D45" s="747"/>
      <c r="E45" s="3087">
        <v>1</v>
      </c>
      <c r="F45" s="3086" t="s">
        <v>2907</v>
      </c>
      <c r="G45" s="3086"/>
    </row>
    <row r="46" spans="1:7">
      <c r="A46" s="3643"/>
      <c r="B46" s="3647"/>
      <c r="C46" s="746" t="s">
        <v>2895</v>
      </c>
      <c r="D46" s="747"/>
      <c r="E46" s="3087">
        <v>1</v>
      </c>
      <c r="F46" s="3086" t="s">
        <v>2908</v>
      </c>
      <c r="G46" s="3086"/>
    </row>
    <row r="47" spans="1:7">
      <c r="A47" s="3643"/>
      <c r="B47" s="3647"/>
      <c r="C47" s="746" t="s">
        <v>2896</v>
      </c>
      <c r="D47" s="747"/>
      <c r="E47" s="3087">
        <v>1</v>
      </c>
      <c r="F47" s="3086" t="s">
        <v>2909</v>
      </c>
      <c r="G47" s="3086"/>
    </row>
    <row r="48" spans="1:7">
      <c r="A48" s="3643"/>
      <c r="B48" s="3647"/>
      <c r="C48" s="746" t="s">
        <v>2897</v>
      </c>
      <c r="D48" s="747"/>
      <c r="E48" s="3087">
        <v>1</v>
      </c>
      <c r="F48" s="3086" t="s">
        <v>2910</v>
      </c>
      <c r="G48" s="3086"/>
    </row>
    <row r="49" spans="1:7">
      <c r="A49" s="3643"/>
      <c r="B49" s="3647"/>
      <c r="C49" s="746" t="s">
        <v>2898</v>
      </c>
      <c r="D49" s="747"/>
      <c r="E49" s="3087">
        <v>1</v>
      </c>
      <c r="F49" s="3086" t="s">
        <v>2911</v>
      </c>
      <c r="G49" s="3086"/>
    </row>
    <row r="50" spans="1:7">
      <c r="A50" s="3643"/>
      <c r="B50" s="3647"/>
      <c r="C50" s="746" t="s">
        <v>2899</v>
      </c>
      <c r="D50" s="747"/>
      <c r="E50" s="3087">
        <v>1</v>
      </c>
      <c r="F50" s="3086" t="s">
        <v>2912</v>
      </c>
      <c r="G50" s="3086"/>
    </row>
    <row r="51" spans="1:7" ht="14.25" thickBot="1">
      <c r="A51" s="3644"/>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6" t="s">
        <v>483</v>
      </c>
      <c r="C73" s="3073" t="s">
        <v>484</v>
      </c>
      <c r="D73" s="3073" t="s">
        <v>485</v>
      </c>
      <c r="E73" s="3101">
        <v>0.2</v>
      </c>
      <c r="F73" s="3092">
        <v>25</v>
      </c>
    </row>
    <row r="74" spans="1:7" ht="24">
      <c r="A74" s="3092">
        <v>2</v>
      </c>
      <c r="B74" s="3647"/>
      <c r="C74" s="3073" t="s">
        <v>2744</v>
      </c>
      <c r="D74" s="3073" t="s">
        <v>2745</v>
      </c>
      <c r="E74" s="3101">
        <v>0.2</v>
      </c>
      <c r="F74" s="3092">
        <v>25</v>
      </c>
    </row>
    <row r="75" spans="1:7" ht="24">
      <c r="A75" s="3092">
        <v>3</v>
      </c>
      <c r="B75" s="3647"/>
      <c r="C75" s="3073" t="s">
        <v>2746</v>
      </c>
      <c r="D75" s="3073" t="s">
        <v>2747</v>
      </c>
      <c r="E75" s="3101">
        <v>0.2</v>
      </c>
      <c r="F75" s="3092">
        <v>25</v>
      </c>
    </row>
    <row r="76" spans="1:7">
      <c r="A76" s="3092">
        <v>4</v>
      </c>
      <c r="B76" s="3647"/>
      <c r="C76" s="3073" t="s">
        <v>2748</v>
      </c>
      <c r="D76" s="3073" t="s">
        <v>2749</v>
      </c>
      <c r="E76" s="3101">
        <v>0.15</v>
      </c>
      <c r="F76" s="3092">
        <v>20</v>
      </c>
    </row>
    <row r="77" spans="1:7" ht="24">
      <c r="A77" s="3092">
        <v>5</v>
      </c>
      <c r="B77" s="3647"/>
      <c r="C77" s="3073" t="s">
        <v>2750</v>
      </c>
      <c r="D77" s="3073" t="s">
        <v>2751</v>
      </c>
      <c r="E77" s="3101">
        <v>0.15</v>
      </c>
      <c r="F77" s="3092">
        <v>20</v>
      </c>
    </row>
    <row r="78" spans="1:7" ht="24">
      <c r="A78" s="3092">
        <v>6</v>
      </c>
      <c r="B78" s="3647"/>
      <c r="C78" s="3073" t="s">
        <v>2752</v>
      </c>
      <c r="D78" s="3073" t="s">
        <v>2753</v>
      </c>
      <c r="E78" s="3101">
        <v>0.15</v>
      </c>
      <c r="F78" s="3092">
        <v>20</v>
      </c>
    </row>
    <row r="79" spans="1:7" ht="24">
      <c r="A79" s="3092">
        <v>7</v>
      </c>
      <c r="B79" s="3647"/>
      <c r="C79" s="3073" t="s">
        <v>2754</v>
      </c>
      <c r="D79" s="3073" t="s">
        <v>2755</v>
      </c>
      <c r="E79" s="3101">
        <v>0.15</v>
      </c>
      <c r="F79" s="3092">
        <v>20</v>
      </c>
    </row>
    <row r="80" spans="1:7" ht="24">
      <c r="A80" s="3092">
        <v>8</v>
      </c>
      <c r="B80" s="3647"/>
      <c r="C80" s="3073" t="s">
        <v>2756</v>
      </c>
      <c r="D80" s="3073" t="s">
        <v>2757</v>
      </c>
      <c r="E80" s="3101">
        <v>0.1</v>
      </c>
      <c r="F80" s="3092">
        <v>15</v>
      </c>
    </row>
    <row r="81" spans="1:6" ht="24">
      <c r="A81" s="3092">
        <v>9</v>
      </c>
      <c r="B81" s="3647"/>
      <c r="C81" s="3073" t="s">
        <v>2758</v>
      </c>
      <c r="D81" s="3073" t="s">
        <v>2759</v>
      </c>
      <c r="E81" s="3101">
        <v>0.1</v>
      </c>
      <c r="F81" s="3092">
        <v>15</v>
      </c>
    </row>
    <row r="82" spans="1:6" ht="24">
      <c r="A82" s="3092">
        <v>10</v>
      </c>
      <c r="B82" s="3647"/>
      <c r="C82" s="3073" t="s">
        <v>2760</v>
      </c>
      <c r="D82" s="3073" t="s">
        <v>2761</v>
      </c>
      <c r="E82" s="3101">
        <v>0.1</v>
      </c>
      <c r="F82" s="3092">
        <v>15</v>
      </c>
    </row>
    <row r="83" spans="1:6" ht="24">
      <c r="A83" s="3092">
        <v>11</v>
      </c>
      <c r="B83" s="3647"/>
      <c r="C83" s="3073" t="s">
        <v>2762</v>
      </c>
      <c r="D83" s="3073" t="s">
        <v>2763</v>
      </c>
      <c r="E83" s="3101">
        <v>0.1</v>
      </c>
      <c r="F83" s="3092">
        <v>15</v>
      </c>
    </row>
    <row r="84" spans="1:6" ht="24">
      <c r="A84" s="3092">
        <v>12</v>
      </c>
      <c r="B84" s="3647"/>
      <c r="C84" s="3073" t="s">
        <v>2764</v>
      </c>
      <c r="D84" s="3073" t="s">
        <v>2765</v>
      </c>
      <c r="E84" s="3101">
        <v>0.1</v>
      </c>
      <c r="F84" s="3092">
        <v>15</v>
      </c>
    </row>
    <row r="85" spans="1:6">
      <c r="A85" s="3092">
        <v>13</v>
      </c>
      <c r="B85" s="3647"/>
      <c r="C85" s="3073" t="s">
        <v>2766</v>
      </c>
      <c r="D85" s="3073" t="s">
        <v>2767</v>
      </c>
      <c r="E85" s="3101">
        <v>0.1</v>
      </c>
      <c r="F85" s="3092">
        <v>15</v>
      </c>
    </row>
    <row r="86" spans="1:6">
      <c r="A86" s="3092">
        <v>14</v>
      </c>
      <c r="B86" s="3647"/>
      <c r="C86" s="3073" t="s">
        <v>2768</v>
      </c>
      <c r="D86" s="3073" t="s">
        <v>2769</v>
      </c>
      <c r="E86" s="3101">
        <v>0.1</v>
      </c>
      <c r="F86" s="3092">
        <v>15</v>
      </c>
    </row>
    <row r="87" spans="1:6">
      <c r="A87" s="3092">
        <v>15</v>
      </c>
      <c r="B87" s="3647"/>
      <c r="C87" s="3073" t="s">
        <v>2770</v>
      </c>
      <c r="D87" s="3073" t="s">
        <v>2771</v>
      </c>
      <c r="E87" s="3101">
        <v>0.1</v>
      </c>
      <c r="F87" s="3092">
        <v>15</v>
      </c>
    </row>
    <row r="88" spans="1:6" ht="24">
      <c r="A88" s="3092">
        <v>16</v>
      </c>
      <c r="B88" s="3647"/>
      <c r="C88" s="3073" t="s">
        <v>2772</v>
      </c>
      <c r="D88" s="3073" t="s">
        <v>2773</v>
      </c>
      <c r="E88" s="3101">
        <v>0.1</v>
      </c>
      <c r="F88" s="3092">
        <v>15</v>
      </c>
    </row>
    <row r="89" spans="1:6" ht="24">
      <c r="A89" s="3092">
        <v>17</v>
      </c>
      <c r="B89" s="3648"/>
      <c r="C89" s="3073" t="s">
        <v>2774</v>
      </c>
      <c r="D89" s="3073" t="s">
        <v>2775</v>
      </c>
      <c r="E89" s="3101">
        <v>0.1</v>
      </c>
      <c r="F89" s="3092">
        <v>15</v>
      </c>
    </row>
    <row r="90" spans="1:6">
      <c r="A90" s="3092">
        <v>18</v>
      </c>
      <c r="B90" s="3646" t="s">
        <v>486</v>
      </c>
      <c r="C90" s="3073" t="s">
        <v>487</v>
      </c>
      <c r="D90" s="3073" t="s">
        <v>488</v>
      </c>
      <c r="E90" s="3101">
        <v>0.2</v>
      </c>
      <c r="F90" s="3092">
        <v>25</v>
      </c>
    </row>
    <row r="91" spans="1:6" ht="24">
      <c r="A91" s="3092">
        <v>19</v>
      </c>
      <c r="B91" s="3647"/>
      <c r="C91" s="3073" t="s">
        <v>2776</v>
      </c>
      <c r="D91" s="3073" t="s">
        <v>491</v>
      </c>
      <c r="E91" s="3101">
        <v>0.2</v>
      </c>
      <c r="F91" s="3092">
        <v>25</v>
      </c>
    </row>
    <row r="92" spans="1:6">
      <c r="A92" s="3092">
        <v>20</v>
      </c>
      <c r="B92" s="3647"/>
      <c r="C92" s="3073" t="s">
        <v>489</v>
      </c>
      <c r="D92" s="3073" t="s">
        <v>490</v>
      </c>
      <c r="E92" s="3101">
        <v>0.15</v>
      </c>
      <c r="F92" s="3092">
        <v>20</v>
      </c>
    </row>
    <row r="93" spans="1:6">
      <c r="A93" s="3092">
        <v>21</v>
      </c>
      <c r="B93" s="3647"/>
      <c r="C93" s="3073" t="s">
        <v>2777</v>
      </c>
      <c r="D93" s="3073" t="s">
        <v>492</v>
      </c>
      <c r="E93" s="3101">
        <v>0.15</v>
      </c>
      <c r="F93" s="3092">
        <v>20</v>
      </c>
    </row>
    <row r="94" spans="1:6">
      <c r="A94" s="3092">
        <v>22</v>
      </c>
      <c r="B94" s="3647"/>
      <c r="C94" s="3073" t="s">
        <v>2779</v>
      </c>
      <c r="D94" s="3073" t="s">
        <v>2780</v>
      </c>
      <c r="E94" s="3101">
        <v>0.15</v>
      </c>
      <c r="F94" s="3092">
        <v>20</v>
      </c>
    </row>
    <row r="95" spans="1:6" ht="36">
      <c r="A95" s="3092">
        <v>23</v>
      </c>
      <c r="B95" s="3647"/>
      <c r="C95" s="3073" t="s">
        <v>2781</v>
      </c>
      <c r="D95" s="3073" t="s">
        <v>2782</v>
      </c>
      <c r="E95" s="3101">
        <v>0.15</v>
      </c>
      <c r="F95" s="3092">
        <v>20</v>
      </c>
    </row>
    <row r="96" spans="1:6">
      <c r="A96" s="3092">
        <v>24</v>
      </c>
      <c r="B96" s="3647"/>
      <c r="C96" s="3073" t="s">
        <v>2783</v>
      </c>
      <c r="D96" s="3073" t="s">
        <v>2784</v>
      </c>
      <c r="E96" s="3101">
        <v>0.1</v>
      </c>
      <c r="F96" s="3092">
        <v>15</v>
      </c>
    </row>
    <row r="97" spans="1:6">
      <c r="A97" s="3092">
        <v>25</v>
      </c>
      <c r="B97" s="3647"/>
      <c r="C97" s="3073" t="s">
        <v>2778</v>
      </c>
      <c r="D97" s="3073" t="s">
        <v>2785</v>
      </c>
      <c r="E97" s="3101">
        <v>0.1</v>
      </c>
      <c r="F97" s="3092">
        <v>15</v>
      </c>
    </row>
    <row r="98" spans="1:6" ht="24">
      <c r="A98" s="3092">
        <v>26</v>
      </c>
      <c r="B98" s="3647"/>
      <c r="C98" s="3073" t="s">
        <v>2786</v>
      </c>
      <c r="D98" s="3073" t="s">
        <v>2787</v>
      </c>
      <c r="E98" s="3101">
        <v>0.1</v>
      </c>
      <c r="F98" s="3092">
        <v>15</v>
      </c>
    </row>
    <row r="99" spans="1:6" ht="24">
      <c r="A99" s="3092">
        <v>27</v>
      </c>
      <c r="B99" s="3647"/>
      <c r="C99" s="3073" t="s">
        <v>2788</v>
      </c>
      <c r="D99" s="3073" t="s">
        <v>2789</v>
      </c>
      <c r="E99" s="3101">
        <v>0.1</v>
      </c>
      <c r="F99" s="3092">
        <v>15</v>
      </c>
    </row>
    <row r="100" spans="1:6">
      <c r="A100" s="3092">
        <v>28</v>
      </c>
      <c r="B100" s="3647"/>
      <c r="C100" s="3073" t="s">
        <v>2790</v>
      </c>
      <c r="D100" s="3073" t="s">
        <v>2791</v>
      </c>
      <c r="E100" s="3101">
        <v>0.1</v>
      </c>
      <c r="F100" s="3092">
        <v>15</v>
      </c>
    </row>
    <row r="101" spans="1:6">
      <c r="A101" s="3092">
        <v>29</v>
      </c>
      <c r="B101" s="3647"/>
      <c r="C101" s="3073" t="s">
        <v>2792</v>
      </c>
      <c r="D101" s="3073" t="s">
        <v>2793</v>
      </c>
      <c r="E101" s="3101">
        <v>0.1</v>
      </c>
      <c r="F101" s="3092">
        <v>15</v>
      </c>
    </row>
    <row r="102" spans="1:6">
      <c r="A102" s="3092">
        <v>30</v>
      </c>
      <c r="B102" s="3647"/>
      <c r="C102" s="3073" t="s">
        <v>2794</v>
      </c>
      <c r="D102" s="3073" t="s">
        <v>2795</v>
      </c>
      <c r="E102" s="3101">
        <v>0.1</v>
      </c>
      <c r="F102" s="3092">
        <v>15</v>
      </c>
    </row>
    <row r="103" spans="1:6" ht="24">
      <c r="A103" s="3092">
        <v>31</v>
      </c>
      <c r="B103" s="3647"/>
      <c r="C103" s="3073" t="s">
        <v>2796</v>
      </c>
      <c r="D103" s="3073" t="s">
        <v>2797</v>
      </c>
      <c r="E103" s="3101">
        <v>0.1</v>
      </c>
      <c r="F103" s="3092">
        <v>15</v>
      </c>
    </row>
    <row r="104" spans="1:6" ht="24">
      <c r="A104" s="3092">
        <v>32</v>
      </c>
      <c r="B104" s="3647"/>
      <c r="C104" s="3073" t="s">
        <v>2798</v>
      </c>
      <c r="D104" s="3073" t="s">
        <v>2799</v>
      </c>
      <c r="E104" s="3101">
        <v>0.1</v>
      </c>
      <c r="F104" s="3092">
        <v>15</v>
      </c>
    </row>
    <row r="105" spans="1:6" ht="24">
      <c r="A105" s="3092">
        <v>33</v>
      </c>
      <c r="B105" s="3647"/>
      <c r="C105" s="3073" t="s">
        <v>2800</v>
      </c>
      <c r="D105" s="3073" t="s">
        <v>2801</v>
      </c>
      <c r="E105" s="3101">
        <v>0.1</v>
      </c>
      <c r="F105" s="3092">
        <v>15</v>
      </c>
    </row>
    <row r="106" spans="1:6" ht="24">
      <c r="A106" s="3092">
        <v>34</v>
      </c>
      <c r="B106" s="3648"/>
      <c r="C106" s="3073" t="s">
        <v>2802</v>
      </c>
      <c r="D106" s="3073" t="s">
        <v>2803</v>
      </c>
      <c r="E106" s="3101">
        <v>0.1</v>
      </c>
      <c r="F106" s="3092">
        <v>15</v>
      </c>
    </row>
    <row r="107" spans="1:6" ht="24">
      <c r="A107" s="3092">
        <v>35</v>
      </c>
      <c r="B107" s="3646" t="s">
        <v>493</v>
      </c>
      <c r="C107" s="3092" t="s">
        <v>494</v>
      </c>
      <c r="D107" s="3073" t="s">
        <v>2804</v>
      </c>
      <c r="E107" s="3101">
        <v>0.15</v>
      </c>
      <c r="F107" s="3092">
        <v>20</v>
      </c>
    </row>
    <row r="108" spans="1:6">
      <c r="A108" s="3092">
        <v>36</v>
      </c>
      <c r="B108" s="3647"/>
      <c r="C108" s="3092" t="s">
        <v>2806</v>
      </c>
      <c r="D108" s="3073" t="s">
        <v>2807</v>
      </c>
      <c r="E108" s="3101">
        <v>0.15</v>
      </c>
      <c r="F108" s="3092">
        <v>20</v>
      </c>
    </row>
    <row r="109" spans="1:6">
      <c r="A109" s="3092">
        <v>37</v>
      </c>
      <c r="B109" s="3647"/>
      <c r="C109" s="3092" t="s">
        <v>2805</v>
      </c>
      <c r="D109" s="3073" t="s">
        <v>2812</v>
      </c>
      <c r="E109" s="3101">
        <v>0.15</v>
      </c>
      <c r="F109" s="3092">
        <v>20</v>
      </c>
    </row>
    <row r="110" spans="1:6">
      <c r="A110" s="3092">
        <v>38</v>
      </c>
      <c r="B110" s="3647"/>
      <c r="C110" s="3092" t="s">
        <v>2808</v>
      </c>
      <c r="D110" s="3073" t="s">
        <v>2813</v>
      </c>
      <c r="E110" s="3101">
        <v>0.1</v>
      </c>
      <c r="F110" s="3092">
        <v>15</v>
      </c>
    </row>
    <row r="111" spans="1:6" ht="24">
      <c r="A111" s="3092">
        <v>39</v>
      </c>
      <c r="B111" s="3647"/>
      <c r="C111" s="3092" t="s">
        <v>2809</v>
      </c>
      <c r="D111" s="3073" t="s">
        <v>2810</v>
      </c>
      <c r="E111" s="3101">
        <v>0.1</v>
      </c>
      <c r="F111" s="3092">
        <v>15</v>
      </c>
    </row>
    <row r="112" spans="1:6" ht="24">
      <c r="A112" s="3092">
        <v>40</v>
      </c>
      <c r="B112" s="3648"/>
      <c r="C112" s="3092" t="s">
        <v>2811</v>
      </c>
      <c r="D112" s="3073" t="s">
        <v>2814</v>
      </c>
      <c r="E112" s="3101">
        <v>0.1</v>
      </c>
      <c r="F112" s="3092">
        <v>15</v>
      </c>
    </row>
    <row r="113" spans="1:6">
      <c r="A113" s="3092">
        <v>41</v>
      </c>
      <c r="B113" s="3645" t="s">
        <v>495</v>
      </c>
      <c r="C113" s="3092" t="s">
        <v>496</v>
      </c>
      <c r="D113" s="3073" t="s">
        <v>497</v>
      </c>
      <c r="E113" s="3101">
        <v>0.1</v>
      </c>
      <c r="F113" s="3092">
        <v>15</v>
      </c>
    </row>
    <row r="114" spans="1:6">
      <c r="A114" s="3092">
        <v>42</v>
      </c>
      <c r="B114" s="3645"/>
      <c r="C114" s="3092" t="s">
        <v>498</v>
      </c>
      <c r="D114" s="3073" t="s">
        <v>499</v>
      </c>
      <c r="E114" s="3101">
        <v>0.1</v>
      </c>
      <c r="F114" s="3092">
        <v>15</v>
      </c>
    </row>
    <row r="115" spans="1:6" ht="24">
      <c r="A115" s="3092">
        <v>43</v>
      </c>
      <c r="B115" s="3645"/>
      <c r="C115" s="3092" t="s">
        <v>2815</v>
      </c>
      <c r="D115" s="3073" t="s">
        <v>2816</v>
      </c>
      <c r="E115" s="3101">
        <v>0.1</v>
      </c>
      <c r="F115" s="3092">
        <v>15</v>
      </c>
    </row>
    <row r="116" spans="1:6">
      <c r="A116" s="3092">
        <v>44</v>
      </c>
      <c r="B116" s="3646" t="s">
        <v>500</v>
      </c>
      <c r="C116" s="3092" t="s">
        <v>2817</v>
      </c>
      <c r="D116" s="3073" t="s">
        <v>2818</v>
      </c>
      <c r="E116" s="3101">
        <v>0.1</v>
      </c>
      <c r="F116" s="3092">
        <v>15</v>
      </c>
    </row>
    <row r="117" spans="1:6" ht="24">
      <c r="A117" s="3092">
        <v>45</v>
      </c>
      <c r="B117" s="3648"/>
      <c r="C117" s="3073" t="s">
        <v>2819</v>
      </c>
      <c r="D117" s="3073" t="s">
        <v>2820</v>
      </c>
      <c r="E117" s="3101">
        <v>0.1</v>
      </c>
      <c r="F117" s="3092">
        <v>15</v>
      </c>
    </row>
    <row r="118" spans="1:6" ht="24">
      <c r="A118" s="3092">
        <v>46</v>
      </c>
      <c r="B118" s="3646" t="s">
        <v>501</v>
      </c>
      <c r="C118" s="3092" t="s">
        <v>2823</v>
      </c>
      <c r="D118" s="3073" t="s">
        <v>2821</v>
      </c>
      <c r="E118" s="3101">
        <v>0.1</v>
      </c>
      <c r="F118" s="3092">
        <v>15</v>
      </c>
    </row>
    <row r="119" spans="1:6" ht="24">
      <c r="A119" s="3092">
        <v>47</v>
      </c>
      <c r="B119" s="3648"/>
      <c r="C119" s="3092" t="s">
        <v>2822</v>
      </c>
      <c r="D119" s="3073" t="s">
        <v>2824</v>
      </c>
      <c r="E119" s="3101">
        <v>0.1</v>
      </c>
      <c r="F119" s="3092">
        <v>15</v>
      </c>
    </row>
    <row r="120" spans="1:6">
      <c r="A120" s="3092">
        <v>48</v>
      </c>
      <c r="B120" s="3646" t="s">
        <v>502</v>
      </c>
      <c r="C120" s="3092" t="s">
        <v>503</v>
      </c>
      <c r="D120" s="3073" t="s">
        <v>504</v>
      </c>
      <c r="E120" s="3101">
        <v>0.1</v>
      </c>
      <c r="F120" s="3092">
        <v>15</v>
      </c>
    </row>
    <row r="121" spans="1:6">
      <c r="A121" s="3092">
        <v>49</v>
      </c>
      <c r="B121" s="3648"/>
      <c r="C121" s="3092" t="s">
        <v>2825</v>
      </c>
      <c r="D121" s="3073" t="s">
        <v>2826</v>
      </c>
      <c r="E121" s="3101">
        <v>0.1</v>
      </c>
      <c r="F121" s="3092">
        <v>15</v>
      </c>
    </row>
    <row r="122" spans="1:6" ht="24">
      <c r="A122" s="3092">
        <v>50</v>
      </c>
      <c r="B122" s="3645" t="s">
        <v>505</v>
      </c>
      <c r="C122" s="3092" t="s">
        <v>506</v>
      </c>
      <c r="D122" s="3073" t="s">
        <v>507</v>
      </c>
      <c r="E122" s="3101">
        <v>0.1</v>
      </c>
      <c r="F122" s="3092">
        <v>15</v>
      </c>
    </row>
    <row r="123" spans="1:6" ht="24">
      <c r="A123" s="3092">
        <v>51</v>
      </c>
      <c r="B123" s="3645"/>
      <c r="C123" s="3092" t="s">
        <v>508</v>
      </c>
      <c r="D123" s="3073" t="s">
        <v>509</v>
      </c>
      <c r="E123" s="3101">
        <v>0.1</v>
      </c>
      <c r="F123" s="3092">
        <v>15</v>
      </c>
    </row>
    <row r="124" spans="1:6" ht="24">
      <c r="A124" s="3092">
        <v>52</v>
      </c>
      <c r="B124" s="3645" t="s">
        <v>510</v>
      </c>
      <c r="C124" s="3092" t="s">
        <v>511</v>
      </c>
      <c r="D124" s="3073" t="s">
        <v>2827</v>
      </c>
      <c r="E124" s="3101">
        <v>0.1</v>
      </c>
      <c r="F124" s="3092">
        <v>15</v>
      </c>
    </row>
    <row r="125" spans="1:6" ht="24">
      <c r="A125" s="3092">
        <v>53</v>
      </c>
      <c r="B125" s="3645"/>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5" t="s">
        <v>518</v>
      </c>
      <c r="C127" s="3092" t="s">
        <v>521</v>
      </c>
      <c r="D127" s="3073" t="s">
        <v>522</v>
      </c>
      <c r="E127" s="3101">
        <v>0.1</v>
      </c>
      <c r="F127" s="3092">
        <v>15</v>
      </c>
    </row>
    <row r="128" spans="1:6">
      <c r="A128" s="3092">
        <v>56</v>
      </c>
      <c r="B128" s="3645"/>
      <c r="C128" s="3092" t="s">
        <v>523</v>
      </c>
      <c r="D128" s="3073" t="s">
        <v>524</v>
      </c>
      <c r="E128" s="3101">
        <v>0.1</v>
      </c>
      <c r="F128" s="3092">
        <v>15</v>
      </c>
    </row>
    <row r="129" spans="1:6" ht="24">
      <c r="A129" s="3092">
        <v>57</v>
      </c>
      <c r="B129" s="3645"/>
      <c r="C129" s="3092" t="s">
        <v>519</v>
      </c>
      <c r="D129" s="3073" t="s">
        <v>520</v>
      </c>
      <c r="E129" s="3101">
        <v>0.1</v>
      </c>
      <c r="F129" s="3092">
        <v>15</v>
      </c>
    </row>
    <row r="130" spans="1:6" ht="24">
      <c r="A130" s="3092">
        <v>58</v>
      </c>
      <c r="B130" s="3645" t="s">
        <v>517</v>
      </c>
      <c r="C130" s="3092" t="s">
        <v>2828</v>
      </c>
      <c r="D130" s="3073" t="s">
        <v>2829</v>
      </c>
      <c r="E130" s="3101">
        <v>0.1</v>
      </c>
      <c r="F130" s="3092">
        <v>15</v>
      </c>
    </row>
    <row r="131" spans="1:6">
      <c r="A131" s="3092">
        <v>59</v>
      </c>
      <c r="B131" s="3645"/>
      <c r="C131" s="3092" t="s">
        <v>2830</v>
      </c>
      <c r="D131" s="3073" t="s">
        <v>2831</v>
      </c>
      <c r="E131" s="3101">
        <v>0.1</v>
      </c>
      <c r="F131" s="3092">
        <v>15</v>
      </c>
    </row>
    <row r="132" spans="1:6">
      <c r="A132" s="3092">
        <v>60</v>
      </c>
      <c r="B132" s="3646" t="s">
        <v>528</v>
      </c>
      <c r="C132" s="3092" t="s">
        <v>529</v>
      </c>
      <c r="D132" s="3073" t="s">
        <v>2834</v>
      </c>
      <c r="E132" s="3101">
        <v>0.1</v>
      </c>
      <c r="F132" s="3092">
        <v>15</v>
      </c>
    </row>
    <row r="133" spans="1:6">
      <c r="A133" s="3092">
        <v>61</v>
      </c>
      <c r="B133" s="3648"/>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5" t="s">
        <v>530</v>
      </c>
      <c r="C135" s="3092" t="s">
        <v>531</v>
      </c>
      <c r="D135" s="3073" t="s">
        <v>2836</v>
      </c>
      <c r="E135" s="3101">
        <v>0.1</v>
      </c>
      <c r="F135" s="3092">
        <v>15</v>
      </c>
    </row>
    <row r="136" spans="1:6">
      <c r="A136" s="3092">
        <v>64</v>
      </c>
      <c r="B136" s="3645"/>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4" zoomScaleNormal="100" workbookViewId="0">
      <selection activeCell="J287" sqref="J287"/>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0.95120000000000005</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456</v>
      </c>
      <c r="C2" s="1940" t="s">
        <v>2357</v>
      </c>
      <c r="D2" s="1940" t="s">
        <v>2358</v>
      </c>
      <c r="E2" s="2291">
        <f ca="1">SUMIF(E6:E13,"&lt;&gt;#ref!",E6:E13)</f>
        <v>155.58000000000001</v>
      </c>
      <c r="F2" s="2465"/>
      <c r="G2" s="2465"/>
      <c r="H2" s="2465"/>
      <c r="I2" s="2465"/>
      <c r="J2" s="2465"/>
      <c r="K2" s="2465"/>
      <c r="L2" s="2465"/>
      <c r="M2" s="2465"/>
      <c r="N2" s="2465"/>
      <c r="O2" s="2465"/>
      <c r="P2" s="2465"/>
    </row>
    <row r="3" spans="1:16" ht="15.75">
      <c r="A3" s="1940" t="s">
        <v>2359</v>
      </c>
      <c r="B3" s="2281">
        <f ca="1">ROUND(B2*10000/E2,0)</f>
        <v>29310</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456</v>
      </c>
      <c r="C6" s="1940" t="s">
        <v>2357</v>
      </c>
      <c r="D6" s="2465"/>
      <c r="E6" s="2291">
        <f ca="1">SUMIF(INDIRECT("'"&amp;A6&amp;"'"&amp;"!C:C"),"建筑面积",INDIRECT("'"&amp;A6&amp;"'"&amp;"!D:D"))</f>
        <v>155.58000000000001</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8" t="s">
        <v>695</v>
      </c>
      <c r="I1" s="3658"/>
      <c r="J1" s="3658"/>
      <c r="K1" s="3658"/>
      <c r="L1" s="3658"/>
      <c r="M1" s="3658"/>
      <c r="N1" s="2809"/>
      <c r="O1" s="3658" t="s">
        <v>696</v>
      </c>
      <c r="P1" s="3658"/>
      <c r="Q1" s="3658"/>
      <c r="R1" s="3658"/>
      <c r="S1" s="2809"/>
      <c r="T1" s="3658" t="s">
        <v>697</v>
      </c>
      <c r="U1" s="3658"/>
      <c r="V1" s="3658"/>
      <c r="W1" s="3658"/>
      <c r="X1" s="2809"/>
      <c r="Y1" s="3657" t="s">
        <v>698</v>
      </c>
      <c r="Z1" s="3658"/>
      <c r="AA1" s="3658"/>
      <c r="AB1" s="3658"/>
      <c r="AC1" s="3658"/>
      <c r="AD1" s="3658"/>
      <c r="AE1" s="2809"/>
      <c r="AF1" s="3657" t="s">
        <v>699</v>
      </c>
      <c r="AG1" s="3658"/>
      <c r="AH1" s="3658"/>
      <c r="AI1" s="3658"/>
      <c r="AJ1" s="3658"/>
      <c r="AK1" s="3658"/>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5">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5"/>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5"/>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5"/>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5"/>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5"/>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5"/>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6"/>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4">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5"/>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5"/>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6"/>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4">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5"/>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5"/>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6"/>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4">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5">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5">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6">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4">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5">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5">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6">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4">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5">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5">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6">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4">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5">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5">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6">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4">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5">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5">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6">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4">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5">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5">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6">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4">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5">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5">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6">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4">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5">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5">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6">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4">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5">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5">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6">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4">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5">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5">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6">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44733</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5"/>
  </cols>
  <sheetData>
    <row r="1" spans="1:6" ht="15">
      <c r="A1" s="3676" t="s">
        <v>2731</v>
      </c>
      <c r="B1" s="3676"/>
      <c r="C1" s="3676"/>
      <c r="D1" s="3676"/>
      <c r="E1" s="3676"/>
      <c r="F1" s="3677"/>
    </row>
    <row r="2" spans="1:6" ht="15">
      <c r="A2" s="2777" t="s">
        <v>3076</v>
      </c>
      <c r="B2" s="2778"/>
      <c r="C2" s="2778"/>
      <c r="D2" s="2778"/>
      <c r="E2" s="2778"/>
      <c r="F2" s="2778"/>
    </row>
    <row r="3" spans="1:6" ht="15">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56" t="str">
        <f>IF(项目基本情况!B9="房地产市场价值","估价结果一览表","结果表-2")</f>
        <v>结果表-2</v>
      </c>
      <c r="B1" s="3356"/>
      <c r="C1" s="3356"/>
      <c r="D1" s="3356"/>
      <c r="E1" s="3356"/>
      <c r="F1" s="3356"/>
      <c r="G1" s="3356"/>
      <c r="H1" s="3356"/>
      <c r="I1" s="3356"/>
    </row>
    <row r="2" spans="1:9" ht="30" customHeight="1" thickTop="1">
      <c r="A2" s="3357" t="s">
        <v>1169</v>
      </c>
      <c r="B2" s="3357" t="s">
        <v>1170</v>
      </c>
      <c r="C2" s="3357" t="s">
        <v>1171</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spans="1:9" ht="15">
      <c r="A3" s="3351"/>
      <c r="B3" s="3351"/>
      <c r="C3" s="3351"/>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1" t="s">
        <v>1168</v>
      </c>
      <c r="B5" s="3351"/>
      <c r="C5" s="3351"/>
      <c r="D5" s="3352" t="e">
        <f ca="1">结果表!D119</f>
        <v>#REF!</v>
      </c>
      <c r="E5" s="3352"/>
      <c r="F5" s="3352" t="e">
        <f ca="1">结果表!F119</f>
        <v>#REF!</v>
      </c>
      <c r="G5" s="3352"/>
      <c r="H5" s="3352" t="e">
        <f ca="1">结果表!H119</f>
        <v>#REF!</v>
      </c>
      <c r="I5" s="3352"/>
    </row>
    <row r="6" spans="1:9" ht="15.75">
      <c r="A6" s="3350" t="str">
        <f>结果表!A120</f>
        <v>估价师知悉的法定优先受偿款</v>
      </c>
      <c r="B6" s="3350"/>
      <c r="C6" s="3350"/>
      <c r="D6" s="3350">
        <f>结果表!D120</f>
        <v>0</v>
      </c>
      <c r="E6" s="3350"/>
      <c r="F6" s="3350"/>
      <c r="G6" s="3350"/>
      <c r="H6" s="3350"/>
      <c r="I6" s="3350"/>
    </row>
    <row r="7" spans="1:9" ht="15">
      <c r="A7" s="3351" t="s">
        <v>1168</v>
      </c>
      <c r="B7" s="3351"/>
      <c r="C7" s="3351"/>
      <c r="D7" s="3353" t="str">
        <f>结果表!D121</f>
        <v>零元整</v>
      </c>
      <c r="E7" s="3354"/>
      <c r="F7" s="3354"/>
      <c r="G7" s="3354"/>
      <c r="H7" s="3354"/>
      <c r="I7" s="3355"/>
    </row>
    <row r="8" spans="1:9" ht="15.75">
      <c r="A8" s="3350" t="str">
        <f>结果表!A122</f>
        <v>房地产抵押价值</v>
      </c>
      <c r="B8" s="3350"/>
      <c r="C8" s="3350"/>
      <c r="D8" s="3350" t="e">
        <f ca="1">结果表!D122</f>
        <v>#REF!</v>
      </c>
      <c r="E8" s="3350"/>
      <c r="F8" s="3350"/>
      <c r="G8" s="3350"/>
      <c r="H8" s="3350"/>
      <c r="I8" s="3350"/>
    </row>
    <row r="9" spans="1:9" ht="15">
      <c r="A9" s="3351" t="s">
        <v>1168</v>
      </c>
      <c r="B9" s="3351"/>
      <c r="C9" s="3351"/>
      <c r="D9" s="3352" t="e">
        <f ca="1">结果表!D123</f>
        <v>#REF!</v>
      </c>
      <c r="E9" s="3352"/>
      <c r="F9" s="3352"/>
      <c r="G9" s="3352"/>
      <c r="H9" s="3352"/>
      <c r="I9" s="3352"/>
    </row>
    <row r="10" spans="1:9" ht="15.75">
      <c r="A10" s="3350" t="str">
        <f>结果表!A124</f>
        <v/>
      </c>
      <c r="B10" s="3350"/>
      <c r="C10" s="3350"/>
      <c r="D10" s="3350" t="str">
        <f>结果表!D124</f>
        <v>——</v>
      </c>
      <c r="E10" s="3350"/>
      <c r="F10" s="3350"/>
      <c r="G10" s="3350"/>
      <c r="H10" s="3350"/>
      <c r="I10" s="3350"/>
    </row>
    <row r="11" spans="1:9" ht="15">
      <c r="A11" s="3351" t="s">
        <v>1168</v>
      </c>
      <c r="B11" s="3351"/>
      <c r="C11" s="3351"/>
      <c r="D11" s="3352" t="e">
        <f>结果表!D125</f>
        <v>#VALUE!</v>
      </c>
      <c r="E11" s="3352"/>
      <c r="F11" s="3352"/>
      <c r="G11" s="3352"/>
      <c r="H11" s="3352"/>
      <c r="I11" s="3352"/>
    </row>
    <row r="12" spans="1:9" ht="15.75">
      <c r="A12" s="3350" t="str">
        <f>结果表!A126</f>
        <v/>
      </c>
      <c r="B12" s="3350"/>
      <c r="C12" s="3350"/>
      <c r="D12" s="3350" t="str">
        <f>结果表!D126</f>
        <v>——</v>
      </c>
      <c r="E12" s="3350"/>
      <c r="F12" s="3350"/>
      <c r="G12" s="3350"/>
      <c r="H12" s="3350"/>
      <c r="I12" s="3350"/>
    </row>
    <row r="13" spans="1:9" ht="15.75" thickBot="1">
      <c r="A13" s="3347" t="s">
        <v>1168</v>
      </c>
      <c r="B13" s="3347"/>
      <c r="C13" s="3347"/>
      <c r="D13" s="3348" t="e">
        <f>结果表!D127</f>
        <v>#VALUE!</v>
      </c>
      <c r="E13" s="3348"/>
      <c r="F13" s="3348"/>
      <c r="G13" s="3348"/>
      <c r="H13" s="3348"/>
      <c r="I13" s="3348"/>
    </row>
    <row r="14" spans="1:9" ht="15" thickTop="1">
      <c r="A14" s="3349" t="s">
        <v>1173</v>
      </c>
      <c r="B14" s="3349"/>
      <c r="C14" s="3349"/>
      <c r="D14" s="3349"/>
      <c r="E14" s="3349"/>
      <c r="F14" s="3349"/>
      <c r="G14" s="3349"/>
      <c r="H14" s="3349"/>
      <c r="I14" s="3349"/>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4" t="s">
        <v>1190</v>
      </c>
      <c r="B1" s="3364"/>
      <c r="C1" s="3364"/>
      <c r="D1" s="3364"/>
    </row>
    <row r="2" spans="1:4" ht="18">
      <c r="A2" s="3365" t="s">
        <v>1174</v>
      </c>
      <c r="B2" s="3365"/>
      <c r="C2" s="3365"/>
      <c r="D2" s="3365"/>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65" t="s">
        <v>1180</v>
      </c>
      <c r="B6" s="3365"/>
      <c r="C6" s="3365"/>
      <c r="D6" s="3365"/>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6" t="s">
        <v>1183</v>
      </c>
      <c r="B11" s="3358"/>
      <c r="C11" s="3358"/>
      <c r="D11" s="3358"/>
    </row>
    <row r="12" spans="1:4" ht="15.75">
      <c r="A12" s="3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3"/>
      <c r="C12" s="3363"/>
      <c r="D12" s="3363"/>
    </row>
    <row r="13" spans="1:4" ht="30" customHeight="1">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spans="1:4" ht="15.75" customHeight="1">
      <c r="A14" s="3358" t="str">
        <f>IF(项目基本情况!B8="抵押","4.本次评估估价师所知悉的法定优先受偿款情况说明如下：","——")</f>
        <v>4.本次评估估价师所知悉的法定优先受偿款情况说明如下：</v>
      </c>
      <c r="B14" s="3363"/>
      <c r="C14" s="3363"/>
      <c r="D14" s="3363"/>
    </row>
    <row r="15" spans="1:4" ht="42" customHeight="1">
      <c r="A15" s="33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8"/>
      <c r="C15" s="3358"/>
      <c r="D15" s="3358"/>
    </row>
    <row r="16" spans="1:4" ht="30" customHeight="1">
      <c r="A16" s="3360" t="s">
        <v>1184</v>
      </c>
      <c r="B16" s="3360"/>
      <c r="C16" s="3360"/>
      <c r="D16" s="3360"/>
    </row>
    <row r="17" spans="1:4" ht="144" customHeight="1">
      <c r="A17" s="3360" t="s">
        <v>1185</v>
      </c>
      <c r="B17" s="3360"/>
      <c r="C17" s="3360"/>
      <c r="D17" s="3360"/>
    </row>
    <row r="18" spans="1:4" ht="15.75" customHeight="1">
      <c r="A18" s="3358" t="str">
        <f>IF(项目基本情况!B8="抵押",结果表!K120,"——")</f>
        <v>故，本次评估不存在估价师知悉的法定优先受偿款</v>
      </c>
      <c r="B18" s="3358"/>
      <c r="C18" s="3358"/>
      <c r="D18" s="3358"/>
    </row>
    <row r="19" spans="1:4" ht="46.5" customHeight="1">
      <c r="A19" s="3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57.75" customHeight="1">
      <c r="A20" s="3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spans="1:4" ht="57.75" customHeight="1">
      <c r="A21" s="33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1"/>
      <c r="C21" s="3361"/>
      <c r="D21" s="3361"/>
    </row>
    <row r="22" spans="1:4" ht="18.75" customHeight="1">
      <c r="A22" s="3362" t="s">
        <v>1186</v>
      </c>
      <c r="B22" s="3362"/>
      <c r="C22" s="3362"/>
      <c r="D22" s="3362"/>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59">
        <v>42551</v>
      </c>
      <c r="D31" s="33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44733</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2022-06-21T08:10:51Z</dcterms:modified>
</cp:coreProperties>
</file>